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Пожарка\"/>
    </mc:Choice>
  </mc:AlternateContent>
  <xr:revisionPtr revIDLastSave="0" documentId="13_ncr:1_{219C395C-BB0F-419C-A1DA-072832E6F70F}" xr6:coauthVersionLast="47" xr6:coauthVersionMax="47" xr10:uidLastSave="{00000000-0000-0000-0000-000000000000}"/>
  <bookViews>
    <workbookView xWindow="28680" yWindow="1290" windowWidth="29040" windowHeight="15720" tabRatio="918" firstSheet="2" activeTab="2" xr2:uid="{70FC66F0-CCF7-419D-8059-542A0C8F9047}"/>
  </bookViews>
  <sheets>
    <sheet name="свод" sheetId="1" state="hidden" r:id="rId1"/>
    <sheet name="свод_Пож.систем (для ССР)" sheetId="22" state="hidden" r:id="rId2"/>
    <sheet name="свод_Пож.систем" sheetId="21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22" l="1"/>
  <c r="M31" i="22"/>
  <c r="G32" i="22" s="1"/>
  <c r="L31" i="22"/>
  <c r="K31" i="22"/>
  <c r="J31" i="22"/>
  <c r="I31" i="22"/>
  <c r="H31" i="22"/>
  <c r="E32" i="22" s="1"/>
  <c r="Q30" i="22"/>
  <c r="R30" i="22" s="1"/>
  <c r="D30" i="22"/>
  <c r="O30" i="22" s="1"/>
  <c r="Q29" i="22"/>
  <c r="R29" i="22" s="1"/>
  <c r="D29" i="22"/>
  <c r="O29" i="22" s="1"/>
  <c r="Q28" i="22"/>
  <c r="R28" i="22" s="1"/>
  <c r="D28" i="22"/>
  <c r="O28" i="22" s="1"/>
  <c r="Q27" i="22"/>
  <c r="R27" i="22" s="1"/>
  <c r="D27" i="22"/>
  <c r="O27" i="22" s="1"/>
  <c r="Q26" i="22"/>
  <c r="R26" i="22" s="1"/>
  <c r="D26" i="22"/>
  <c r="O26" i="22" s="1"/>
  <c r="Q25" i="22"/>
  <c r="G25" i="22"/>
  <c r="F25" i="22"/>
  <c r="E25" i="22"/>
  <c r="D25" i="22"/>
  <c r="O25" i="22" s="1"/>
  <c r="P25" i="22" s="1"/>
  <c r="R25" i="22" s="1"/>
  <c r="Q24" i="22"/>
  <c r="G24" i="22"/>
  <c r="F24" i="22"/>
  <c r="E24" i="22"/>
  <c r="D24" i="22" s="1"/>
  <c r="O24" i="22" s="1"/>
  <c r="P24" i="22" s="1"/>
  <c r="R24" i="22" s="1"/>
  <c r="Q23" i="22"/>
  <c r="G23" i="22"/>
  <c r="F23" i="22"/>
  <c r="E23" i="22"/>
  <c r="Q22" i="22"/>
  <c r="G22" i="22"/>
  <c r="F22" i="22"/>
  <c r="E22" i="22"/>
  <c r="D22" i="22" s="1"/>
  <c r="O22" i="22" s="1"/>
  <c r="P22" i="22" s="1"/>
  <c r="R22" i="22" s="1"/>
  <c r="Q21" i="22"/>
  <c r="G21" i="22"/>
  <c r="F21" i="22"/>
  <c r="E21" i="22"/>
  <c r="D21" i="22" s="1"/>
  <c r="O21" i="22" s="1"/>
  <c r="P21" i="22" s="1"/>
  <c r="R21" i="22" s="1"/>
  <c r="Q20" i="22"/>
  <c r="G20" i="22"/>
  <c r="F20" i="22"/>
  <c r="E20" i="22"/>
  <c r="R19" i="22"/>
  <c r="D19" i="22"/>
  <c r="O19" i="22" s="1"/>
  <c r="R18" i="22"/>
  <c r="D18" i="22"/>
  <c r="O18" i="22" s="1"/>
  <c r="R17" i="22"/>
  <c r="O17" i="22"/>
  <c r="D17" i="22"/>
  <c r="Q16" i="22"/>
  <c r="G16" i="22"/>
  <c r="F16" i="22"/>
  <c r="E16" i="22"/>
  <c r="D16" i="22"/>
  <c r="O16" i="22" s="1"/>
  <c r="P16" i="22" s="1"/>
  <c r="R16" i="22" s="1"/>
  <c r="Q15" i="22"/>
  <c r="G15" i="22"/>
  <c r="F15" i="22"/>
  <c r="E15" i="22"/>
  <c r="Q14" i="22"/>
  <c r="G14" i="22"/>
  <c r="F14" i="22"/>
  <c r="F11" i="22" s="1"/>
  <c r="E14" i="22"/>
  <c r="Q13" i="22"/>
  <c r="G13" i="22"/>
  <c r="F13" i="22"/>
  <c r="F31" i="22" s="1"/>
  <c r="E13" i="22"/>
  <c r="D13" i="22"/>
  <c r="O13" i="22" s="1"/>
  <c r="P13" i="22" s="1"/>
  <c r="R13" i="22" s="1"/>
  <c r="Q12" i="22"/>
  <c r="G12" i="22"/>
  <c r="F12" i="22"/>
  <c r="E12" i="22"/>
  <c r="R11" i="22"/>
  <c r="R10" i="22"/>
  <c r="O10" i="22"/>
  <c r="D10" i="22"/>
  <c r="Q9" i="22"/>
  <c r="G9" i="22"/>
  <c r="F9" i="22"/>
  <c r="E9" i="22"/>
  <c r="D9" i="22"/>
  <c r="O9" i="22" s="1"/>
  <c r="P9" i="22" s="1"/>
  <c r="R9" i="22" s="1"/>
  <c r="Q8" i="22"/>
  <c r="G8" i="22"/>
  <c r="F8" i="22"/>
  <c r="E8" i="22"/>
  <c r="D8" i="22" s="1"/>
  <c r="O8" i="22" s="1"/>
  <c r="P8" i="22" s="1"/>
  <c r="R8" i="22" s="1"/>
  <c r="Q7" i="22"/>
  <c r="G7" i="22"/>
  <c r="F7" i="22"/>
  <c r="E7" i="22"/>
  <c r="Q6" i="22"/>
  <c r="G6" i="22"/>
  <c r="F6" i="22"/>
  <c r="E6" i="22"/>
  <c r="D6" i="22" s="1"/>
  <c r="O6" i="22" s="1"/>
  <c r="P6" i="22" s="1"/>
  <c r="R6" i="22" s="1"/>
  <c r="Q5" i="22"/>
  <c r="G5" i="22"/>
  <c r="F5" i="22"/>
  <c r="E5" i="22"/>
  <c r="D5" i="22" s="1"/>
  <c r="O5" i="22" s="1"/>
  <c r="P5" i="22" s="1"/>
  <c r="R5" i="22" s="1"/>
  <c r="Q4" i="22"/>
  <c r="Q31" i="22" s="1"/>
  <c r="G4" i="22"/>
  <c r="F4" i="22"/>
  <c r="E4" i="22"/>
  <c r="Q31" i="21"/>
  <c r="Q16" i="21"/>
  <c r="G16" i="21"/>
  <c r="F16" i="21"/>
  <c r="E16" i="21"/>
  <c r="Q15" i="21"/>
  <c r="G15" i="21"/>
  <c r="F15" i="21"/>
  <c r="E15" i="21"/>
  <c r="Q14" i="21"/>
  <c r="G14" i="21"/>
  <c r="F14" i="21"/>
  <c r="E14" i="21"/>
  <c r="Q13" i="21"/>
  <c r="G13" i="21"/>
  <c r="F13" i="21"/>
  <c r="E13" i="21"/>
  <c r="Q12" i="21"/>
  <c r="G12" i="21"/>
  <c r="F12" i="21"/>
  <c r="E12" i="21"/>
  <c r="Q20" i="21"/>
  <c r="G20" i="21"/>
  <c r="F20" i="21"/>
  <c r="E20" i="21"/>
  <c r="Q23" i="21"/>
  <c r="G23" i="21"/>
  <c r="F23" i="21"/>
  <c r="E23" i="21"/>
  <c r="Q22" i="21"/>
  <c r="G22" i="21"/>
  <c r="F22" i="21"/>
  <c r="E22" i="21"/>
  <c r="Q21" i="21"/>
  <c r="G21" i="21"/>
  <c r="F21" i="21"/>
  <c r="E21" i="21"/>
  <c r="Q25" i="21"/>
  <c r="G25" i="21"/>
  <c r="F25" i="21"/>
  <c r="E25" i="21"/>
  <c r="Q24" i="21"/>
  <c r="G24" i="21"/>
  <c r="F24" i="21"/>
  <c r="E24" i="21"/>
  <c r="Q9" i="21"/>
  <c r="G9" i="21"/>
  <c r="F9" i="21"/>
  <c r="E9" i="21"/>
  <c r="Q5" i="21"/>
  <c r="G5" i="21"/>
  <c r="F5" i="21"/>
  <c r="E5" i="21"/>
  <c r="Q4" i="21"/>
  <c r="G4" i="21"/>
  <c r="F4" i="21"/>
  <c r="E4" i="21"/>
  <c r="Q6" i="21"/>
  <c r="G6" i="21"/>
  <c r="F6" i="21"/>
  <c r="E6" i="21"/>
  <c r="E8" i="21"/>
  <c r="Q7" i="21"/>
  <c r="G7" i="21"/>
  <c r="F7" i="21"/>
  <c r="E7" i="21"/>
  <c r="Q8" i="21"/>
  <c r="G8" i="21"/>
  <c r="F8" i="21"/>
  <c r="M31" i="21"/>
  <c r="F32" i="21" s="1"/>
  <c r="L31" i="21"/>
  <c r="K31" i="21"/>
  <c r="J31" i="21"/>
  <c r="I31" i="21"/>
  <c r="H31" i="21"/>
  <c r="Q30" i="21"/>
  <c r="R30" i="21"/>
  <c r="D30" i="21"/>
  <c r="O30" i="21" s="1"/>
  <c r="Q29" i="21"/>
  <c r="D29" i="21"/>
  <c r="O29" i="21" s="1"/>
  <c r="Q28" i="21"/>
  <c r="R28" i="21" s="1"/>
  <c r="D28" i="21"/>
  <c r="O28" i="21" s="1"/>
  <c r="Q27" i="21"/>
  <c r="R27" i="21" s="1"/>
  <c r="D27" i="21"/>
  <c r="O27" i="21" s="1"/>
  <c r="Q26" i="21"/>
  <c r="R26" i="21" s="1"/>
  <c r="R19" i="21"/>
  <c r="D19" i="21"/>
  <c r="O19" i="21" s="1"/>
  <c r="R18" i="21"/>
  <c r="D18" i="21"/>
  <c r="O18" i="21" s="1"/>
  <c r="D17" i="21"/>
  <c r="O17" i="21" s="1"/>
  <c r="R11" i="21"/>
  <c r="R10" i="21"/>
  <c r="D10" i="21"/>
  <c r="O10" i="21" s="1"/>
  <c r="D14" i="22" l="1"/>
  <c r="O14" i="22" s="1"/>
  <c r="P14" i="22" s="1"/>
  <c r="R14" i="22" s="1"/>
  <c r="D15" i="22"/>
  <c r="O15" i="22" s="1"/>
  <c r="P15" i="22" s="1"/>
  <c r="R15" i="22" s="1"/>
  <c r="D4" i="22"/>
  <c r="O4" i="22" s="1"/>
  <c r="P4" i="22" s="1"/>
  <c r="R4" i="22" s="1"/>
  <c r="D7" i="22"/>
  <c r="O7" i="22" s="1"/>
  <c r="P7" i="22" s="1"/>
  <c r="R7" i="22" s="1"/>
  <c r="D20" i="22"/>
  <c r="O20" i="22" s="1"/>
  <c r="P20" i="22" s="1"/>
  <c r="R20" i="22" s="1"/>
  <c r="E11" i="22"/>
  <c r="E31" i="22" s="1"/>
  <c r="D23" i="22"/>
  <c r="O23" i="22" s="1"/>
  <c r="P23" i="22" s="1"/>
  <c r="R23" i="22" s="1"/>
  <c r="D32" i="22"/>
  <c r="O32" i="22" s="1"/>
  <c r="P32" i="22"/>
  <c r="R32" i="22" s="1"/>
  <c r="G11" i="22"/>
  <c r="G31" i="22" s="1"/>
  <c r="D12" i="22"/>
  <c r="G11" i="21"/>
  <c r="G31" i="21" s="1"/>
  <c r="F11" i="21"/>
  <c r="F31" i="21" s="1"/>
  <c r="E11" i="21"/>
  <c r="E31" i="21"/>
  <c r="D14" i="21"/>
  <c r="O14" i="21" s="1"/>
  <c r="P14" i="21" s="1"/>
  <c r="R14" i="21" s="1"/>
  <c r="D22" i="21"/>
  <c r="O22" i="21" s="1"/>
  <c r="P22" i="21" s="1"/>
  <c r="R22" i="21" s="1"/>
  <c r="D15" i="21"/>
  <c r="O15" i="21" s="1"/>
  <c r="P15" i="21" s="1"/>
  <c r="R15" i="21" s="1"/>
  <c r="D12" i="21"/>
  <c r="O12" i="21" s="1"/>
  <c r="P12" i="21" s="1"/>
  <c r="R12" i="21" s="1"/>
  <c r="D25" i="21"/>
  <c r="O25" i="21" s="1"/>
  <c r="P25" i="21" s="1"/>
  <c r="R25" i="21" s="1"/>
  <c r="D23" i="21"/>
  <c r="O23" i="21" s="1"/>
  <c r="P23" i="21" s="1"/>
  <c r="R23" i="21" s="1"/>
  <c r="D13" i="21"/>
  <c r="O13" i="21" s="1"/>
  <c r="P13" i="21" s="1"/>
  <c r="R13" i="21" s="1"/>
  <c r="D16" i="21"/>
  <c r="O16" i="21" s="1"/>
  <c r="P16" i="21" s="1"/>
  <c r="R16" i="21"/>
  <c r="D8" i="21"/>
  <c r="O8" i="21" s="1"/>
  <c r="P8" i="21" s="1"/>
  <c r="R8" i="21" s="1"/>
  <c r="D9" i="21"/>
  <c r="O9" i="21" s="1"/>
  <c r="P9" i="21" s="1"/>
  <c r="R9" i="21" s="1"/>
  <c r="D4" i="21"/>
  <c r="O4" i="21" s="1"/>
  <c r="D21" i="21"/>
  <c r="O21" i="21" s="1"/>
  <c r="P21" i="21" s="1"/>
  <c r="R21" i="21" s="1"/>
  <c r="D24" i="21"/>
  <c r="O24" i="21" s="1"/>
  <c r="P24" i="21" s="1"/>
  <c r="R24" i="21" s="1"/>
  <c r="D20" i="21"/>
  <c r="O20" i="21" s="1"/>
  <c r="P20" i="21" s="1"/>
  <c r="R20" i="21" s="1"/>
  <c r="D5" i="21"/>
  <c r="O5" i="21" s="1"/>
  <c r="P5" i="21" s="1"/>
  <c r="R5" i="21" s="1"/>
  <c r="D6" i="21"/>
  <c r="O6" i="21" s="1"/>
  <c r="P6" i="21" s="1"/>
  <c r="R6" i="21" s="1"/>
  <c r="D7" i="21"/>
  <c r="O7" i="21" s="1"/>
  <c r="P7" i="21" s="1"/>
  <c r="R7" i="21" s="1"/>
  <c r="G32" i="21"/>
  <c r="P32" i="21" s="1"/>
  <c r="R32" i="21" s="1"/>
  <c r="E32" i="21"/>
  <c r="R17" i="21"/>
  <c r="R29" i="21"/>
  <c r="D26" i="21"/>
  <c r="O26" i="21" s="1"/>
  <c r="O12" i="22" l="1"/>
  <c r="D11" i="22"/>
  <c r="O11" i="22" s="1"/>
  <c r="P4" i="21"/>
  <c r="D11" i="21"/>
  <c r="D32" i="21"/>
  <c r="O32" i="21" s="1"/>
  <c r="O31" i="22" l="1"/>
  <c r="P12" i="22"/>
  <c r="D31" i="22"/>
  <c r="D34" i="22" s="1"/>
  <c r="R4" i="21"/>
  <c r="P31" i="21"/>
  <c r="R31" i="21" s="1"/>
  <c r="D31" i="21"/>
  <c r="O11" i="21"/>
  <c r="O31" i="21" s="1"/>
  <c r="P33" i="21" s="1"/>
  <c r="D35" i="22" l="1"/>
  <c r="D36" i="22" s="1"/>
  <c r="D37" i="22" s="1"/>
  <c r="R12" i="22"/>
  <c r="P31" i="22"/>
  <c r="R31" i="22" s="1"/>
  <c r="S31" i="22"/>
  <c r="P33" i="22"/>
  <c r="D34" i="21"/>
  <c r="S31" i="21" s="1"/>
  <c r="S3" i="22" l="1"/>
  <c r="P37" i="22"/>
  <c r="D35" i="21"/>
  <c r="D36" i="21" s="1"/>
  <c r="D37" i="21" s="1"/>
  <c r="S3" i="21" s="1"/>
  <c r="S21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19" i="1"/>
  <c r="P18" i="1"/>
  <c r="E16" i="1"/>
  <c r="C16" i="1" s="1"/>
  <c r="E15" i="1"/>
  <c r="C15" i="1" s="1"/>
  <c r="E14" i="1"/>
  <c r="C14" i="1" s="1"/>
  <c r="E13" i="1"/>
  <c r="C13" i="1" s="1"/>
  <c r="E12" i="1"/>
  <c r="C12" i="1" s="1"/>
  <c r="E10" i="1"/>
  <c r="C10" i="1" s="1"/>
  <c r="E11" i="1"/>
  <c r="C11" i="1" s="1"/>
  <c r="F16" i="1"/>
  <c r="D16" i="1" s="1"/>
  <c r="F15" i="1"/>
  <c r="D15" i="1" s="1"/>
  <c r="F14" i="1"/>
  <c r="D14" i="1" s="1"/>
  <c r="F13" i="1"/>
  <c r="D13" i="1" s="1"/>
  <c r="F12" i="1"/>
  <c r="D12" i="1" s="1"/>
  <c r="F11" i="1"/>
  <c r="D11" i="1" s="1"/>
  <c r="F10" i="1"/>
  <c r="D10" i="1" s="1"/>
  <c r="E9" i="1"/>
  <c r="C9" i="1" s="1"/>
  <c r="F9" i="1"/>
  <c r="D9" i="1" s="1"/>
  <c r="E8" i="1"/>
  <c r="C8" i="1" s="1"/>
  <c r="F8" i="1"/>
  <c r="D8" i="1" s="1"/>
  <c r="E7" i="1"/>
  <c r="C7" i="1" s="1"/>
  <c r="F7" i="1"/>
  <c r="D7" i="1" s="1"/>
  <c r="E6" i="1"/>
  <c r="C6" i="1" s="1"/>
  <c r="F6" i="1"/>
  <c r="D6" i="1" s="1"/>
  <c r="E5" i="1"/>
  <c r="C5" i="1" s="1"/>
  <c r="F5" i="1"/>
  <c r="D5" i="1" s="1"/>
  <c r="E4" i="1"/>
  <c r="C4" i="1" s="1"/>
  <c r="F4" i="1"/>
  <c r="D4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P37" i="21" l="1"/>
  <c r="O16" i="1"/>
  <c r="O6" i="1"/>
  <c r="O10" i="1"/>
  <c r="Q10" i="1" s="1"/>
  <c r="O8" i="1"/>
  <c r="O15" i="1"/>
  <c r="O14" i="1"/>
  <c r="Q14" i="1" s="1"/>
  <c r="O12" i="1"/>
  <c r="O11" i="1"/>
  <c r="Q11" i="1" s="1"/>
  <c r="O9" i="1"/>
  <c r="O13" i="1"/>
  <c r="O7" i="1"/>
  <c r="O5" i="1"/>
  <c r="Q16" i="1" l="1"/>
  <c r="Q6" i="1"/>
  <c r="Q8" i="1"/>
  <c r="Q12" i="1"/>
  <c r="Q15" i="1"/>
  <c r="Q13" i="1"/>
  <c r="Q7" i="1"/>
  <c r="Q5" i="1"/>
  <c r="O4" i="1"/>
  <c r="Q4" i="1" l="1"/>
  <c r="C18" i="1"/>
  <c r="Q9" i="1"/>
  <c r="Q18" i="1" l="1"/>
  <c r="C19" i="1"/>
  <c r="C20" i="1" s="1"/>
  <c r="Q19" i="1" l="1"/>
  <c r="C21" i="1"/>
  <c r="S22" i="1" s="1"/>
  <c r="P20" i="1" l="1"/>
  <c r="Q20" i="1" s="1"/>
  <c r="P21" i="1" l="1"/>
  <c r="Q21" i="1" s="1"/>
</calcChain>
</file>

<file path=xl/sharedStrings.xml><?xml version="1.0" encoding="utf-8"?>
<sst xmlns="http://schemas.openxmlformats.org/spreadsheetml/2006/main" count="212" uniqueCount="100">
  <si>
    <t>№ п.п.</t>
  </si>
  <si>
    <t>Наименование работ и затрат</t>
  </si>
  <si>
    <t>Цена, руб. без НДС</t>
  </si>
  <si>
    <t>ИТОГО, руб. без НДС</t>
  </si>
  <si>
    <t>Работы</t>
  </si>
  <si>
    <t>материалы</t>
  </si>
  <si>
    <t>Прочее</t>
  </si>
  <si>
    <t>Непредвиденные затраты 3%</t>
  </si>
  <si>
    <t>Итоговая стоимость с учетом непредвиденных затрат, руб. без НДС</t>
  </si>
  <si>
    <t>Договорной коэффициент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</si>
  <si>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</si>
  <si>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Объем работ</t>
  </si>
  <si>
    <t xml:space="preserve">Объем и состав работ в соответствии с проектной документацией, требованиями ТЗ и договора, включая все необходимые работы для реализации проекта </t>
  </si>
  <si>
    <t>Срок выполнения работ</t>
  </si>
  <si>
    <t>150 календарных дней с даты подписания договора</t>
  </si>
  <si>
    <t>Порядок ценообразования</t>
  </si>
  <si>
    <r>
      <t>Применение методики ценообразования, индексов, коэффициентов и т.д. в соответствии с п. 12.3 ТЗ *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</si>
  <si>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Авансирование</t>
  </si>
  <si>
    <t>__________% + БГ</t>
  </si>
  <si>
    <t xml:space="preserve"> (Участником указывается % аванса и согласие предоставления банковской гарантии, или встречные условия)</t>
  </si>
  <si>
    <t>Условия оплаты</t>
  </si>
  <si>
    <r>
      <t>В соответствии с разделом 4 Договора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</si>
  <si>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Гарантия на выполненные работы</t>
  </si>
  <si>
    <r>
      <t> Гарантийный срок на результат работ составляет 36 месяцев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</si>
  <si>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Согласие с условиями договора</t>
  </si>
  <si>
    <t>Согласны с условиями проекта договора, приложенного к документации о закупке</t>
  </si>
  <si>
    <t>Контактное лицо (ФИО, должность, телефон, e-mail)</t>
  </si>
  <si>
    <t>1632-2021-6.1-ОВ.Административно-бытовой корпус. Отопление, вентиляция и кондиционирование.   </t>
  </si>
  <si>
    <t>1632-2021-6.1-АОВ Административно-бытовой корпус. Автоматизация систем отопления, вентиляции и кондиционирования воздуха.</t>
  </si>
  <si>
    <t>1632-2021-6.1-ВК Административно-бытовой корпус. Внутренние системы водоснабжения и канализации.</t>
  </si>
  <si>
    <t>1632-2021-6.1-ТМ Административно-бытовой корпус. Индивидуальный тепловой пункт.</t>
  </si>
  <si>
    <t>1632-2021-8.2-ТМ КПП №2. Индивидуальный тепловой пункт.</t>
  </si>
  <si>
    <t>1632-2021-8.2-ОВ КПП №2. Отопление, вентиляция и кондиционирование.  </t>
  </si>
  <si>
    <t>1632-2021-8.2-АОВ КПП №2. Автоматизация систем отопления, вентиляции и кондиционирования воздуха.</t>
  </si>
  <si>
    <t>1632-2021-8.2-ВК.КПП №2. Внутренние системы водоснабжения и канализации.</t>
  </si>
  <si>
    <t>1632-2021-7.1-АОВ Ремонтно-механическая мастерская. Автоматизация систем отопления, вентиляции и кондиционирования воздуха.</t>
  </si>
  <si>
    <t>1632-2021-7.1-ОВ Ремонтно-механическая мастерская. Отопление, вентиляция и кондиционирование. </t>
  </si>
  <si>
    <t>1632-2021-7.1-ВК Ремонтно-механическая мастерская. Внутренние системы водоснабжения и канализации.</t>
  </si>
  <si>
    <t>1632-2021-7.1-ВС Ремонтно-механическая мастерская. Воздухоснабжение.</t>
  </si>
  <si>
    <t>1632-2021-7.1-ТМ Ремонтно-механическая мастерская. Индивидуальный тепловой пункт</t>
  </si>
  <si>
    <t>Итоговая стоимость, Руб. без НДС</t>
  </si>
  <si>
    <t>Материалы</t>
  </si>
  <si>
    <t>ВЗиС 5,2%</t>
  </si>
  <si>
    <t>ЗУ 2,1%</t>
  </si>
  <si>
    <t xml:space="preserve"> Перевозка  2,5%</t>
  </si>
  <si>
    <t>Вахтовый метод 3,5%</t>
  </si>
  <si>
    <t xml:space="preserve"> Перебазировка ММ 2%</t>
  </si>
  <si>
    <t xml:space="preserve">     НЗ 3%</t>
  </si>
  <si>
    <t>работы</t>
  </si>
  <si>
    <t>Итоговая стоимость, Руб.с НДС</t>
  </si>
  <si>
    <t>Коэффициент начисляется на итог сметы с учетом 3% непредвиденных, и равен отношению суммы договора на итоговую сметную стоимость.</t>
  </si>
  <si>
    <t>по коммерции</t>
  </si>
  <si>
    <t>Непредвиденные 3%</t>
  </si>
  <si>
    <t>Оборудование</t>
  </si>
  <si>
    <t>всего, без 3%</t>
  </si>
  <si>
    <t>с НДС 20%</t>
  </si>
  <si>
    <t>проверка</t>
  </si>
  <si>
    <t>Крытый склад №1. Автоматическое пожаротушение. Система автоматического пожаротушения</t>
  </si>
  <si>
    <t>Крытый склад №2. Автоматическое пожаротушение. Система автоматического пожаротушения</t>
  </si>
  <si>
    <t>шифр</t>
  </si>
  <si>
    <t>Пересыпные станции №№1, 2. Конвейерные галереи №№1,2,4,7. Система автоматического пожаротушения. Гидравлическая часть</t>
  </si>
  <si>
    <t xml:space="preserve">Пересыпная станция №3. Конвейерные галереи №№2,3,7,11. Конвейерные галереи №№2,3,7,11 Система автоматического пожаротушения. Гидравлическая часть(в составе АУПС и СОУЭ) </t>
  </si>
  <si>
    <t>Станция разгрузки вагонов. Здание трансбордера. Туннель. Система автоматического пожаротушения. Гидравлическая часть</t>
  </si>
  <si>
    <t>Приводная станция. Система автоматического пожаротушения. Гидравлическая часть</t>
  </si>
  <si>
    <t>Станция разгрузки вагонов. Здание трансбордера. Туннель. Система автоматического пожаротушения. Автоматизация пожаротушения</t>
  </si>
  <si>
    <t xml:space="preserve">Пересыпная станция №3. Конвейерные галереи №№2,3,7,11. Система автоматического пожаротушения. Автоматизация пожаротушения  </t>
  </si>
  <si>
    <t>Пересыпные станции №№4,5,6.Конвейерные галереи №№5,6,8,9,10,12,13.Система автоматического пожаротушения.</t>
  </si>
  <si>
    <t>Пересыпные станции №№4,5,6. Конвейерные галереи №№5,6,8,9,10,12,13. Система автоматического пожаротушения. Автоматизация пожаротушения</t>
  </si>
  <si>
    <t>Пересыпные станции №№1, 2. Конвейерные галереи №№1,2,4,7 Система автоматического пожаротушения. Автоматизация пожаротушения</t>
  </si>
  <si>
    <t>Приводная станция. Система автоматического пожаротушения. Автоматизация пожаротушения</t>
  </si>
  <si>
    <t>Крытый склад №1. Система автоматического пожаротушения. Автоматизация пожаротушения</t>
  </si>
  <si>
    <t>Крытый склад №2. Система автоматического пожаротушения. Автоматизация пожаротушения</t>
  </si>
  <si>
    <t xml:space="preserve">Купольный склад. Система автоматического пожаротушения. Автоматизация пожаротушения. </t>
  </si>
  <si>
    <t xml:space="preserve">Купольный склад. Система автоматического пожаротушения. Технологическая часть. </t>
  </si>
  <si>
    <t xml:space="preserve">  АБК. Система автоматического пожаротушения</t>
  </si>
  <si>
    <t>1632-2021-3.1-ПТ</t>
  </si>
  <si>
    <t>1632-2021-3.2-ПТ</t>
  </si>
  <si>
    <t>1632-2021-2.2.1, 2.2.2, 2.1.1, 2.1.2, 2.1.4, 2.1.7-ПТ</t>
  </si>
  <si>
    <t>1632-2021-2.1.2, 2.1.3, 2.1.7, 2.1.11, 2.2.3-ПТ</t>
  </si>
  <si>
    <t>1632-2021-1.1, 1.2, 2.1.0-ПТ</t>
  </si>
  <si>
    <t>1632-2021-2.2.7, 2.1.3-ПТ</t>
  </si>
  <si>
    <t>1632-2021-2.1.2, 2.1.3, 2.1.7, 2.1.11, 2.2.3-АУПТ</t>
  </si>
  <si>
    <t>1632-2021-2.2.7-АУПТ</t>
  </si>
  <si>
    <t>1632-2021-3.1-АУПТ</t>
  </si>
  <si>
    <t>1632-2021-3.2-АУПТ</t>
  </si>
  <si>
    <t>1632-2021-3.3-АУПТ</t>
  </si>
  <si>
    <t>1632-2021-6.1-ПТ.СУБ</t>
  </si>
  <si>
    <r>
      <t>1632-2021-1.1, 1.2, 2.1.0-АУПТ (</t>
    </r>
    <r>
      <rPr>
        <b/>
        <u/>
        <sz val="10"/>
        <color rgb="FFFF0000"/>
        <rFont val="Times New Roman"/>
        <family val="1"/>
        <charset val="204"/>
      </rPr>
      <t>ОТСУТСТВУЕТ)</t>
    </r>
  </si>
  <si>
    <r>
      <t>1632-2021-3.3-ПТ (</t>
    </r>
    <r>
      <rPr>
        <b/>
        <sz val="10"/>
        <color rgb="FFFF0000"/>
        <rFont val="Times New Roman"/>
        <family val="1"/>
        <charset val="204"/>
      </rPr>
      <t>В СМЕТЕ ШИФР 1632-2021-3.3-ВС,а название файла совпадает)</t>
    </r>
  </si>
  <si>
    <r>
      <t>1632-2021-2.1.5</t>
    </r>
    <r>
      <rPr>
        <b/>
        <sz val="10"/>
        <color rgb="FFFF0000"/>
        <rFont val="Times New Roman"/>
        <family val="1"/>
        <charset val="204"/>
      </rPr>
      <t>(две)</t>
    </r>
    <r>
      <rPr>
        <b/>
        <sz val="10"/>
        <color rgb="FF000000"/>
        <rFont val="Times New Roman"/>
        <family val="1"/>
        <charset val="204"/>
      </rPr>
      <t>,2.1.6</t>
    </r>
    <r>
      <rPr>
        <b/>
        <sz val="10"/>
        <color rgb="FFFF0000"/>
        <rFont val="Times New Roman"/>
        <family val="1"/>
        <charset val="204"/>
      </rPr>
      <t>(две)</t>
    </r>
    <r>
      <rPr>
        <b/>
        <sz val="10"/>
        <color rgb="FF000000"/>
        <rFont val="Times New Roman"/>
        <family val="1"/>
        <charset val="204"/>
      </rPr>
      <t>,2.1.8,2.1.9,2.1.10,2.1.12,</t>
    </r>
    <r>
      <rPr>
        <b/>
        <sz val="10"/>
        <color rgb="FFFF0000"/>
        <rFont val="Times New Roman"/>
        <family val="1"/>
        <charset val="204"/>
      </rPr>
      <t>2.1.13(нет)</t>
    </r>
    <r>
      <rPr>
        <b/>
        <sz val="10"/>
        <color rgb="FF000000"/>
        <rFont val="Times New Roman"/>
        <family val="1"/>
        <charset val="204"/>
      </rPr>
      <t>,2.2.4..2.2.6-ПТ</t>
    </r>
  </si>
  <si>
    <r>
      <t>1632-2021-2.2.1, 2.2.2, 2.1.1(</t>
    </r>
    <r>
      <rPr>
        <b/>
        <sz val="10"/>
        <color rgb="FFFF0000"/>
        <rFont val="Times New Roman"/>
        <family val="1"/>
        <charset val="204"/>
      </rPr>
      <t>нет</t>
    </r>
    <r>
      <rPr>
        <b/>
        <sz val="10"/>
        <rFont val="Times New Roman"/>
        <family val="1"/>
        <charset val="204"/>
      </rPr>
      <t>), 2.1.2(</t>
    </r>
    <r>
      <rPr>
        <b/>
        <sz val="10"/>
        <color rgb="FFFF0000"/>
        <rFont val="Times New Roman"/>
        <family val="1"/>
        <charset val="204"/>
      </rPr>
      <t>нет</t>
    </r>
    <r>
      <rPr>
        <b/>
        <sz val="10"/>
        <rFont val="Times New Roman"/>
        <family val="1"/>
        <charset val="204"/>
      </rPr>
      <t>), 2.1.4, 2.1.7(</t>
    </r>
    <r>
      <rPr>
        <b/>
        <sz val="10"/>
        <color rgb="FFFF0000"/>
        <rFont val="Times New Roman"/>
        <family val="1"/>
        <charset val="204"/>
      </rPr>
      <t>нет</t>
    </r>
    <r>
      <rPr>
        <b/>
        <sz val="10"/>
        <rFont val="Times New Roman"/>
        <family val="1"/>
        <charset val="204"/>
      </rPr>
      <t>)-АУПТ</t>
    </r>
  </si>
  <si>
    <r>
      <t xml:space="preserve">1632-2021-2.1.5,2.1.6,2.1.8,2.1.9,2.1.10,2.1.12,2.1.13,2.2.4..2.2.6-АУПТ </t>
    </r>
    <r>
      <rPr>
        <b/>
        <sz val="10"/>
        <color rgb="FFFF0000"/>
        <rFont val="Times New Roman"/>
        <family val="1"/>
        <charset val="204"/>
      </rPr>
      <t>(ОТСУТСТВУЮТ все, кроме 2.1.8 и 2.1.10 АУПТ)</t>
    </r>
  </si>
  <si>
    <t>1632-2021-2.1.2</t>
  </si>
  <si>
    <t>1632-2021-2.1.3</t>
  </si>
  <si>
    <t>1632-2021-2.1.7</t>
  </si>
  <si>
    <t>1632-2021-2.1.11</t>
  </si>
  <si>
    <t>1632-2021- 2.2.3</t>
  </si>
  <si>
    <t>Кдог</t>
  </si>
  <si>
    <r>
      <t xml:space="preserve">1632-2021-2.1.5,2.1.6,2.1.8,2.1.9,2.1.10,2.1.12,2.1.13,2.2.4..2.2.6-АУПТ </t>
    </r>
    <r>
      <rPr>
        <b/>
        <sz val="10"/>
        <color rgb="FFFF0000"/>
        <rFont val="Times New Roman"/>
        <family val="1"/>
        <charset val="204"/>
      </rPr>
      <t xml:space="preserve">(ОТСУТСТВУЮТ все, </t>
    </r>
    <r>
      <rPr>
        <b/>
        <sz val="10"/>
        <rFont val="Times New Roman"/>
        <family val="1"/>
        <charset val="204"/>
      </rPr>
      <t>кроме 2.1.8 и 2.1.10 АУПТ</t>
    </r>
    <r>
      <rPr>
        <b/>
        <sz val="10"/>
        <color rgb="FFFF0000"/>
        <rFont val="Times New Roman"/>
        <family val="1"/>
        <charset val="204"/>
      </rPr>
      <t>)</t>
    </r>
  </si>
  <si>
    <t>1632-2021-2.1.2, 2.1.3, 2.1.7, 2.1.11, 2.2.3-АУПТ, ( в том числе:)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</si>
</sst>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_-* #,##0.00\ _₽_-;\-* #,##0.00\ _₽_-;_-* &quot;-&quot;??\ _₽_-;_-@_-"/>
  </numFmts>
  <fonts count="2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FF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i/>
      <sz val="8"/>
      <color theme="1"/>
      <name val="Arial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0"/>
      <name val="Arial"/>
      <family val="2"/>
      <charset val="204"/>
    </font>
    <font>
      <b/>
      <i/>
      <sz val="8"/>
      <color theme="1"/>
      <name val="Arial"/>
      <family val="2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16"/>
      <color rgb="FFFF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rgb="FF66666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166" fontId="13" fillId="0" borderId="0" applyFont="0" applyFill="0" applyBorder="0" applyAlignment="0" applyProtection="0"/>
    <xf numFmtId="0" fontId="17" fillId="0" borderId="0"/>
  </cellStyleXfs>
  <cellXfs count="169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4" fontId="0" fillId="0" borderId="0" xfId="0" applyNumberFormat="1"/>
    <xf numFmtId="4" fontId="3" fillId="0" borderId="9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10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1" fillId="0" borderId="6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9" fillId="0" borderId="21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right" vertical="center"/>
    </xf>
    <xf numFmtId="4" fontId="3" fillId="3" borderId="5" xfId="0" applyNumberFormat="1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>
      <alignment horizontal="right" vertical="center"/>
    </xf>
    <xf numFmtId="4" fontId="0" fillId="0" borderId="0" xfId="0" applyNumberFormat="1" applyAlignment="1">
      <alignment horizontal="center" vertical="center"/>
    </xf>
    <xf numFmtId="4" fontId="1" fillId="4" borderId="0" xfId="0" applyNumberFormat="1" applyFont="1" applyFill="1" applyAlignment="1">
      <alignment horizontal="center" vertical="center"/>
    </xf>
    <xf numFmtId="165" fontId="12" fillId="0" borderId="0" xfId="0" applyNumberFormat="1" applyFont="1"/>
    <xf numFmtId="4" fontId="3" fillId="0" borderId="5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166" fontId="0" fillId="0" borderId="0" xfId="0" applyNumberFormat="1"/>
    <xf numFmtId="2" fontId="11" fillId="0" borderId="6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left" vertical="center" wrapText="1"/>
    </xf>
    <xf numFmtId="4" fontId="3" fillId="0" borderId="23" xfId="0" applyNumberFormat="1" applyFont="1" applyBorder="1" applyAlignment="1">
      <alignment horizontal="right" vertical="center"/>
    </xf>
    <xf numFmtId="4" fontId="3" fillId="0" borderId="24" xfId="0" applyNumberFormat="1" applyFont="1" applyBorder="1" applyAlignment="1">
      <alignment horizontal="right" vertical="center"/>
    </xf>
    <xf numFmtId="4" fontId="3" fillId="0" borderId="25" xfId="0" applyNumberFormat="1" applyFont="1" applyBorder="1" applyAlignment="1">
      <alignment horizontal="right" vertical="center"/>
    </xf>
    <xf numFmtId="3" fontId="9" fillId="0" borderId="25" xfId="0" applyNumberFormat="1" applyFont="1" applyBorder="1" applyAlignment="1">
      <alignment horizontal="right" vertical="center"/>
    </xf>
    <xf numFmtId="0" fontId="9" fillId="0" borderId="25" xfId="0" applyFont="1" applyBorder="1" applyAlignment="1">
      <alignment horizontal="right" vertical="center"/>
    </xf>
    <xf numFmtId="0" fontId="2" fillId="5" borderId="8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left" vertical="center" wrapText="1"/>
    </xf>
    <xf numFmtId="4" fontId="2" fillId="5" borderId="8" xfId="0" applyNumberFormat="1" applyFont="1" applyFill="1" applyBorder="1" applyAlignment="1">
      <alignment horizontal="right" vertical="center"/>
    </xf>
    <xf numFmtId="0" fontId="16" fillId="5" borderId="6" xfId="0" applyFont="1" applyFill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" fontId="0" fillId="0" borderId="0" xfId="0" applyNumberFormat="1" applyAlignment="1">
      <alignment vertical="center"/>
    </xf>
    <xf numFmtId="16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21" fillId="0" borderId="8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8" fillId="6" borderId="3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3" fillId="7" borderId="26" xfId="0" applyFont="1" applyFill="1" applyBorder="1" applyAlignment="1">
      <alignment horizontal="center" vertical="center"/>
    </xf>
    <xf numFmtId="0" fontId="8" fillId="7" borderId="26" xfId="0" applyFont="1" applyFill="1" applyBorder="1" applyAlignment="1">
      <alignment horizontal="left" vertical="center" wrapText="1"/>
    </xf>
    <xf numFmtId="0" fontId="22" fillId="7" borderId="26" xfId="0" applyFont="1" applyFill="1" applyBorder="1" applyAlignment="1">
      <alignment vertical="center"/>
    </xf>
    <xf numFmtId="4" fontId="23" fillId="7" borderId="26" xfId="0" applyNumberFormat="1" applyFont="1" applyFill="1" applyBorder="1" applyAlignment="1">
      <alignment horizontal="right" vertical="center"/>
    </xf>
    <xf numFmtId="3" fontId="9" fillId="7" borderId="26" xfId="0" applyNumberFormat="1" applyFont="1" applyFill="1" applyBorder="1" applyAlignment="1">
      <alignment horizontal="right" vertical="center"/>
    </xf>
    <xf numFmtId="0" fontId="9" fillId="7" borderId="26" xfId="0" applyFont="1" applyFill="1" applyBorder="1" applyAlignment="1">
      <alignment horizontal="right" vertical="center"/>
    </xf>
    <xf numFmtId="4" fontId="3" fillId="7" borderId="26" xfId="0" applyNumberFormat="1" applyFont="1" applyFill="1" applyBorder="1" applyAlignment="1">
      <alignment horizontal="right" vertical="center"/>
    </xf>
    <xf numFmtId="0" fontId="8" fillId="6" borderId="8" xfId="0" applyFont="1" applyFill="1" applyBorder="1" applyAlignment="1">
      <alignment horizontal="left" vertical="center" wrapText="1"/>
    </xf>
    <xf numFmtId="0" fontId="21" fillId="0" borderId="2" xfId="0" applyFont="1" applyBorder="1" applyAlignment="1">
      <alignment vertical="center" wrapText="1"/>
    </xf>
    <xf numFmtId="0" fontId="3" fillId="7" borderId="28" xfId="0" applyFont="1" applyFill="1" applyBorder="1" applyAlignment="1">
      <alignment horizontal="center" vertical="center"/>
    </xf>
    <xf numFmtId="0" fontId="8" fillId="7" borderId="28" xfId="0" applyFont="1" applyFill="1" applyBorder="1" applyAlignment="1">
      <alignment horizontal="left" vertical="center" wrapText="1"/>
    </xf>
    <xf numFmtId="0" fontId="22" fillId="7" borderId="28" xfId="0" applyFont="1" applyFill="1" applyBorder="1" applyAlignment="1">
      <alignment vertical="center"/>
    </xf>
    <xf numFmtId="4" fontId="23" fillId="7" borderId="28" xfId="0" applyNumberFormat="1" applyFont="1" applyFill="1" applyBorder="1" applyAlignment="1">
      <alignment horizontal="right" vertical="center"/>
    </xf>
    <xf numFmtId="3" fontId="9" fillId="7" borderId="28" xfId="0" applyNumberFormat="1" applyFont="1" applyFill="1" applyBorder="1" applyAlignment="1">
      <alignment horizontal="right" vertical="center"/>
    </xf>
    <xf numFmtId="0" fontId="9" fillId="7" borderId="28" xfId="0" applyFont="1" applyFill="1" applyBorder="1" applyAlignment="1">
      <alignment horizontal="right" vertical="center"/>
    </xf>
    <xf numFmtId="4" fontId="3" fillId="7" borderId="28" xfId="0" applyNumberFormat="1" applyFont="1" applyFill="1" applyBorder="1" applyAlignment="1">
      <alignment horizontal="right" vertical="center"/>
    </xf>
    <xf numFmtId="0" fontId="3" fillId="7" borderId="29" xfId="0" applyFont="1" applyFill="1" applyBorder="1" applyAlignment="1">
      <alignment horizontal="center" vertical="center"/>
    </xf>
    <xf numFmtId="0" fontId="8" fillId="7" borderId="29" xfId="0" applyFont="1" applyFill="1" applyBorder="1" applyAlignment="1">
      <alignment horizontal="left" vertical="center" wrapText="1"/>
    </xf>
    <xf numFmtId="0" fontId="22" fillId="7" borderId="29" xfId="0" applyFont="1" applyFill="1" applyBorder="1" applyAlignment="1">
      <alignment vertical="center"/>
    </xf>
    <xf numFmtId="4" fontId="23" fillId="7" borderId="29" xfId="0" applyNumberFormat="1" applyFont="1" applyFill="1" applyBorder="1" applyAlignment="1">
      <alignment horizontal="right" vertical="center"/>
    </xf>
    <xf numFmtId="3" fontId="9" fillId="7" borderId="29" xfId="0" applyNumberFormat="1" applyFont="1" applyFill="1" applyBorder="1" applyAlignment="1">
      <alignment horizontal="right" vertical="center"/>
    </xf>
    <xf numFmtId="0" fontId="9" fillId="7" borderId="29" xfId="0" applyFont="1" applyFill="1" applyBorder="1" applyAlignment="1">
      <alignment horizontal="right" vertical="center"/>
    </xf>
    <xf numFmtId="4" fontId="3" fillId="7" borderId="29" xfId="0" applyNumberFormat="1" applyFont="1" applyFill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18" fillId="0" borderId="27" xfId="0" applyFont="1" applyBorder="1" applyAlignment="1">
      <alignment vertical="center" wrapText="1"/>
    </xf>
    <xf numFmtId="0" fontId="18" fillId="0" borderId="1" xfId="0" applyFont="1" applyBorder="1" applyAlignment="1">
      <alignment vertical="center"/>
    </xf>
    <xf numFmtId="0" fontId="18" fillId="0" borderId="3" xfId="0" applyFont="1" applyBorder="1" applyAlignment="1">
      <alignment vertical="center" wrapText="1"/>
    </xf>
    <xf numFmtId="4" fontId="3" fillId="8" borderId="5" xfId="0" applyNumberFormat="1" applyFont="1" applyFill="1" applyBorder="1" applyAlignment="1">
      <alignment horizontal="right" vertical="center"/>
    </xf>
    <xf numFmtId="4" fontId="3" fillId="8" borderId="4" xfId="0" applyNumberFormat="1" applyFont="1" applyFill="1" applyBorder="1" applyAlignment="1">
      <alignment horizontal="right" vertical="center"/>
    </xf>
    <xf numFmtId="4" fontId="2" fillId="0" borderId="1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4" fontId="6" fillId="2" borderId="14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164" fontId="14" fillId="0" borderId="16" xfId="0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2" fillId="7" borderId="28" xfId="0" applyFont="1" applyFill="1" applyBorder="1" applyAlignment="1">
      <alignment vertical="center" wrapText="1"/>
    </xf>
    <xf numFmtId="0" fontId="22" fillId="7" borderId="26" xfId="0" applyFont="1" applyFill="1" applyBorder="1" applyAlignment="1">
      <alignment vertical="center" wrapText="1"/>
    </xf>
    <xf numFmtId="0" fontId="22" fillId="7" borderId="29" xfId="0" applyFont="1" applyFill="1" applyBorder="1" applyAlignment="1">
      <alignment vertical="center" wrapText="1"/>
    </xf>
  </cellXfs>
  <cellStyles count="4">
    <cellStyle name="Обычный" xfId="0" builtinId="0"/>
    <cellStyle name="Обычный 2" xfId="1" xr:uid="{CBD9308A-39FB-4584-A319-893F6541A376}"/>
    <cellStyle name="Обычный 3" xfId="3" xr:uid="{48448F58-67FE-4154-95A3-0865B9147317}"/>
    <cellStyle name="Финансовый 2" xfId="2" xr:uid="{EA693DC2-A2E7-4099-9A98-0DE2527730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3.1-&#1055;&#1058;_07.0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8/&#1051;&#1057;%201632-2021-2.1.11-&#1040;&#1059;&#1055;&#1058;_07.0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8/&#1051;&#1057;%201632-2021-2.2.3_&#1040;&#1059;&#1055;&#1058;_07.0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2.7-&#1040;&#1059;&#1055;&#1058;-07.0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3.1-%20&#1040;&#1059;&#1055;&#1058;_07.0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3.2-&#1040;&#1059;&#1055;&#1058;_07.0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3.3-&#1040;&#1059;&#1055;&#1058;_07.0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3.3-&#1055;&#1058;_07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6.1-&#1055;&#1058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3.1-&#1042;&#1050;%20&#1050;&#1088;&#1099;&#1090;&#1099;&#1081;%20&#1089;&#1082;&#1083;&#1072;&#1076;%20&#8470;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3.2-&#1042;&#1050;%20&#1050;&#1088;&#1099;&#1090;&#1099;&#1081;%20&#1089;&#1082;&#1083;&#1072;&#1076;%20&#8470;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3.2-&#1055;&#1058;_07.03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3.3-&#1042;&#1050;%20&#1050;&#1091;&#1087;.&#1089;&#1082;&#1083;&#1072;&#1076;&#1099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3.3-&#1042;&#1057;%20&#1050;&#1091;&#1087;.&#1089;&#1082;&#1083;&#1072;&#1076;&#1099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8.4-&#1042;&#1050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1.1,%201.2-&#1042;&#1050;%20&#1057;&#1056;&#1042;,%20&#1058;&#1088;&#1072;&#1085;&#1089;&#1073;&#1086;&#1088;&#1076;&#1077;&#108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2.1,2.2.2,2.1.1,2.1.2,2.1.4,2.1.7-&#1055;&#1058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2,%202.1.3,%202.1.7,%202.1.11,%202.2.3-&#1055;&#1058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1.1,%201.2,%202.1.0-&#1055;&#1058;_07.02.010_07.02.011_07.0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2.7,%202.1.3-&#1055;&#1058;_07.0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8/&#1051;&#1057;%201632-2021-2.1.2-&#1040;&#1059;&#1055;&#1058;_07.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8/&#1051;&#1057;%201632-2021-2.1.3-&#1040;&#1059;&#1055;&#1058;_07.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8/&#1051;&#1057;%201632-2021-2.1.7-&#1040;&#1059;&#1055;&#1058;_07.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1-ПТ_07.03.010-П-00"/>
    </sheetNames>
    <sheetDataSet>
      <sheetData sheetId="0">
        <row r="425">
          <cell r="L425">
            <v>11980169</v>
          </cell>
        </row>
        <row r="428">
          <cell r="L428">
            <v>15041653</v>
          </cell>
        </row>
        <row r="439">
          <cell r="L439">
            <v>44978014</v>
          </cell>
        </row>
        <row r="443">
          <cell r="L443">
            <v>55592824.799999997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11-АУПТ_07.04.050"/>
    </sheetNames>
    <sheetDataSet>
      <sheetData sheetId="0">
        <row r="137">
          <cell r="L137">
            <v>198615</v>
          </cell>
        </row>
        <row r="140">
          <cell r="L140">
            <v>72644</v>
          </cell>
        </row>
        <row r="151">
          <cell r="L151">
            <v>510245</v>
          </cell>
        </row>
        <row r="155">
          <cell r="L155">
            <v>630662.40000000002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3_АУПТ_07.04.022 "/>
    </sheetNames>
    <sheetDataSet>
      <sheetData sheetId="0">
        <row r="159">
          <cell r="L159">
            <v>330694</v>
          </cell>
        </row>
        <row r="162">
          <cell r="L162">
            <v>246681</v>
          </cell>
        </row>
        <row r="173">
          <cell r="L173">
            <v>1211462</v>
          </cell>
        </row>
        <row r="177">
          <cell r="L177">
            <v>1497367.2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7-АУПТ-07.04.026 "/>
    </sheetNames>
    <sheetDataSet>
      <sheetData sheetId="0">
        <row r="159">
          <cell r="L159">
            <v>146010</v>
          </cell>
        </row>
        <row r="162">
          <cell r="L162">
            <v>191708</v>
          </cell>
        </row>
        <row r="173">
          <cell r="L173">
            <v>671991</v>
          </cell>
        </row>
        <row r="177">
          <cell r="L177">
            <v>830581.2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1- АУПТ_07.03.010 -"/>
    </sheetNames>
    <sheetDataSet>
      <sheetData sheetId="0">
        <row r="275">
          <cell r="L275">
            <v>2984343</v>
          </cell>
        </row>
        <row r="278">
          <cell r="L278">
            <v>6635680</v>
          </cell>
        </row>
        <row r="289">
          <cell r="L289">
            <v>13970660</v>
          </cell>
        </row>
        <row r="293">
          <cell r="L293">
            <v>17267736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2-АУПТ_07.03.011 - "/>
    </sheetNames>
    <sheetDataSet>
      <sheetData sheetId="0">
        <row r="317">
          <cell r="L317">
            <v>3029201</v>
          </cell>
        </row>
        <row r="320">
          <cell r="L320">
            <v>19924412</v>
          </cell>
        </row>
        <row r="331">
          <cell r="L331">
            <v>27884517</v>
          </cell>
        </row>
        <row r="335">
          <cell r="L335">
            <v>34465263.600000001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3-АУПТ_07.03.012 - "/>
    </sheetNames>
    <sheetDataSet>
      <sheetData sheetId="0">
        <row r="258">
          <cell r="L258">
            <v>2751854</v>
          </cell>
        </row>
        <row r="261">
          <cell r="L261">
            <v>400314</v>
          </cell>
        </row>
        <row r="272">
          <cell r="L272">
            <v>11318458</v>
          </cell>
        </row>
        <row r="276">
          <cell r="L276">
            <v>13989614.4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3-ПТ_07.03.012 - По"/>
    </sheetNames>
    <sheetDataSet>
      <sheetData sheetId="0">
        <row r="223">
          <cell r="L223">
            <v>5164988.99</v>
          </cell>
        </row>
        <row r="226">
          <cell r="L226">
            <v>21965755.940000001</v>
          </cell>
        </row>
        <row r="237">
          <cell r="L237">
            <v>37116333.840000004</v>
          </cell>
        </row>
        <row r="241">
          <cell r="L241">
            <v>45875788.630000003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6.1-ПТ_АБК - Полный л"/>
    </sheetNames>
    <sheetDataSet>
      <sheetData sheetId="0">
        <row r="239">
          <cell r="L239">
            <v>155857.28</v>
          </cell>
        </row>
        <row r="242">
          <cell r="L242">
            <v>686.55</v>
          </cell>
        </row>
        <row r="253">
          <cell r="L253">
            <v>1568657.12</v>
          </cell>
        </row>
        <row r="257">
          <cell r="L257">
            <v>1938860.2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1-ВК Крытый склад №"/>
    </sheetNames>
    <sheetDataSet>
      <sheetData sheetId="0">
        <row r="342">
          <cell r="L342">
            <v>336268.3</v>
          </cell>
        </row>
        <row r="360">
          <cell r="L360">
            <v>3189031.06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2-ВК Крытый склад №"/>
    </sheetNames>
    <sheetDataSet>
      <sheetData sheetId="0">
        <row r="340">
          <cell r="L340">
            <v>370303.84</v>
          </cell>
        </row>
        <row r="358">
          <cell r="L358">
            <v>3018564.22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2-ПТ_07.03.011-П-00"/>
    </sheetNames>
    <sheetDataSet>
      <sheetData sheetId="0">
        <row r="498">
          <cell r="L498">
            <v>17392871</v>
          </cell>
        </row>
        <row r="501">
          <cell r="L501">
            <v>16159230</v>
          </cell>
        </row>
        <row r="512">
          <cell r="L512">
            <v>56127406</v>
          </cell>
        </row>
        <row r="516">
          <cell r="L516">
            <v>69373473.599999994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3-ВК Куп.склады - П"/>
    </sheetNames>
    <sheetDataSet>
      <sheetData sheetId="0">
        <row r="142">
          <cell r="L142">
            <v>66941.55</v>
          </cell>
        </row>
        <row r="160">
          <cell r="L160">
            <v>877478.69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3-ВС Куп.склады - П"/>
    </sheetNames>
    <sheetDataSet>
      <sheetData sheetId="0">
        <row r="93">
          <cell r="L93">
            <v>839757.89</v>
          </cell>
        </row>
        <row r="108">
          <cell r="L108">
            <v>1623780.42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8.4-ВК - Полный локал"/>
    </sheetNames>
    <sheetDataSet>
      <sheetData sheetId="0">
        <row r="472">
          <cell r="L472">
            <v>572916.52</v>
          </cell>
        </row>
        <row r="490">
          <cell r="L490">
            <v>1975479.5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1.1, 1.2-ВК СРВ, Тран"/>
    </sheetNames>
    <sheetDataSet>
      <sheetData sheetId="0">
        <row r="755">
          <cell r="L755">
            <v>4817069</v>
          </cell>
        </row>
        <row r="758">
          <cell r="L758">
            <v>1183882</v>
          </cell>
        </row>
        <row r="769">
          <cell r="L769">
            <v>10310110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1,2.2.2,2.1.1,2.1"/>
    </sheetNames>
    <sheetDataSet>
      <sheetData sheetId="0">
        <row r="516">
          <cell r="L516">
            <v>10943637</v>
          </cell>
        </row>
        <row r="519">
          <cell r="L519">
            <v>20659103</v>
          </cell>
        </row>
        <row r="530">
          <cell r="L530">
            <v>60621209</v>
          </cell>
        </row>
        <row r="534">
          <cell r="L534">
            <v>74927814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2, 2.1.3, 2.1.7, "/>
    </sheetNames>
    <sheetDataSet>
      <sheetData sheetId="0">
        <row r="507">
          <cell r="L507">
            <v>5167764</v>
          </cell>
        </row>
        <row r="510">
          <cell r="L510">
            <v>16055118</v>
          </cell>
        </row>
        <row r="521">
          <cell r="L521">
            <v>33172946</v>
          </cell>
        </row>
        <row r="525">
          <cell r="L525">
            <v>41001760.799999997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1.1, 1.2, 2.1.0-ПТ_07"/>
    </sheetNames>
    <sheetDataSet>
      <sheetData sheetId="0" refreshError="1">
        <row r="545">
          <cell r="L545">
            <v>5094585</v>
          </cell>
        </row>
        <row r="548">
          <cell r="L548">
            <v>8102520</v>
          </cell>
        </row>
        <row r="559">
          <cell r="L559">
            <v>26020451</v>
          </cell>
        </row>
        <row r="563">
          <cell r="L563">
            <v>32161278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7, 2.1.3-ПТ_07.04"/>
    </sheetNames>
    <sheetDataSet>
      <sheetData sheetId="0">
        <row r="379">
          <cell r="L379">
            <v>1815554</v>
          </cell>
        </row>
        <row r="382">
          <cell r="L382">
            <v>9713360</v>
          </cell>
        </row>
        <row r="393">
          <cell r="L393">
            <v>16098306</v>
          </cell>
        </row>
        <row r="397">
          <cell r="L397">
            <v>19897506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2-АУПТ_07.04.041 "/>
    </sheetNames>
    <sheetDataSet>
      <sheetData sheetId="0">
        <row r="137">
          <cell r="L137">
            <v>198615</v>
          </cell>
        </row>
        <row r="140">
          <cell r="L140">
            <v>72644</v>
          </cell>
        </row>
        <row r="151">
          <cell r="L151">
            <v>510245</v>
          </cell>
        </row>
        <row r="155">
          <cell r="L155">
            <v>630662.40000000002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3-АУПТ_07.04.042 "/>
    </sheetNames>
    <sheetDataSet>
      <sheetData sheetId="0">
        <row r="137">
          <cell r="L137">
            <v>233272</v>
          </cell>
        </row>
        <row r="140">
          <cell r="L140">
            <v>142679</v>
          </cell>
        </row>
        <row r="151">
          <cell r="L151">
            <v>687972</v>
          </cell>
        </row>
        <row r="155">
          <cell r="L155">
            <v>850333.2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7-АУПТ_07.04.046 "/>
    </sheetNames>
    <sheetDataSet>
      <sheetData sheetId="0">
        <row r="137">
          <cell r="L137">
            <v>266160</v>
          </cell>
        </row>
        <row r="140">
          <cell r="L140">
            <v>145286</v>
          </cell>
        </row>
        <row r="151">
          <cell r="L151">
            <v>746619</v>
          </cell>
        </row>
        <row r="155">
          <cell r="L155">
            <v>922821.6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6B2CC-5481-41EC-A635-5FE3401A3199}">
  <dimension ref="A1:T33"/>
  <sheetViews>
    <sheetView workbookViewId="0">
      <selection activeCell="C5" sqref="C5"/>
    </sheetView>
  </sheetViews>
  <sheetFormatPr defaultRowHeight="15" outlineLevelCol="1" x14ac:dyDescent="0.25"/>
  <cols>
    <col min="2" max="2" width="64.5703125" customWidth="1"/>
    <col min="3" max="4" width="12.7109375" bestFit="1" customWidth="1"/>
    <col min="5" max="5" width="12.7109375" customWidth="1" outlineLevel="1"/>
    <col min="6" max="6" width="13.28515625" customWidth="1" outlineLevel="1"/>
    <col min="7" max="12" width="10.7109375" style="22" customWidth="1" outlineLevel="1"/>
    <col min="13" max="13" width="12.42578125" style="22" customWidth="1" outlineLevel="1"/>
    <col min="14" max="14" width="10.7109375" style="22" customWidth="1" outlineLevel="1"/>
    <col min="15" max="15" width="26.140625" customWidth="1"/>
    <col min="16" max="16" width="17.42578125" customWidth="1"/>
    <col min="17" max="17" width="17.28515625" customWidth="1"/>
    <col min="18" max="18" width="13.5703125" bestFit="1" customWidth="1"/>
    <col min="19" max="19" width="14.5703125" customWidth="1"/>
    <col min="20" max="20" width="14.28515625" bestFit="1" customWidth="1"/>
  </cols>
  <sheetData>
    <row r="1" spans="1:17" ht="25.5" customHeight="1" thickBot="1" x14ac:dyDescent="0.3">
      <c r="A1" s="122" t="s">
        <v>0</v>
      </c>
      <c r="B1" s="122" t="s">
        <v>1</v>
      </c>
      <c r="C1" s="124" t="s">
        <v>2</v>
      </c>
      <c r="D1" s="125"/>
      <c r="E1" s="120" t="s">
        <v>48</v>
      </c>
      <c r="F1" s="120" t="s">
        <v>5</v>
      </c>
      <c r="G1" s="118" t="s">
        <v>42</v>
      </c>
      <c r="H1" s="23"/>
      <c r="I1" s="118" t="s">
        <v>43</v>
      </c>
      <c r="J1" s="23"/>
      <c r="K1" s="118" t="s">
        <v>45</v>
      </c>
      <c r="L1" s="118" t="s">
        <v>44</v>
      </c>
      <c r="M1" s="118" t="s">
        <v>46</v>
      </c>
      <c r="N1" s="118" t="s">
        <v>47</v>
      </c>
      <c r="O1" s="122" t="s">
        <v>3</v>
      </c>
    </row>
    <row r="2" spans="1:17" ht="35.25" customHeight="1" thickBot="1" x14ac:dyDescent="0.3">
      <c r="A2" s="123"/>
      <c r="B2" s="123"/>
      <c r="C2" s="1" t="s">
        <v>4</v>
      </c>
      <c r="D2" s="1" t="s">
        <v>5</v>
      </c>
      <c r="E2" s="121"/>
      <c r="F2" s="121"/>
      <c r="G2" s="119"/>
      <c r="H2" s="31"/>
      <c r="I2" s="119"/>
      <c r="J2" s="31"/>
      <c r="K2" s="119"/>
      <c r="L2" s="119"/>
      <c r="M2" s="119"/>
      <c r="N2" s="119"/>
      <c r="O2" s="126"/>
    </row>
    <row r="3" spans="1:17" ht="15.75" thickBot="1" x14ac:dyDescent="0.3">
      <c r="A3" s="2">
        <v>1</v>
      </c>
      <c r="B3" s="3">
        <v>2</v>
      </c>
      <c r="C3" s="3">
        <v>3</v>
      </c>
      <c r="D3" s="3">
        <v>4</v>
      </c>
      <c r="E3" s="32"/>
      <c r="F3" s="32"/>
      <c r="G3" s="27">
        <v>1.052</v>
      </c>
      <c r="H3" s="27"/>
      <c r="I3" s="27">
        <v>1.0209999999999999</v>
      </c>
      <c r="J3" s="27"/>
      <c r="K3" s="27">
        <v>1.0349999999999999</v>
      </c>
      <c r="L3" s="27">
        <v>1.0249999999999999</v>
      </c>
      <c r="M3" s="27">
        <v>1.02</v>
      </c>
      <c r="N3" s="27">
        <v>1</v>
      </c>
      <c r="O3" s="3">
        <v>5</v>
      </c>
    </row>
    <row r="4" spans="1:17" s="26" customFormat="1" ht="35.1" customHeight="1" thickBot="1" x14ac:dyDescent="0.3">
      <c r="A4" s="4">
        <v>1</v>
      </c>
      <c r="B4" s="16" t="s">
        <v>27</v>
      </c>
      <c r="C4" s="28" t="e">
        <f>E4*G3*I3*K3*L3*M3*N3-448028.54</f>
        <v>#REF!</v>
      </c>
      <c r="D4" s="29" t="e">
        <f>F4*G3*I3*K3*L3*M3*N3</f>
        <v>#REF!</v>
      </c>
      <c r="E4" s="33" t="e">
        <f>#REF!+#REF!+#REF!+#REF!</f>
        <v>#REF!</v>
      </c>
      <c r="F4" s="33" t="e">
        <f>#REF!</f>
        <v>#REF!</v>
      </c>
      <c r="G4" s="20"/>
      <c r="H4" s="20"/>
      <c r="I4" s="20"/>
      <c r="J4" s="20"/>
      <c r="K4" s="20"/>
      <c r="L4" s="20"/>
      <c r="M4" s="20"/>
      <c r="N4" s="20"/>
      <c r="O4" s="28" t="e">
        <f>C4+D4</f>
        <v>#REF!</v>
      </c>
      <c r="P4" s="36" t="e">
        <f>#REF!</f>
        <v>#REF!</v>
      </c>
      <c r="Q4" s="36" t="e">
        <f>O4-P4</f>
        <v>#REF!</v>
      </c>
    </row>
    <row r="5" spans="1:17" ht="35.1" customHeight="1" thickBot="1" x14ac:dyDescent="0.3">
      <c r="A5" s="5">
        <v>2</v>
      </c>
      <c r="B5" s="17" t="s">
        <v>28</v>
      </c>
      <c r="C5" s="28" t="e">
        <f>E5*G3*I3*K3*L3*M3*N3-25408.41</f>
        <v>#REF!</v>
      </c>
      <c r="D5" s="29" t="e">
        <f>F5*G3*I3*K3*L3*M3*N3</f>
        <v>#REF!</v>
      </c>
      <c r="E5" s="34" t="e">
        <f>#REF!+#REF!+#REF!+#REF!</f>
        <v>#REF!</v>
      </c>
      <c r="F5" s="34" t="e">
        <f>#REF!</f>
        <v>#REF!</v>
      </c>
      <c r="G5" s="21"/>
      <c r="H5" s="21"/>
      <c r="I5" s="21"/>
      <c r="J5" s="21"/>
      <c r="K5" s="21"/>
      <c r="L5" s="21"/>
      <c r="M5" s="21"/>
      <c r="N5" s="21"/>
      <c r="O5" s="28" t="e">
        <f>C5+D5</f>
        <v>#REF!</v>
      </c>
      <c r="P5" s="36" t="e">
        <f>#REF!</f>
        <v>#REF!</v>
      </c>
      <c r="Q5" s="36" t="e">
        <f t="shared" ref="Q5:Q16" si="0">O5-P5</f>
        <v>#REF!</v>
      </c>
    </row>
    <row r="6" spans="1:17" ht="35.1" customHeight="1" thickBot="1" x14ac:dyDescent="0.3">
      <c r="A6" s="5">
        <v>3</v>
      </c>
      <c r="B6" s="17" t="s">
        <v>29</v>
      </c>
      <c r="C6" s="30" t="e">
        <f>E6*G3*I3*K3*L3*M3*N3-80362.07</f>
        <v>#REF!</v>
      </c>
      <c r="D6" s="29" t="e">
        <f>F6*G3*I3*K3*L3*M3*N3</f>
        <v>#REF!</v>
      </c>
      <c r="E6" s="35" t="e">
        <f>#REF!+#REF!+#REF!+#REF!</f>
        <v>#REF!</v>
      </c>
      <c r="F6" s="34" t="e">
        <f>#REF!</f>
        <v>#REF!</v>
      </c>
      <c r="G6" s="21"/>
      <c r="H6" s="21"/>
      <c r="I6" s="21"/>
      <c r="J6" s="21"/>
      <c r="K6" s="21"/>
      <c r="L6" s="21"/>
      <c r="M6" s="21"/>
      <c r="N6" s="21"/>
      <c r="O6" s="19" t="e">
        <f t="shared" ref="O6:O16" si="1">C6+D6</f>
        <v>#REF!</v>
      </c>
      <c r="P6" s="36" t="e">
        <f>#REF!</f>
        <v>#REF!</v>
      </c>
      <c r="Q6" s="36" t="e">
        <f t="shared" si="0"/>
        <v>#REF!</v>
      </c>
    </row>
    <row r="7" spans="1:17" ht="35.1" customHeight="1" thickBot="1" x14ac:dyDescent="0.3">
      <c r="A7" s="5">
        <f>A6+1</f>
        <v>4</v>
      </c>
      <c r="B7" s="17" t="s">
        <v>30</v>
      </c>
      <c r="C7" s="28" t="e">
        <f>E7*G3*I3*K3*L3*M3*N3-6586.96</f>
        <v>#REF!</v>
      </c>
      <c r="D7" s="19" t="e">
        <f>F7*G3*I3*K3*L3*M3*N3</f>
        <v>#REF!</v>
      </c>
      <c r="E7" s="34" t="e">
        <f>#REF!-#REF!</f>
        <v>#REF!</v>
      </c>
      <c r="F7" s="34" t="e">
        <f>#REF!</f>
        <v>#REF!</v>
      </c>
      <c r="G7" s="21"/>
      <c r="H7" s="21"/>
      <c r="I7" s="21"/>
      <c r="J7" s="21"/>
      <c r="K7" s="21"/>
      <c r="L7" s="21"/>
      <c r="M7" s="21"/>
      <c r="N7" s="21"/>
      <c r="O7" s="28" t="e">
        <f t="shared" si="1"/>
        <v>#REF!</v>
      </c>
      <c r="P7" s="36" t="e">
        <f>#REF!</f>
        <v>#REF!</v>
      </c>
      <c r="Q7" s="36" t="e">
        <f t="shared" si="0"/>
        <v>#REF!</v>
      </c>
    </row>
    <row r="8" spans="1:17" ht="35.1" customHeight="1" thickBot="1" x14ac:dyDescent="0.3">
      <c r="A8" s="5">
        <f t="shared" ref="A8:A16" si="2">A7+1</f>
        <v>5</v>
      </c>
      <c r="B8" s="17" t="s">
        <v>31</v>
      </c>
      <c r="C8" s="19" t="e">
        <f>E8*G3*I3*K3*L3*M3*N3-1385.16</f>
        <v>#REF!</v>
      </c>
      <c r="D8" s="29" t="e">
        <f>F8*G3*I3*K3*L3*M3*N3</f>
        <v>#REF!</v>
      </c>
      <c r="E8" s="34" t="e">
        <f>#REF!-#REF!</f>
        <v>#REF!</v>
      </c>
      <c r="F8" s="34" t="e">
        <f>#REF!</f>
        <v>#REF!</v>
      </c>
      <c r="G8" s="24"/>
      <c r="H8" s="25"/>
      <c r="I8" s="25"/>
      <c r="J8" s="25"/>
      <c r="K8" s="25"/>
      <c r="L8" s="25"/>
      <c r="M8" s="25"/>
      <c r="N8" s="25"/>
      <c r="O8" s="19" t="e">
        <f t="shared" si="1"/>
        <v>#REF!</v>
      </c>
      <c r="P8" s="36" t="e">
        <f>#REF!</f>
        <v>#REF!</v>
      </c>
      <c r="Q8" s="36" t="e">
        <f t="shared" si="0"/>
        <v>#REF!</v>
      </c>
    </row>
    <row r="9" spans="1:17" ht="35.1" customHeight="1" thickBot="1" x14ac:dyDescent="0.3">
      <c r="A9" s="5">
        <f t="shared" si="2"/>
        <v>6</v>
      </c>
      <c r="B9" s="17" t="s">
        <v>32</v>
      </c>
      <c r="C9" s="28" t="e">
        <f>E9*G3*I3*K3*L3*M3*N3-12956.45</f>
        <v>#REF!</v>
      </c>
      <c r="D9" s="19" t="e">
        <f>F9*G3*I3*K3*L3*M3*N3</f>
        <v>#REF!</v>
      </c>
      <c r="E9" s="34" t="e">
        <f>#REF!-#REF!</f>
        <v>#REF!</v>
      </c>
      <c r="F9" s="34" t="e">
        <f>#REF!</f>
        <v>#REF!</v>
      </c>
      <c r="G9" s="20"/>
      <c r="H9" s="20"/>
      <c r="I9" s="20"/>
      <c r="J9" s="20"/>
      <c r="K9" s="20"/>
      <c r="L9" s="20"/>
      <c r="M9" s="20"/>
      <c r="N9" s="20"/>
      <c r="O9" s="28" t="e">
        <f t="shared" si="1"/>
        <v>#REF!</v>
      </c>
      <c r="P9" s="36" t="e">
        <f>#REF!</f>
        <v>#REF!</v>
      </c>
      <c r="Q9" s="36" t="e">
        <f t="shared" si="0"/>
        <v>#REF!</v>
      </c>
    </row>
    <row r="10" spans="1:17" ht="35.1" customHeight="1" thickBot="1" x14ac:dyDescent="0.3">
      <c r="A10" s="5">
        <f t="shared" si="2"/>
        <v>7</v>
      </c>
      <c r="B10" s="17" t="s">
        <v>33</v>
      </c>
      <c r="C10" s="19" t="e">
        <f>E10*G3*I3*K3*L3*M3*N3-1477.19</f>
        <v>#REF!</v>
      </c>
      <c r="D10" s="29" t="e">
        <f>F10*G3*I3*K3*L3*M3*N3</f>
        <v>#REF!</v>
      </c>
      <c r="E10" s="34" t="e">
        <f>#REF!-#REF!</f>
        <v>#REF!</v>
      </c>
      <c r="F10" s="34" t="e">
        <f>#REF!</f>
        <v>#REF!</v>
      </c>
      <c r="G10" s="21"/>
      <c r="H10" s="21"/>
      <c r="I10" s="21"/>
      <c r="J10" s="21"/>
      <c r="K10" s="21"/>
      <c r="L10" s="21"/>
      <c r="M10" s="21"/>
      <c r="N10" s="21"/>
      <c r="O10" s="19" t="e">
        <f t="shared" si="1"/>
        <v>#REF!</v>
      </c>
      <c r="P10" s="36" t="e">
        <f>#REF!</f>
        <v>#REF!</v>
      </c>
      <c r="Q10" s="36" t="e">
        <f t="shared" si="0"/>
        <v>#REF!</v>
      </c>
    </row>
    <row r="11" spans="1:17" ht="35.1" customHeight="1" thickBot="1" x14ac:dyDescent="0.3">
      <c r="A11" s="5">
        <f t="shared" si="2"/>
        <v>8</v>
      </c>
      <c r="B11" s="17" t="s">
        <v>34</v>
      </c>
      <c r="C11" s="28" t="e">
        <f>E11*G3*I3*K3*L3*M3*N3-3228.93</f>
        <v>#REF!</v>
      </c>
      <c r="D11" s="19" t="e">
        <f>F11*G3*I3*K3*L3*M3*N3</f>
        <v>#REF!</v>
      </c>
      <c r="E11" s="34" t="e">
        <f>#REF!-#REF!</f>
        <v>#REF!</v>
      </c>
      <c r="F11" s="34" t="e">
        <f>#REF!</f>
        <v>#REF!</v>
      </c>
      <c r="G11" s="21"/>
      <c r="H11" s="21"/>
      <c r="I11" s="21"/>
      <c r="J11" s="21"/>
      <c r="K11" s="21"/>
      <c r="L11" s="21"/>
      <c r="M11" s="21"/>
      <c r="N11" s="21"/>
      <c r="O11" s="28" t="e">
        <f t="shared" si="1"/>
        <v>#REF!</v>
      </c>
      <c r="P11" s="36" t="e">
        <f>#REF!</f>
        <v>#REF!</v>
      </c>
      <c r="Q11" s="36" t="e">
        <f t="shared" si="0"/>
        <v>#REF!</v>
      </c>
    </row>
    <row r="12" spans="1:17" ht="35.1" customHeight="1" thickBot="1" x14ac:dyDescent="0.3">
      <c r="A12" s="5">
        <f t="shared" si="2"/>
        <v>9</v>
      </c>
      <c r="B12" s="17" t="s">
        <v>35</v>
      </c>
      <c r="C12" s="19" t="e">
        <f>E12*G3*I3*K3*L3*M3*N3-9159.78</f>
        <v>#REF!</v>
      </c>
      <c r="D12" s="29" t="e">
        <f>F12*G3*I3*K3*L3*M3*N3</f>
        <v>#REF!</v>
      </c>
      <c r="E12" s="34" t="e">
        <f>#REF!-#REF!</f>
        <v>#REF!</v>
      </c>
      <c r="F12" s="34" t="e">
        <f>#REF!</f>
        <v>#REF!</v>
      </c>
      <c r="G12" s="21"/>
      <c r="H12" s="21"/>
      <c r="I12" s="21"/>
      <c r="J12" s="21"/>
      <c r="K12" s="21"/>
      <c r="L12" s="21"/>
      <c r="M12" s="21"/>
      <c r="N12" s="21"/>
      <c r="O12" s="19" t="e">
        <f t="shared" si="1"/>
        <v>#REF!</v>
      </c>
      <c r="P12" s="36" t="e">
        <f>#REF!</f>
        <v>#REF!</v>
      </c>
      <c r="Q12" s="36" t="e">
        <f t="shared" si="0"/>
        <v>#REF!</v>
      </c>
    </row>
    <row r="13" spans="1:17" ht="35.1" customHeight="1" thickBot="1" x14ac:dyDescent="0.3">
      <c r="A13" s="5">
        <f t="shared" si="2"/>
        <v>10</v>
      </c>
      <c r="B13" s="17" t="s">
        <v>36</v>
      </c>
      <c r="C13" s="28" t="e">
        <f>E13*G3*I3*K3*L3*M3*N3-104195.42</f>
        <v>#REF!</v>
      </c>
      <c r="D13" s="19" t="e">
        <f>F13*G3*I3*K3*L3*M3*N3</f>
        <v>#REF!</v>
      </c>
      <c r="E13" s="34" t="e">
        <f>#REF!-#REF!</f>
        <v>#REF!</v>
      </c>
      <c r="F13" s="34" t="e">
        <f>#REF!</f>
        <v>#REF!</v>
      </c>
      <c r="G13" s="21"/>
      <c r="H13" s="21"/>
      <c r="I13" s="21"/>
      <c r="J13" s="21"/>
      <c r="K13" s="21"/>
      <c r="L13" s="21"/>
      <c r="M13" s="21"/>
      <c r="N13" s="21"/>
      <c r="O13" s="28" t="e">
        <f t="shared" si="1"/>
        <v>#REF!</v>
      </c>
      <c r="P13" s="36" t="e">
        <f>#REF!</f>
        <v>#REF!</v>
      </c>
      <c r="Q13" s="36" t="e">
        <f t="shared" si="0"/>
        <v>#REF!</v>
      </c>
    </row>
    <row r="14" spans="1:17" ht="35.1" customHeight="1" thickBot="1" x14ac:dyDescent="0.3">
      <c r="A14" s="5">
        <f t="shared" si="2"/>
        <v>11</v>
      </c>
      <c r="B14" s="17" t="s">
        <v>37</v>
      </c>
      <c r="C14" s="19" t="e">
        <f>E14*G3*I3*K3*L3*M3*N3-31726.79</f>
        <v>#REF!</v>
      </c>
      <c r="D14" s="29" t="e">
        <f>F14*G3*I3*K3*L3*M3*N3</f>
        <v>#REF!</v>
      </c>
      <c r="E14" s="34" t="e">
        <f>#REF!-#REF!</f>
        <v>#REF!</v>
      </c>
      <c r="F14" s="34" t="e">
        <f>#REF!</f>
        <v>#REF!</v>
      </c>
      <c r="G14" s="21"/>
      <c r="H14" s="21"/>
      <c r="I14" s="21"/>
      <c r="J14" s="21"/>
      <c r="K14" s="21"/>
      <c r="L14" s="21"/>
      <c r="M14" s="21"/>
      <c r="N14" s="21"/>
      <c r="O14" s="19" t="e">
        <f t="shared" si="1"/>
        <v>#REF!</v>
      </c>
      <c r="P14" s="36" t="e">
        <f>#REF!</f>
        <v>#REF!</v>
      </c>
      <c r="Q14" s="36" t="e">
        <f t="shared" si="0"/>
        <v>#REF!</v>
      </c>
    </row>
    <row r="15" spans="1:17" ht="35.1" customHeight="1" thickBot="1" x14ac:dyDescent="0.3">
      <c r="A15" s="5">
        <f t="shared" si="2"/>
        <v>12</v>
      </c>
      <c r="B15" s="17" t="s">
        <v>38</v>
      </c>
      <c r="C15" s="28" t="e">
        <f>E15*G3*I3*K3*L3*M3*N3-3446.36</f>
        <v>#REF!</v>
      </c>
      <c r="D15" s="29" t="e">
        <f>F15*G3*I3*K3*L3*M3*N3</f>
        <v>#REF!</v>
      </c>
      <c r="E15" s="34" t="e">
        <f>#REF!-#REF!</f>
        <v>#REF!</v>
      </c>
      <c r="F15" s="34" t="e">
        <f>#REF!</f>
        <v>#REF!</v>
      </c>
      <c r="G15" s="21"/>
      <c r="H15" s="21"/>
      <c r="I15" s="21"/>
      <c r="J15" s="21"/>
      <c r="K15" s="21"/>
      <c r="L15" s="21"/>
      <c r="M15" s="21"/>
      <c r="N15" s="21"/>
      <c r="O15" s="28" t="e">
        <f t="shared" si="1"/>
        <v>#REF!</v>
      </c>
      <c r="P15" s="36" t="e">
        <f>#REF!</f>
        <v>#REF!</v>
      </c>
      <c r="Q15" s="36" t="e">
        <f t="shared" si="0"/>
        <v>#REF!</v>
      </c>
    </row>
    <row r="16" spans="1:17" ht="35.1" customHeight="1" thickBot="1" x14ac:dyDescent="0.3">
      <c r="A16" s="5">
        <f t="shared" si="2"/>
        <v>13</v>
      </c>
      <c r="B16" s="17" t="s">
        <v>39</v>
      </c>
      <c r="C16" s="19" t="e">
        <f>E16*G3*I3*K3*L3*M3*N3-5063.53</f>
        <v>#REF!</v>
      </c>
      <c r="D16" s="19" t="e">
        <f>F16*G3*I3*K3*L3*M3*N3</f>
        <v>#REF!</v>
      </c>
      <c r="E16" s="35" t="e">
        <f>#REF!-#REF!</f>
        <v>#REF!</v>
      </c>
      <c r="F16" s="35" t="e">
        <f>#REF!</f>
        <v>#REF!</v>
      </c>
      <c r="G16" s="21"/>
      <c r="H16" s="21"/>
      <c r="I16" s="21"/>
      <c r="J16" s="21"/>
      <c r="K16" s="21"/>
      <c r="L16" s="21"/>
      <c r="M16" s="21"/>
      <c r="N16" s="21"/>
      <c r="O16" s="19" t="e">
        <f t="shared" si="1"/>
        <v>#REF!</v>
      </c>
      <c r="P16" s="36" t="e">
        <f>#REF!</f>
        <v>#REF!</v>
      </c>
      <c r="Q16" s="36" t="e">
        <f t="shared" si="0"/>
        <v>#REF!</v>
      </c>
    </row>
    <row r="17" spans="1:20" ht="29.25" customHeight="1" thickBot="1" x14ac:dyDescent="0.3">
      <c r="A17" s="6"/>
      <c r="B17" s="7" t="s">
        <v>6</v>
      </c>
      <c r="C17" s="127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9"/>
      <c r="P17" s="36"/>
      <c r="Q17" s="36"/>
      <c r="R17" s="18"/>
    </row>
    <row r="18" spans="1:20" ht="29.25" customHeight="1" thickBot="1" x14ac:dyDescent="0.3">
      <c r="A18" s="6"/>
      <c r="B18" s="13" t="s">
        <v>40</v>
      </c>
      <c r="C18" s="115" t="e">
        <f>SUM(O4:O16)</f>
        <v>#REF!</v>
      </c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7"/>
      <c r="P18" s="36" t="e">
        <f>#REF!+#REF!+#REF!+#REF!+#REF!+#REF!+#REF!+#REF!+#REF!+#REF!+#REF!+#REF!+#REF!</f>
        <v>#REF!</v>
      </c>
      <c r="Q18" s="36" t="e">
        <f>C18-P18</f>
        <v>#REF!</v>
      </c>
      <c r="R18" s="18"/>
    </row>
    <row r="19" spans="1:20" ht="29.25" customHeight="1" thickBot="1" x14ac:dyDescent="0.3">
      <c r="A19" s="9"/>
      <c r="B19" s="8" t="s">
        <v>7</v>
      </c>
      <c r="C19" s="115" t="e">
        <f>C18*0.03</f>
        <v>#REF!</v>
      </c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7"/>
      <c r="P19" s="36" t="e">
        <f>#REF!+#REF!+#REF!+#REF!+#REF!+#REF!+#REF!+#REF!+#REF!+#REF!+#REF!+#REF!+#REF!</f>
        <v>#REF!</v>
      </c>
      <c r="Q19" s="36" t="e">
        <f t="shared" ref="Q19:Q21" si="3">C19-P19</f>
        <v>#REF!</v>
      </c>
      <c r="R19" s="18"/>
    </row>
    <row r="20" spans="1:20" ht="29.25" customHeight="1" thickBot="1" x14ac:dyDescent="0.3">
      <c r="A20" s="10"/>
      <c r="B20" s="11" t="s">
        <v>8</v>
      </c>
      <c r="C20" s="142" t="e">
        <f>C18+C19</f>
        <v>#REF!</v>
      </c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4"/>
      <c r="P20" s="36" t="e">
        <f>#REF!+#REF!+#REF!+#REF!+#REF!+#REF!+#REF!+#REF!+#REF!+#REF!+#REF!+#REF!+#REF!</f>
        <v>#REF!</v>
      </c>
      <c r="Q20" s="36" t="e">
        <f t="shared" si="3"/>
        <v>#REF!</v>
      </c>
      <c r="S20" t="s">
        <v>51</v>
      </c>
    </row>
    <row r="21" spans="1:20" ht="29.25" customHeight="1" thickBot="1" x14ac:dyDescent="0.3">
      <c r="A21" s="14"/>
      <c r="B21" s="15" t="s">
        <v>49</v>
      </c>
      <c r="C21" s="142" t="e">
        <f>C20*1.2</f>
        <v>#REF!</v>
      </c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4"/>
      <c r="P21" s="36" t="e">
        <f>#REF!+#REF!+#REF!+#REF!+#REF!+#REF!+#REF!+#REF!+#REF!+#REF!+#REF!+#REF!+#REF!</f>
        <v>#REF!</v>
      </c>
      <c r="Q21" s="36" t="e">
        <f t="shared" si="3"/>
        <v>#REF!</v>
      </c>
      <c r="S21" s="37" t="e">
        <f>#REF!</f>
        <v>#REF!</v>
      </c>
      <c r="T21" s="18"/>
    </row>
    <row r="22" spans="1:20" ht="29.25" customHeight="1" x14ac:dyDescent="0.25">
      <c r="A22" s="147"/>
      <c r="B22" s="145" t="s">
        <v>9</v>
      </c>
      <c r="C22" s="133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5"/>
      <c r="P22" s="149" t="s">
        <v>50</v>
      </c>
      <c r="Q22" s="150"/>
      <c r="S22" s="38" t="e">
        <f>S21/C21</f>
        <v>#REF!</v>
      </c>
    </row>
    <row r="23" spans="1:20" ht="57" customHeight="1" thickBot="1" x14ac:dyDescent="0.3">
      <c r="A23" s="148"/>
      <c r="B23" s="146"/>
      <c r="C23" s="153" t="s">
        <v>10</v>
      </c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5"/>
      <c r="P23" s="149"/>
      <c r="Q23" s="150"/>
    </row>
    <row r="24" spans="1:20" ht="63.75" customHeight="1" thickBot="1" x14ac:dyDescent="0.3">
      <c r="A24" s="9"/>
      <c r="B24" s="12" t="s">
        <v>11</v>
      </c>
      <c r="C24" s="130" t="s">
        <v>12</v>
      </c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2"/>
    </row>
    <row r="25" spans="1:20" ht="51.75" customHeight="1" thickBot="1" x14ac:dyDescent="0.3">
      <c r="A25" s="9"/>
      <c r="B25" s="12" t="s">
        <v>13</v>
      </c>
      <c r="C25" s="130" t="s">
        <v>14</v>
      </c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2"/>
    </row>
    <row r="26" spans="1:20" ht="56.25" customHeight="1" thickBot="1" x14ac:dyDescent="0.3">
      <c r="A26" s="9"/>
      <c r="B26" s="12" t="s">
        <v>15</v>
      </c>
      <c r="C26" s="130" t="s">
        <v>16</v>
      </c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2"/>
    </row>
    <row r="27" spans="1:20" ht="29.25" customHeight="1" x14ac:dyDescent="0.25">
      <c r="A27" s="147"/>
      <c r="B27" s="145" t="s">
        <v>17</v>
      </c>
      <c r="C27" s="133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5"/>
    </row>
    <row r="28" spans="1:20" ht="29.25" customHeight="1" x14ac:dyDescent="0.25">
      <c r="A28" s="151"/>
      <c r="B28" s="152"/>
      <c r="C28" s="136" t="s">
        <v>18</v>
      </c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8"/>
    </row>
    <row r="29" spans="1:20" ht="29.25" customHeight="1" thickBot="1" x14ac:dyDescent="0.3">
      <c r="A29" s="148"/>
      <c r="B29" s="146"/>
      <c r="C29" s="139" t="s">
        <v>19</v>
      </c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1"/>
    </row>
    <row r="30" spans="1:20" ht="29.25" customHeight="1" thickBot="1" x14ac:dyDescent="0.3">
      <c r="A30" s="9"/>
      <c r="B30" s="12" t="s">
        <v>20</v>
      </c>
      <c r="C30" s="130" t="s">
        <v>21</v>
      </c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2"/>
    </row>
    <row r="31" spans="1:20" ht="29.25" customHeight="1" thickBot="1" x14ac:dyDescent="0.3">
      <c r="A31" s="9"/>
      <c r="B31" s="12" t="s">
        <v>22</v>
      </c>
      <c r="C31" s="130" t="s">
        <v>23</v>
      </c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2"/>
    </row>
    <row r="32" spans="1:20" ht="29.25" customHeight="1" thickBot="1" x14ac:dyDescent="0.3">
      <c r="A32" s="9"/>
      <c r="B32" s="12" t="s">
        <v>24</v>
      </c>
      <c r="C32" s="130" t="s">
        <v>25</v>
      </c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2"/>
    </row>
    <row r="33" spans="1:15" ht="29.25" customHeight="1" thickBot="1" x14ac:dyDescent="0.3">
      <c r="A33" s="9"/>
      <c r="B33" s="12" t="s">
        <v>26</v>
      </c>
      <c r="C33" s="130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2"/>
    </row>
  </sheetData>
  <mergeCells count="34">
    <mergeCell ref="B22:B23"/>
    <mergeCell ref="A22:A23"/>
    <mergeCell ref="P22:Q23"/>
    <mergeCell ref="C30:O30"/>
    <mergeCell ref="C31:O31"/>
    <mergeCell ref="A27:A29"/>
    <mergeCell ref="B27:B29"/>
    <mergeCell ref="C22:O22"/>
    <mergeCell ref="C23:O23"/>
    <mergeCell ref="C32:O32"/>
    <mergeCell ref="C33:O33"/>
    <mergeCell ref="G1:G2"/>
    <mergeCell ref="I1:I2"/>
    <mergeCell ref="K1:K2"/>
    <mergeCell ref="L1:L2"/>
    <mergeCell ref="M1:M2"/>
    <mergeCell ref="C24:O24"/>
    <mergeCell ref="C25:O25"/>
    <mergeCell ref="C26:O26"/>
    <mergeCell ref="C27:O27"/>
    <mergeCell ref="C28:O28"/>
    <mergeCell ref="C29:O29"/>
    <mergeCell ref="C19:O19"/>
    <mergeCell ref="C20:O20"/>
    <mergeCell ref="C21:O21"/>
    <mergeCell ref="C18:O18"/>
    <mergeCell ref="N1:N2"/>
    <mergeCell ref="E1:E2"/>
    <mergeCell ref="F1:F2"/>
    <mergeCell ref="A1:A2"/>
    <mergeCell ref="B1:B2"/>
    <mergeCell ref="C1:D1"/>
    <mergeCell ref="O1:O2"/>
    <mergeCell ref="C17:O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4B038-8121-4803-B062-548C90AE6CDA}">
  <dimension ref="A1:V54"/>
  <sheetViews>
    <sheetView zoomScale="90" zoomScaleNormal="90" workbookViewId="0">
      <pane ySplit="3" topLeftCell="A4" activePane="bottomLeft" state="frozen"/>
      <selection pane="bottomLeft" activeCell="F4" sqref="F4:F9"/>
    </sheetView>
  </sheetViews>
  <sheetFormatPr defaultRowHeight="15" outlineLevelRow="1" outlineLevelCol="1" x14ac:dyDescent="0.25"/>
  <cols>
    <col min="1" max="1" width="6.28515625" customWidth="1"/>
    <col min="2" max="2" width="57.140625" customWidth="1"/>
    <col min="3" max="3" width="69.7109375" customWidth="1"/>
    <col min="4" max="4" width="16" customWidth="1"/>
    <col min="5" max="5" width="17.5703125" customWidth="1"/>
    <col min="6" max="6" width="15.5703125" customWidth="1"/>
    <col min="7" max="7" width="14.42578125" hidden="1" customWidth="1"/>
    <col min="8" max="11" width="10.7109375" style="22" customWidth="1" outlineLevel="1"/>
    <col min="12" max="12" width="12.42578125" style="22" customWidth="1" outlineLevel="1"/>
    <col min="13" max="14" width="10.7109375" style="22" customWidth="1" outlineLevel="1"/>
    <col min="15" max="15" width="19.7109375" customWidth="1"/>
    <col min="16" max="16" width="16.42578125" style="61" hidden="1" customWidth="1" outlineLevel="1"/>
    <col min="17" max="17" width="17.7109375" hidden="1" customWidth="1" outlineLevel="1"/>
    <col min="18" max="18" width="13.5703125" hidden="1" customWidth="1" outlineLevel="1"/>
    <col min="19" max="19" width="18.5703125" customWidth="1" collapsed="1"/>
    <col min="20" max="20" width="17.5703125" customWidth="1"/>
    <col min="21" max="21" width="22.28515625" customWidth="1"/>
  </cols>
  <sheetData>
    <row r="1" spans="1:19" ht="25.5" customHeight="1" thickBot="1" x14ac:dyDescent="0.3">
      <c r="A1" s="122" t="s">
        <v>0</v>
      </c>
      <c r="B1" s="122" t="s">
        <v>1</v>
      </c>
      <c r="C1" s="62"/>
      <c r="D1" s="124" t="s">
        <v>2</v>
      </c>
      <c r="E1" s="165"/>
      <c r="F1" s="125"/>
      <c r="G1" s="42"/>
      <c r="H1" s="118" t="s">
        <v>42</v>
      </c>
      <c r="I1" s="118" t="s">
        <v>43</v>
      </c>
      <c r="J1" s="118" t="s">
        <v>45</v>
      </c>
      <c r="K1" s="118" t="s">
        <v>44</v>
      </c>
      <c r="L1" s="118" t="s">
        <v>46</v>
      </c>
      <c r="M1" s="118" t="s">
        <v>52</v>
      </c>
      <c r="N1" s="160" t="s">
        <v>97</v>
      </c>
      <c r="O1" s="122" t="s">
        <v>3</v>
      </c>
      <c r="P1" s="36"/>
      <c r="Q1" s="18"/>
    </row>
    <row r="2" spans="1:19" ht="35.25" customHeight="1" thickBot="1" x14ac:dyDescent="0.3">
      <c r="A2" s="123"/>
      <c r="B2" s="123"/>
      <c r="C2" s="1" t="s">
        <v>59</v>
      </c>
      <c r="D2" s="1" t="s">
        <v>4</v>
      </c>
      <c r="E2" s="1" t="s">
        <v>41</v>
      </c>
      <c r="F2" s="1" t="s">
        <v>53</v>
      </c>
      <c r="G2" s="45" t="s">
        <v>54</v>
      </c>
      <c r="H2" s="159"/>
      <c r="I2" s="159"/>
      <c r="J2" s="159"/>
      <c r="K2" s="159"/>
      <c r="L2" s="159"/>
      <c r="M2" s="159"/>
      <c r="N2" s="161"/>
      <c r="O2" s="126"/>
      <c r="P2" s="36" t="s">
        <v>55</v>
      </c>
    </row>
    <row r="3" spans="1:19" ht="15.75" thickBot="1" x14ac:dyDescent="0.3">
      <c r="A3" s="2">
        <v>1</v>
      </c>
      <c r="B3" s="3">
        <v>2</v>
      </c>
      <c r="C3" s="3"/>
      <c r="D3" s="3">
        <v>3</v>
      </c>
      <c r="E3" s="3">
        <v>4</v>
      </c>
      <c r="F3" s="3">
        <v>5</v>
      </c>
      <c r="G3" s="3">
        <v>6</v>
      </c>
      <c r="H3" s="27">
        <v>1</v>
      </c>
      <c r="I3" s="27">
        <v>1</v>
      </c>
      <c r="J3" s="27">
        <v>1</v>
      </c>
      <c r="K3" s="27">
        <v>1</v>
      </c>
      <c r="L3" s="27">
        <v>1</v>
      </c>
      <c r="M3" s="44">
        <v>1</v>
      </c>
      <c r="N3" s="44">
        <v>1</v>
      </c>
      <c r="O3" s="3">
        <v>7</v>
      </c>
      <c r="P3" s="44">
        <v>1.2</v>
      </c>
      <c r="Q3" s="44" t="s">
        <v>56</v>
      </c>
      <c r="S3" s="18">
        <f>D37</f>
        <v>411854348.06</v>
      </c>
    </row>
    <row r="4" spans="1:19" s="26" customFormat="1" ht="64.5" customHeight="1" thickBot="1" x14ac:dyDescent="0.3">
      <c r="A4" s="4">
        <v>1</v>
      </c>
      <c r="B4" s="73" t="s">
        <v>57</v>
      </c>
      <c r="C4" s="110" t="s">
        <v>75</v>
      </c>
      <c r="D4" s="30">
        <f>G4-F4-E4</f>
        <v>17956192</v>
      </c>
      <c r="E4" s="39">
        <f>'[1]1632-2021-3.1-ПТ_07.03.010-П-00'!$L$425*H3*I3*J3*K3*L3*M3*N3</f>
        <v>11980169</v>
      </c>
      <c r="F4" s="113">
        <f>'[1]1632-2021-3.1-ПТ_07.03.010-П-00'!$L$428*M3</f>
        <v>15041653</v>
      </c>
      <c r="G4" s="19">
        <f>'[1]1632-2021-3.1-ПТ_07.03.010-П-00'!$L$439*M3</f>
        <v>44978014</v>
      </c>
      <c r="H4" s="20"/>
      <c r="I4" s="20"/>
      <c r="J4" s="20"/>
      <c r="K4" s="20"/>
      <c r="L4" s="20"/>
      <c r="M4" s="20"/>
      <c r="N4" s="20"/>
      <c r="O4" s="30">
        <f>D4+E4+F4</f>
        <v>44978014</v>
      </c>
      <c r="P4" s="36">
        <f t="shared" ref="P4:P9" si="0">O4*1.2</f>
        <v>53973616.799999997</v>
      </c>
      <c r="Q4" s="36">
        <f>'[1]1632-2021-3.1-ПТ_07.03.010-П-00'!$L$443</f>
        <v>55592824.799999997</v>
      </c>
      <c r="R4" s="59">
        <f>P4-Q4</f>
        <v>-1619208</v>
      </c>
    </row>
    <row r="5" spans="1:19" ht="53.25" customHeight="1" thickBot="1" x14ac:dyDescent="0.3">
      <c r="A5" s="5">
        <v>2</v>
      </c>
      <c r="B5" s="72" t="s">
        <v>58</v>
      </c>
      <c r="C5" s="82" t="s">
        <v>76</v>
      </c>
      <c r="D5" s="30">
        <f t="shared" ref="D5:D32" si="1">G5-F5-E5</f>
        <v>22575305</v>
      </c>
      <c r="E5" s="39">
        <f>'[2]1632-2021-3.2-ПТ_07.03.011-П-00'!$L$498*H3*I3*J3*K3*L3*M3*N3</f>
        <v>17392871</v>
      </c>
      <c r="F5" s="113">
        <f>'[2]1632-2021-3.2-ПТ_07.03.011-П-00'!$L$501*M3</f>
        <v>16159230</v>
      </c>
      <c r="G5" s="19">
        <f>'[2]1632-2021-3.2-ПТ_07.03.011-П-00'!$L$512*M3</f>
        <v>56127406</v>
      </c>
      <c r="H5" s="41"/>
      <c r="I5" s="41"/>
      <c r="J5" s="41"/>
      <c r="K5" s="41"/>
      <c r="L5" s="41"/>
      <c r="M5" s="25"/>
      <c r="N5" s="25"/>
      <c r="O5" s="30">
        <f t="shared" ref="O5:O32" si="2">D5+E5+F5</f>
        <v>56127406</v>
      </c>
      <c r="P5" s="36">
        <f t="shared" si="0"/>
        <v>67352887.200000003</v>
      </c>
      <c r="Q5" s="36">
        <f>'[2]1632-2021-3.2-ПТ_07.03.011-П-00'!$L$516</f>
        <v>69373473.599999994</v>
      </c>
      <c r="R5" s="59">
        <f t="shared" ref="R5:R32" si="3">P5-Q5</f>
        <v>-2020586.4</v>
      </c>
    </row>
    <row r="6" spans="1:19" ht="41.25" customHeight="1" thickBot="1" x14ac:dyDescent="0.3">
      <c r="A6" s="5">
        <v>3</v>
      </c>
      <c r="B6" s="72" t="s">
        <v>60</v>
      </c>
      <c r="C6" s="81" t="s">
        <v>77</v>
      </c>
      <c r="D6" s="30">
        <f t="shared" si="1"/>
        <v>29018469</v>
      </c>
      <c r="E6" s="39">
        <f>'[3]1632-2021-2.2.1,2.2.2,2.1.1,2.1'!$L$516*H3*I3*J3*K3*L3*M3*N3</f>
        <v>10943637</v>
      </c>
      <c r="F6" s="113">
        <f>'[3]1632-2021-2.2.1,2.2.2,2.1.1,2.1'!$L$519*M3</f>
        <v>20659103</v>
      </c>
      <c r="G6" s="19">
        <f>'[3]1632-2021-2.2.1,2.2.2,2.1.1,2.1'!$L$530*M3</f>
        <v>60621209</v>
      </c>
      <c r="H6" s="20"/>
      <c r="I6" s="20"/>
      <c r="J6" s="20"/>
      <c r="K6" s="20"/>
      <c r="L6" s="20"/>
      <c r="M6" s="40"/>
      <c r="N6" s="40"/>
      <c r="O6" s="30">
        <f t="shared" si="2"/>
        <v>60621209</v>
      </c>
      <c r="P6" s="36">
        <f t="shared" si="0"/>
        <v>72745450.799999997</v>
      </c>
      <c r="Q6" s="36">
        <f>'[3]1632-2021-2.2.1,2.2.2,2.1.1,2.1'!$L$534</f>
        <v>74927814</v>
      </c>
      <c r="R6" s="59">
        <f t="shared" si="3"/>
        <v>-2182363.2000000002</v>
      </c>
    </row>
    <row r="7" spans="1:19" ht="53.25" customHeight="1" thickBot="1" x14ac:dyDescent="0.3">
      <c r="A7" s="5">
        <v>4</v>
      </c>
      <c r="B7" s="72" t="s">
        <v>61</v>
      </c>
      <c r="C7" s="82" t="s">
        <v>78</v>
      </c>
      <c r="D7" s="30">
        <f t="shared" si="1"/>
        <v>11950064</v>
      </c>
      <c r="E7" s="39">
        <f>'[4]1632-2021-2.1.2, 2.1.3, 2.1.7, '!$L$507*H3*I3*J3*K3*L3*M3*N3</f>
        <v>5167764</v>
      </c>
      <c r="F7" s="113">
        <f>'[4]1632-2021-2.1.2, 2.1.3, 2.1.7, '!$L$510*M3</f>
        <v>16055118</v>
      </c>
      <c r="G7" s="19">
        <f>'[4]1632-2021-2.1.2, 2.1.3, 2.1.7, '!$L$521*M3</f>
        <v>33172946</v>
      </c>
      <c r="H7" s="41"/>
      <c r="I7" s="41"/>
      <c r="J7" s="41"/>
      <c r="K7" s="41"/>
      <c r="L7" s="41"/>
      <c r="M7" s="25"/>
      <c r="N7" s="25"/>
      <c r="O7" s="30">
        <f t="shared" si="2"/>
        <v>33172946</v>
      </c>
      <c r="P7" s="36">
        <f t="shared" si="0"/>
        <v>39807535.200000003</v>
      </c>
      <c r="Q7" s="36">
        <f>'[4]1632-2021-2.1.2, 2.1.3, 2.1.7, '!$L$525</f>
        <v>41001760.799999997</v>
      </c>
      <c r="R7" s="59">
        <f t="shared" si="3"/>
        <v>-1194225.6000000001</v>
      </c>
    </row>
    <row r="8" spans="1:19" ht="38.25" customHeight="1" thickBot="1" x14ac:dyDescent="0.3">
      <c r="A8" s="5">
        <v>5</v>
      </c>
      <c r="B8" s="73" t="s">
        <v>62</v>
      </c>
      <c r="C8" s="81" t="s">
        <v>79</v>
      </c>
      <c r="D8" s="30">
        <f t="shared" si="1"/>
        <v>12823346</v>
      </c>
      <c r="E8" s="39">
        <f>'[5]1632-2021-1.1, 1.2, 2.1.0-ПТ_07'!$L$545*H3*I3*J3*K3*L3*M3*N3</f>
        <v>5094585</v>
      </c>
      <c r="F8" s="113">
        <f>'[5]1632-2021-1.1, 1.2, 2.1.0-ПТ_07'!$L$548*M3</f>
        <v>8102520</v>
      </c>
      <c r="G8" s="19">
        <f>'[5]1632-2021-1.1, 1.2, 2.1.0-ПТ_07'!$L$559*M3</f>
        <v>26020451</v>
      </c>
      <c r="H8" s="20"/>
      <c r="I8" s="20"/>
      <c r="J8" s="20"/>
      <c r="K8" s="20"/>
      <c r="L8" s="20"/>
      <c r="M8" s="40"/>
      <c r="N8" s="40"/>
      <c r="O8" s="30">
        <f t="shared" si="2"/>
        <v>26020451</v>
      </c>
      <c r="P8" s="36">
        <f t="shared" si="0"/>
        <v>31224541.199999999</v>
      </c>
      <c r="Q8" s="36">
        <f>'[5]1632-2021-1.1, 1.2, 2.1.0-ПТ_07'!$L$563</f>
        <v>32161278</v>
      </c>
      <c r="R8" s="59">
        <f t="shared" si="3"/>
        <v>-936736.8</v>
      </c>
    </row>
    <row r="9" spans="1:19" ht="39.75" customHeight="1" thickBot="1" x14ac:dyDescent="0.3">
      <c r="A9" s="5">
        <v>6</v>
      </c>
      <c r="B9" s="72" t="s">
        <v>63</v>
      </c>
      <c r="C9" s="82" t="s">
        <v>80</v>
      </c>
      <c r="D9" s="30">
        <f t="shared" si="1"/>
        <v>4569392</v>
      </c>
      <c r="E9" s="39">
        <f>'[6]1632-2021-2.2.7, 2.1.3-ПТ_07.04'!$L$379*H3*I3*J3*K3*L3*M3*N3</f>
        <v>1815554</v>
      </c>
      <c r="F9" s="113">
        <f>'[6]1632-2021-2.2.7, 2.1.3-ПТ_07.04'!$L$382*M3</f>
        <v>9713360</v>
      </c>
      <c r="G9" s="19">
        <f>'[6]1632-2021-2.2.7, 2.1.3-ПТ_07.04'!$L$393*M3</f>
        <v>16098306</v>
      </c>
      <c r="H9" s="41"/>
      <c r="I9" s="41"/>
      <c r="J9" s="41"/>
      <c r="K9" s="41"/>
      <c r="L9" s="41"/>
      <c r="M9" s="41"/>
      <c r="N9" s="41"/>
      <c r="O9" s="30">
        <f t="shared" si="2"/>
        <v>16098306</v>
      </c>
      <c r="P9" s="36">
        <f t="shared" si="0"/>
        <v>19317967.199999999</v>
      </c>
      <c r="Q9" s="36">
        <f>'[6]1632-2021-2.2.7, 2.1.3-ПТ_07.04'!$L$397</f>
        <v>19897506</v>
      </c>
      <c r="R9" s="59">
        <f t="shared" si="3"/>
        <v>-579538.80000000005</v>
      </c>
    </row>
    <row r="10" spans="1:19" ht="39.75" customHeight="1" thickBot="1" x14ac:dyDescent="0.3">
      <c r="A10" s="5">
        <v>7</v>
      </c>
      <c r="B10" s="92" t="s">
        <v>64</v>
      </c>
      <c r="C10" s="93" t="s">
        <v>87</v>
      </c>
      <c r="D10" s="30">
        <f t="shared" si="1"/>
        <v>0</v>
      </c>
      <c r="E10" s="39"/>
      <c r="F10" s="39"/>
      <c r="G10" s="19"/>
      <c r="H10" s="20"/>
      <c r="I10" s="20"/>
      <c r="J10" s="20"/>
      <c r="K10" s="20"/>
      <c r="L10" s="20"/>
      <c r="M10" s="40"/>
      <c r="N10" s="40"/>
      <c r="O10" s="30">
        <f t="shared" si="2"/>
        <v>0</v>
      </c>
      <c r="P10" s="36"/>
      <c r="Q10" s="36"/>
      <c r="R10" s="59">
        <f t="shared" si="3"/>
        <v>0</v>
      </c>
    </row>
    <row r="11" spans="1:19" ht="37.5" customHeight="1" thickBot="1" x14ac:dyDescent="0.3">
      <c r="A11" s="75">
        <v>8</v>
      </c>
      <c r="B11" s="73" t="s">
        <v>65</v>
      </c>
      <c r="C11" s="79" t="s">
        <v>81</v>
      </c>
      <c r="D11" s="28">
        <f>D12+D13+D14+D15+D16</f>
        <v>1759253</v>
      </c>
      <c r="E11" s="29">
        <f>E12+E13+E14+E15+E16</f>
        <v>1227356</v>
      </c>
      <c r="F11" s="29">
        <f>F12+F13+F14+F15+F16</f>
        <v>679934</v>
      </c>
      <c r="G11" s="29">
        <f>G12+G13+G14+G15+G16</f>
        <v>3666543</v>
      </c>
      <c r="H11" s="41"/>
      <c r="I11" s="41"/>
      <c r="J11" s="41"/>
      <c r="K11" s="41"/>
      <c r="L11" s="41"/>
      <c r="M11" s="25"/>
      <c r="N11" s="25"/>
      <c r="O11" s="28">
        <f t="shared" si="2"/>
        <v>3666543</v>
      </c>
      <c r="P11" s="36"/>
      <c r="Q11" s="36"/>
      <c r="R11" s="59">
        <f t="shared" si="3"/>
        <v>0</v>
      </c>
    </row>
    <row r="12" spans="1:19" ht="37.5" customHeight="1" outlineLevel="1" x14ac:dyDescent="0.25">
      <c r="A12" s="94"/>
      <c r="B12" s="95"/>
      <c r="C12" s="96" t="s">
        <v>92</v>
      </c>
      <c r="D12" s="97">
        <f t="shared" si="1"/>
        <v>238986</v>
      </c>
      <c r="E12" s="97">
        <f>'[7]1632-2021-2.1.2-АУПТ_07.04.041 '!$L$137*H3*I3*J3*K3*L3*M3*N3</f>
        <v>198615</v>
      </c>
      <c r="F12" s="97">
        <f>'[7]1632-2021-2.1.2-АУПТ_07.04.041 '!$L$140*M3</f>
        <v>72644</v>
      </c>
      <c r="G12" s="97">
        <f>'[7]1632-2021-2.1.2-АУПТ_07.04.041 '!$L$151*M3</f>
        <v>510245</v>
      </c>
      <c r="H12" s="98"/>
      <c r="I12" s="98"/>
      <c r="J12" s="98"/>
      <c r="K12" s="98"/>
      <c r="L12" s="98"/>
      <c r="M12" s="99"/>
      <c r="N12" s="99"/>
      <c r="O12" s="100">
        <f t="shared" si="2"/>
        <v>510245</v>
      </c>
      <c r="P12" s="36">
        <f>O12*1.2</f>
        <v>612294</v>
      </c>
      <c r="Q12" s="36">
        <f>'[7]1632-2021-2.1.2-АУПТ_07.04.041 '!$L$155</f>
        <v>630662.40000000002</v>
      </c>
      <c r="R12" s="59">
        <f t="shared" si="3"/>
        <v>-18368.400000000001</v>
      </c>
    </row>
    <row r="13" spans="1:19" ht="37.5" customHeight="1" outlineLevel="1" x14ac:dyDescent="0.25">
      <c r="A13" s="85"/>
      <c r="B13" s="86"/>
      <c r="C13" s="87" t="s">
        <v>93</v>
      </c>
      <c r="D13" s="88">
        <f t="shared" si="1"/>
        <v>312021</v>
      </c>
      <c r="E13" s="88">
        <f>'[8]1632-2021-2.1.3-АУПТ_07.04.042 '!$L$137*H3*I3*J3*K3*L3*M3*N3</f>
        <v>233272</v>
      </c>
      <c r="F13" s="88">
        <f>'[8]1632-2021-2.1.3-АУПТ_07.04.042 '!$L$140*M3</f>
        <v>142679</v>
      </c>
      <c r="G13" s="88">
        <f>'[8]1632-2021-2.1.3-АУПТ_07.04.042 '!$L$151*M3</f>
        <v>687972</v>
      </c>
      <c r="H13" s="89"/>
      <c r="I13" s="89"/>
      <c r="J13" s="89"/>
      <c r="K13" s="89"/>
      <c r="L13" s="89"/>
      <c r="M13" s="90"/>
      <c r="N13" s="90"/>
      <c r="O13" s="91">
        <f t="shared" si="2"/>
        <v>687972</v>
      </c>
      <c r="P13" s="36">
        <f>O13*1.2</f>
        <v>825566.4</v>
      </c>
      <c r="Q13" s="36">
        <f>'[8]1632-2021-2.1.3-АУПТ_07.04.042 '!$L$155</f>
        <v>850333.2</v>
      </c>
      <c r="R13" s="59">
        <f t="shared" si="3"/>
        <v>-24766.799999999999</v>
      </c>
    </row>
    <row r="14" spans="1:19" ht="37.5" customHeight="1" outlineLevel="1" x14ac:dyDescent="0.25">
      <c r="A14" s="85"/>
      <c r="B14" s="86"/>
      <c r="C14" s="87" t="s">
        <v>94</v>
      </c>
      <c r="D14" s="88">
        <f t="shared" si="1"/>
        <v>335173</v>
      </c>
      <c r="E14" s="88">
        <f>'[9]1632-2021-2.1.7-АУПТ_07.04.046 '!$L$137*H3*I3*J3*K3*L3*M3*N3</f>
        <v>266160</v>
      </c>
      <c r="F14" s="88">
        <f>'[9]1632-2021-2.1.7-АУПТ_07.04.046 '!$L$140*M3</f>
        <v>145286</v>
      </c>
      <c r="G14" s="88">
        <f>'[9]1632-2021-2.1.7-АУПТ_07.04.046 '!$L$151*M3</f>
        <v>746619</v>
      </c>
      <c r="H14" s="89"/>
      <c r="I14" s="89"/>
      <c r="J14" s="89"/>
      <c r="K14" s="89"/>
      <c r="L14" s="89"/>
      <c r="M14" s="90"/>
      <c r="N14" s="90"/>
      <c r="O14" s="91">
        <f t="shared" si="2"/>
        <v>746619</v>
      </c>
      <c r="P14" s="36">
        <f>O14*1.2</f>
        <v>895942.8</v>
      </c>
      <c r="Q14" s="36">
        <f>'[9]1632-2021-2.1.7-АУПТ_07.04.046 '!$L$155</f>
        <v>922821.6</v>
      </c>
      <c r="R14" s="59">
        <f t="shared" si="3"/>
        <v>-26878.799999999999</v>
      </c>
    </row>
    <row r="15" spans="1:19" ht="37.5" customHeight="1" outlineLevel="1" x14ac:dyDescent="0.25">
      <c r="A15" s="85"/>
      <c r="B15" s="86"/>
      <c r="C15" s="87" t="s">
        <v>95</v>
      </c>
      <c r="D15" s="88">
        <f t="shared" si="1"/>
        <v>238986</v>
      </c>
      <c r="E15" s="88">
        <f>'[10]1632-2021-2.1.11-АУПТ_07.04.050'!$L$137*H3*I3*J3*K3*L3*M3*N3</f>
        <v>198615</v>
      </c>
      <c r="F15" s="88">
        <f>'[10]1632-2021-2.1.11-АУПТ_07.04.050'!$L$140*M3</f>
        <v>72644</v>
      </c>
      <c r="G15" s="88">
        <f>'[10]1632-2021-2.1.11-АУПТ_07.04.050'!$L$151*M3</f>
        <v>510245</v>
      </c>
      <c r="H15" s="89"/>
      <c r="I15" s="89"/>
      <c r="J15" s="89"/>
      <c r="K15" s="89"/>
      <c r="L15" s="89"/>
      <c r="M15" s="90"/>
      <c r="N15" s="90"/>
      <c r="O15" s="91">
        <f t="shared" si="2"/>
        <v>510245</v>
      </c>
      <c r="P15" s="36">
        <f>O15*1.2</f>
        <v>612294</v>
      </c>
      <c r="Q15" s="36">
        <f>'[10]1632-2021-2.1.11-АУПТ_07.04.050'!$L$155</f>
        <v>630662.40000000002</v>
      </c>
      <c r="R15" s="59">
        <f t="shared" si="3"/>
        <v>-18368.400000000001</v>
      </c>
    </row>
    <row r="16" spans="1:19" ht="37.5" customHeight="1" outlineLevel="1" thickBot="1" x14ac:dyDescent="0.3">
      <c r="A16" s="101"/>
      <c r="B16" s="102"/>
      <c r="C16" s="103" t="s">
        <v>96</v>
      </c>
      <c r="D16" s="104">
        <f t="shared" si="1"/>
        <v>634087</v>
      </c>
      <c r="E16" s="104">
        <f>'[11]1632-2021-2.2.3_АУПТ_07.04.022 '!$L$159*H3*I3*J3*K3*L3*M3*N3</f>
        <v>330694</v>
      </c>
      <c r="F16" s="104">
        <f>'[11]1632-2021-2.2.3_АУПТ_07.04.022 '!$L$162*M3</f>
        <v>246681</v>
      </c>
      <c r="G16" s="104">
        <f>'[11]1632-2021-2.2.3_АУПТ_07.04.022 '!$L$173*M3</f>
        <v>1211462</v>
      </c>
      <c r="H16" s="105"/>
      <c r="I16" s="105"/>
      <c r="J16" s="105"/>
      <c r="K16" s="105"/>
      <c r="L16" s="105"/>
      <c r="M16" s="106"/>
      <c r="N16" s="106"/>
      <c r="O16" s="107">
        <f t="shared" si="2"/>
        <v>1211462</v>
      </c>
      <c r="P16" s="36">
        <f>O16*1.2</f>
        <v>1453754.4</v>
      </c>
      <c r="Q16" s="36">
        <f>'[11]1632-2021-2.2.3_АУПТ_07.04.022 '!$L$177</f>
        <v>1497367.2</v>
      </c>
      <c r="R16" s="59">
        <f t="shared" si="3"/>
        <v>-43612.800000000003</v>
      </c>
    </row>
    <row r="17" spans="1:22" ht="42" customHeight="1" thickBot="1" x14ac:dyDescent="0.3">
      <c r="A17" s="75">
        <v>9</v>
      </c>
      <c r="B17" s="84" t="s">
        <v>66</v>
      </c>
      <c r="C17" s="79" t="s">
        <v>89</v>
      </c>
      <c r="D17" s="28">
        <f t="shared" si="1"/>
        <v>0</v>
      </c>
      <c r="E17" s="29"/>
      <c r="F17" s="29"/>
      <c r="G17" s="29"/>
      <c r="H17" s="41"/>
      <c r="I17" s="41"/>
      <c r="J17" s="41"/>
      <c r="K17" s="41"/>
      <c r="L17" s="41"/>
      <c r="M17" s="25"/>
      <c r="N17" s="25"/>
      <c r="O17" s="28">
        <f t="shared" si="2"/>
        <v>0</v>
      </c>
      <c r="P17" s="36"/>
      <c r="Q17" s="36"/>
      <c r="R17" s="59">
        <f t="shared" si="3"/>
        <v>0</v>
      </c>
    </row>
    <row r="18" spans="1:22" ht="52.5" customHeight="1" thickBot="1" x14ac:dyDescent="0.3">
      <c r="A18" s="4">
        <v>10</v>
      </c>
      <c r="B18" s="83" t="s">
        <v>67</v>
      </c>
      <c r="C18" s="80" t="s">
        <v>91</v>
      </c>
      <c r="D18" s="74">
        <f t="shared" si="1"/>
        <v>0</v>
      </c>
      <c r="E18" s="19"/>
      <c r="F18" s="19"/>
      <c r="G18" s="19"/>
      <c r="H18" s="108"/>
      <c r="I18" s="108"/>
      <c r="J18" s="108"/>
      <c r="K18" s="108"/>
      <c r="L18" s="108"/>
      <c r="M18" s="109"/>
      <c r="N18" s="109"/>
      <c r="O18" s="74">
        <f t="shared" si="2"/>
        <v>0</v>
      </c>
      <c r="P18" s="36"/>
      <c r="Q18" s="36"/>
      <c r="R18" s="59">
        <f t="shared" si="3"/>
        <v>0</v>
      </c>
    </row>
    <row r="19" spans="1:22" ht="42" customHeight="1" thickBot="1" x14ac:dyDescent="0.3">
      <c r="A19" s="5">
        <v>11</v>
      </c>
      <c r="B19" s="83" t="s">
        <v>68</v>
      </c>
      <c r="C19" s="81" t="s">
        <v>90</v>
      </c>
      <c r="D19" s="30">
        <f t="shared" si="1"/>
        <v>0</v>
      </c>
      <c r="E19" s="39"/>
      <c r="F19" s="39"/>
      <c r="G19" s="19"/>
      <c r="H19" s="20"/>
      <c r="I19" s="20"/>
      <c r="J19" s="20"/>
      <c r="K19" s="20"/>
      <c r="L19" s="20"/>
      <c r="M19" s="40"/>
      <c r="N19" s="40"/>
      <c r="O19" s="30">
        <f t="shared" si="2"/>
        <v>0</v>
      </c>
      <c r="P19" s="36"/>
      <c r="Q19" s="36"/>
      <c r="R19" s="59">
        <f t="shared" si="3"/>
        <v>0</v>
      </c>
    </row>
    <row r="20" spans="1:22" ht="38.25" customHeight="1" thickBot="1" x14ac:dyDescent="0.3">
      <c r="A20" s="5">
        <v>12</v>
      </c>
      <c r="B20" s="72" t="s">
        <v>69</v>
      </c>
      <c r="C20" s="82" t="s">
        <v>82</v>
      </c>
      <c r="D20" s="30">
        <f t="shared" si="1"/>
        <v>334273</v>
      </c>
      <c r="E20" s="39">
        <f>'[12]1632-2021-2.2.7-АУПТ-07.04.026 '!$L$159*H3*I3*J3*K3*L3*M3*N3</f>
        <v>146010</v>
      </c>
      <c r="F20" s="113">
        <f>'[12]1632-2021-2.2.7-АУПТ-07.04.026 '!$L$162*M3</f>
        <v>191708</v>
      </c>
      <c r="G20" s="19">
        <f>'[12]1632-2021-2.2.7-АУПТ-07.04.026 '!$L$173*M3</f>
        <v>671991</v>
      </c>
      <c r="H20" s="41"/>
      <c r="I20" s="41"/>
      <c r="J20" s="41"/>
      <c r="K20" s="41"/>
      <c r="L20" s="41"/>
      <c r="M20" s="25"/>
      <c r="N20" s="25"/>
      <c r="O20" s="30">
        <f t="shared" si="2"/>
        <v>671991</v>
      </c>
      <c r="P20" s="36">
        <f t="shared" ref="P20:P25" si="4">O20*1.2</f>
        <v>806389.2</v>
      </c>
      <c r="Q20" s="60">
        <f>'[12]1632-2021-2.2.7-АУПТ-07.04.026 '!$L$177</f>
        <v>830581.2</v>
      </c>
      <c r="R20" s="59">
        <f t="shared" si="3"/>
        <v>-24192</v>
      </c>
      <c r="S20" s="43"/>
      <c r="T20" s="43"/>
      <c r="U20" s="43"/>
      <c r="V20" s="43"/>
    </row>
    <row r="21" spans="1:22" ht="42.75" customHeight="1" thickBot="1" x14ac:dyDescent="0.3">
      <c r="A21" s="5">
        <v>13</v>
      </c>
      <c r="B21" s="73" t="s">
        <v>70</v>
      </c>
      <c r="C21" s="111" t="s">
        <v>83</v>
      </c>
      <c r="D21" s="30">
        <f t="shared" si="1"/>
        <v>4350637</v>
      </c>
      <c r="E21" s="39">
        <f>'[13]1632-2021-3.1- АУПТ_07.03.010 -'!$L$275*H3*I3*J3*K3*L3*M3*N3</f>
        <v>2984343</v>
      </c>
      <c r="F21" s="113">
        <f>'[13]1632-2021-3.1- АУПТ_07.03.010 -'!$L$278*M3</f>
        <v>6635680</v>
      </c>
      <c r="G21" s="19">
        <f>'[13]1632-2021-3.1- АУПТ_07.03.010 -'!$L$289*M3</f>
        <v>13970660</v>
      </c>
      <c r="H21" s="41"/>
      <c r="I21" s="41"/>
      <c r="J21" s="41"/>
      <c r="K21" s="41"/>
      <c r="L21" s="41"/>
      <c r="M21" s="25"/>
      <c r="N21" s="25"/>
      <c r="O21" s="30">
        <f t="shared" si="2"/>
        <v>13970660</v>
      </c>
      <c r="P21" s="36">
        <f t="shared" si="4"/>
        <v>16764792</v>
      </c>
      <c r="Q21" s="36">
        <f>'[13]1632-2021-3.1- АУПТ_07.03.010 -'!$L$293</f>
        <v>17267736</v>
      </c>
      <c r="R21" s="59">
        <f t="shared" si="3"/>
        <v>-502944</v>
      </c>
    </row>
    <row r="22" spans="1:22" ht="35.1" customHeight="1" thickBot="1" x14ac:dyDescent="0.3">
      <c r="A22" s="5">
        <v>14</v>
      </c>
      <c r="B22" s="72" t="s">
        <v>71</v>
      </c>
      <c r="C22" s="82" t="s">
        <v>84</v>
      </c>
      <c r="D22" s="30">
        <f t="shared" si="1"/>
        <v>4930904</v>
      </c>
      <c r="E22" s="39">
        <f>'[14]1632-2021-3.2-АУПТ_07.03.011 - '!$L$317*H3*I3*J3*K3*L3*M3*N3</f>
        <v>3029201</v>
      </c>
      <c r="F22" s="113">
        <f>'[14]1632-2021-3.2-АУПТ_07.03.011 - '!$L$320*M3</f>
        <v>19924412</v>
      </c>
      <c r="G22" s="19">
        <f>'[14]1632-2021-3.2-АУПТ_07.03.011 - '!$L$331*M3</f>
        <v>27884517</v>
      </c>
      <c r="H22" s="20"/>
      <c r="I22" s="20"/>
      <c r="J22" s="20"/>
      <c r="K22" s="20"/>
      <c r="L22" s="20"/>
      <c r="M22" s="40"/>
      <c r="N22" s="40"/>
      <c r="O22" s="30">
        <f t="shared" si="2"/>
        <v>27884517</v>
      </c>
      <c r="P22" s="36">
        <f t="shared" si="4"/>
        <v>33461420.399999999</v>
      </c>
      <c r="Q22" s="36">
        <f>'[14]1632-2021-3.2-АУПТ_07.03.011 - '!$L$335</f>
        <v>34465263.600000001</v>
      </c>
      <c r="R22" s="59">
        <f t="shared" si="3"/>
        <v>-1003843.2</v>
      </c>
    </row>
    <row r="23" spans="1:22" ht="66.75" customHeight="1" thickBot="1" x14ac:dyDescent="0.3">
      <c r="A23" s="5">
        <v>15</v>
      </c>
      <c r="B23" s="73" t="s">
        <v>72</v>
      </c>
      <c r="C23" s="81" t="s">
        <v>85</v>
      </c>
      <c r="D23" s="30">
        <f t="shared" si="1"/>
        <v>8166290</v>
      </c>
      <c r="E23" s="39">
        <f>'[15]1632-2021-3.3-АУПТ_07.03.012 - '!$L$258*H3*I3*J3*K3*L3*M3*N3</f>
        <v>2751854</v>
      </c>
      <c r="F23" s="113">
        <f>'[15]1632-2021-3.3-АУПТ_07.03.012 - '!$L$261*M3</f>
        <v>400314</v>
      </c>
      <c r="G23" s="19">
        <f>'[15]1632-2021-3.3-АУПТ_07.03.012 - '!$L$272*M3</f>
        <v>11318458</v>
      </c>
      <c r="H23" s="41"/>
      <c r="I23" s="41"/>
      <c r="J23" s="41"/>
      <c r="K23" s="41"/>
      <c r="L23" s="41"/>
      <c r="M23" s="25"/>
      <c r="N23" s="25"/>
      <c r="O23" s="30">
        <f t="shared" si="2"/>
        <v>11318458</v>
      </c>
      <c r="P23" s="36">
        <f t="shared" si="4"/>
        <v>13582149.6</v>
      </c>
      <c r="Q23" s="36">
        <f>'[15]1632-2021-3.3-АУПТ_07.03.012 - '!$L$276</f>
        <v>13989614.4</v>
      </c>
      <c r="R23" s="59">
        <f t="shared" si="3"/>
        <v>-407464.8</v>
      </c>
    </row>
    <row r="24" spans="1:22" ht="41.25" customHeight="1" thickBot="1" x14ac:dyDescent="0.3">
      <c r="A24" s="5">
        <v>16</v>
      </c>
      <c r="B24" s="72" t="s">
        <v>73</v>
      </c>
      <c r="C24" s="78" t="s">
        <v>88</v>
      </c>
      <c r="D24" s="30">
        <f t="shared" si="1"/>
        <v>9985588.9100000001</v>
      </c>
      <c r="E24" s="39">
        <f>'[16]1632-2021-3.3-ПТ_07.03.012 - По'!$L$223*H3*I3*J3*K3*L3*M3*N3</f>
        <v>5164988.99</v>
      </c>
      <c r="F24" s="113">
        <f>'[16]1632-2021-3.3-ПТ_07.03.012 - По'!$L$226*M3</f>
        <v>21965755.940000001</v>
      </c>
      <c r="G24" s="19">
        <f>'[16]1632-2021-3.3-ПТ_07.03.012 - По'!$L$237*M3</f>
        <v>37116333.840000004</v>
      </c>
      <c r="H24" s="20"/>
      <c r="I24" s="20"/>
      <c r="J24" s="20"/>
      <c r="K24" s="20"/>
      <c r="L24" s="20"/>
      <c r="M24" s="40"/>
      <c r="N24" s="40"/>
      <c r="O24" s="30">
        <f t="shared" si="2"/>
        <v>37116333.840000004</v>
      </c>
      <c r="P24" s="36">
        <f t="shared" si="4"/>
        <v>44539600.609999999</v>
      </c>
      <c r="Q24" s="36">
        <f>'[16]1632-2021-3.3-ПТ_07.03.012 - По'!$L$241</f>
        <v>45875788.630000003</v>
      </c>
      <c r="R24" s="59">
        <f t="shared" si="3"/>
        <v>-1336188.02</v>
      </c>
    </row>
    <row r="25" spans="1:22" ht="37.5" customHeight="1" thickBot="1" x14ac:dyDescent="0.3">
      <c r="A25" s="75">
        <v>17</v>
      </c>
      <c r="B25" s="76" t="s">
        <v>74</v>
      </c>
      <c r="C25" s="112" t="s">
        <v>86</v>
      </c>
      <c r="D25" s="28">
        <f t="shared" si="1"/>
        <v>1412113.29</v>
      </c>
      <c r="E25" s="29">
        <f>'[17]1632-2021-6.1-ПТ_АБК - Полный л'!$L$239*H3*I3*J3*K3*L3*M3*N3</f>
        <v>155857.28</v>
      </c>
      <c r="F25" s="114">
        <f>'[17]1632-2021-6.1-ПТ_АБК - Полный л'!$L$242*M3</f>
        <v>686.55</v>
      </c>
      <c r="G25" s="77">
        <f>'[17]1632-2021-6.1-ПТ_АБК - Полный л'!$L$253*M3</f>
        <v>1568657.12</v>
      </c>
      <c r="H25" s="41"/>
      <c r="I25" s="41"/>
      <c r="J25" s="41"/>
      <c r="K25" s="41"/>
      <c r="L25" s="41"/>
      <c r="M25" s="41"/>
      <c r="N25" s="41"/>
      <c r="O25" s="28">
        <f t="shared" si="2"/>
        <v>1568657.12</v>
      </c>
      <c r="P25" s="36">
        <f t="shared" si="4"/>
        <v>1882388.54</v>
      </c>
      <c r="Q25" s="36">
        <f>'[17]1632-2021-6.1-ПТ_АБК - Полный л'!$L$257</f>
        <v>1938860.2</v>
      </c>
      <c r="R25" s="59">
        <f t="shared" si="3"/>
        <v>-56471.66</v>
      </c>
    </row>
    <row r="26" spans="1:22" ht="35.1" hidden="1" customHeight="1" thickBot="1" x14ac:dyDescent="0.3">
      <c r="A26" s="4">
        <v>18</v>
      </c>
      <c r="B26" s="16"/>
      <c r="C26" s="16"/>
      <c r="D26" s="74">
        <f t="shared" si="1"/>
        <v>0</v>
      </c>
      <c r="E26" s="19"/>
      <c r="F26" s="19"/>
      <c r="G26" s="19"/>
      <c r="H26" s="20"/>
      <c r="I26" s="20"/>
      <c r="J26" s="20"/>
      <c r="K26" s="20"/>
      <c r="L26" s="20"/>
      <c r="M26" s="40"/>
      <c r="N26" s="40"/>
      <c r="O26" s="30">
        <f t="shared" si="2"/>
        <v>0</v>
      </c>
      <c r="P26" s="36"/>
      <c r="Q26" s="36">
        <f>'[18]1632-2021-3.1-ВК Крытый склад №'!$L$360</f>
        <v>3189031.06</v>
      </c>
      <c r="R26" s="59">
        <f t="shared" si="3"/>
        <v>-3189031.06</v>
      </c>
    </row>
    <row r="27" spans="1:22" ht="35.1" hidden="1" customHeight="1" thickBot="1" x14ac:dyDescent="0.3">
      <c r="A27" s="5">
        <v>19</v>
      </c>
      <c r="B27" s="17"/>
      <c r="C27" s="17"/>
      <c r="D27" s="30">
        <f t="shared" si="1"/>
        <v>0</v>
      </c>
      <c r="E27" s="39"/>
      <c r="F27" s="39"/>
      <c r="G27" s="19"/>
      <c r="H27" s="41"/>
      <c r="I27" s="41"/>
      <c r="J27" s="41"/>
      <c r="K27" s="41"/>
      <c r="L27" s="41"/>
      <c r="M27" s="25"/>
      <c r="N27" s="25"/>
      <c r="O27" s="30">
        <f t="shared" si="2"/>
        <v>0</v>
      </c>
      <c r="P27" s="36"/>
      <c r="Q27" s="36">
        <f>'[19]1632-2021-3.2-ВК Крытый склад №'!$L$358</f>
        <v>3018564.22</v>
      </c>
      <c r="R27" s="59">
        <f t="shared" si="3"/>
        <v>-3018564.22</v>
      </c>
    </row>
    <row r="28" spans="1:22" ht="35.1" hidden="1" customHeight="1" thickBot="1" x14ac:dyDescent="0.3">
      <c r="A28" s="5">
        <v>20</v>
      </c>
      <c r="B28" s="17"/>
      <c r="C28" s="17"/>
      <c r="D28" s="30">
        <f t="shared" si="1"/>
        <v>0</v>
      </c>
      <c r="E28" s="39"/>
      <c r="F28" s="39"/>
      <c r="G28" s="19"/>
      <c r="H28" s="20"/>
      <c r="I28" s="20"/>
      <c r="J28" s="20"/>
      <c r="K28" s="20"/>
      <c r="L28" s="20"/>
      <c r="M28" s="40"/>
      <c r="N28" s="40"/>
      <c r="O28" s="30">
        <f t="shared" si="2"/>
        <v>0</v>
      </c>
      <c r="P28" s="36"/>
      <c r="Q28" s="36">
        <f>'[20]1632-2021-3.3-ВК Куп.склады - П'!$L$160</f>
        <v>877478.69</v>
      </c>
      <c r="R28" s="59">
        <f t="shared" si="3"/>
        <v>-877478.69</v>
      </c>
    </row>
    <row r="29" spans="1:22" ht="35.1" hidden="1" customHeight="1" thickBot="1" x14ac:dyDescent="0.3">
      <c r="A29" s="5">
        <v>21</v>
      </c>
      <c r="B29" s="17"/>
      <c r="C29" s="17"/>
      <c r="D29" s="30">
        <f t="shared" si="1"/>
        <v>0</v>
      </c>
      <c r="E29" s="39"/>
      <c r="F29" s="39"/>
      <c r="G29" s="19"/>
      <c r="H29" s="41"/>
      <c r="I29" s="41"/>
      <c r="J29" s="41"/>
      <c r="K29" s="41"/>
      <c r="L29" s="41"/>
      <c r="M29" s="25"/>
      <c r="N29" s="25"/>
      <c r="O29" s="30">
        <f t="shared" si="2"/>
        <v>0</v>
      </c>
      <c r="P29" s="36"/>
      <c r="Q29" s="36">
        <f>'[21]1632-2021-3.3-ВС Куп.склады - П'!$L$108</f>
        <v>1623780.42</v>
      </c>
      <c r="R29" s="59">
        <f t="shared" si="3"/>
        <v>-1623780.42</v>
      </c>
    </row>
    <row r="30" spans="1:22" ht="46.5" hidden="1" customHeight="1" thickBot="1" x14ac:dyDescent="0.3">
      <c r="A30" s="46">
        <v>22</v>
      </c>
      <c r="B30" s="47"/>
      <c r="C30" s="47"/>
      <c r="D30" s="48">
        <f t="shared" si="1"/>
        <v>0</v>
      </c>
      <c r="E30" s="49"/>
      <c r="F30" s="49"/>
      <c r="G30" s="50"/>
      <c r="H30" s="51"/>
      <c r="I30" s="51"/>
      <c r="J30" s="51"/>
      <c r="K30" s="51"/>
      <c r="L30" s="51"/>
      <c r="M30" s="52"/>
      <c r="N30" s="52"/>
      <c r="O30" s="48">
        <f t="shared" si="2"/>
        <v>0</v>
      </c>
      <c r="P30" s="36"/>
      <c r="Q30" s="36">
        <f>'[22]1632-2021-8.4-ВК - Полный локал'!$L$490</f>
        <v>1975479.5</v>
      </c>
      <c r="R30" s="59">
        <f t="shared" si="3"/>
        <v>-1975479.5</v>
      </c>
    </row>
    <row r="31" spans="1:22" ht="35.1" customHeight="1" thickBot="1" x14ac:dyDescent="0.3">
      <c r="A31" s="53"/>
      <c r="B31" s="54"/>
      <c r="C31" s="54"/>
      <c r="D31" s="55">
        <f>SUM(D4:D30)-D12-D13-D14-D15-D16</f>
        <v>129831827.2</v>
      </c>
      <c r="E31" s="55">
        <f t="shared" ref="E31:G31" si="5">SUM(E4:E30)-E12-E13-E14-E15-E16</f>
        <v>67854190.269999996</v>
      </c>
      <c r="F31" s="55">
        <f t="shared" si="5"/>
        <v>135529474.49000001</v>
      </c>
      <c r="G31" s="55">
        <f t="shared" si="5"/>
        <v>333215491.95999998</v>
      </c>
      <c r="H31" s="55">
        <f t="shared" ref="H31:M31" si="6">SUM(H4:H30)</f>
        <v>0</v>
      </c>
      <c r="I31" s="55">
        <f t="shared" si="6"/>
        <v>0</v>
      </c>
      <c r="J31" s="55">
        <f t="shared" si="6"/>
        <v>0</v>
      </c>
      <c r="K31" s="55">
        <f t="shared" si="6"/>
        <v>0</v>
      </c>
      <c r="L31" s="55">
        <f t="shared" si="6"/>
        <v>0</v>
      </c>
      <c r="M31" s="55">
        <f t="shared" si="6"/>
        <v>0</v>
      </c>
      <c r="N31" s="56"/>
      <c r="O31" s="55">
        <f>SUM(O4:O30)-O12-O13-O14-O15-O16</f>
        <v>333215491.95999998</v>
      </c>
      <c r="P31" s="36">
        <f>SUM(P4:P25)</f>
        <v>399858590.35000002</v>
      </c>
      <c r="Q31" s="36">
        <f>SUM(Q4:Q25)</f>
        <v>411854348.02999997</v>
      </c>
      <c r="R31" s="59">
        <f t="shared" si="3"/>
        <v>-11995757.68</v>
      </c>
      <c r="S31" s="43">
        <f>O31-D34</f>
        <v>0</v>
      </c>
      <c r="T31" s="43"/>
      <c r="U31" s="43"/>
      <c r="V31" s="43"/>
    </row>
    <row r="32" spans="1:22" ht="35.1" hidden="1" customHeight="1" thickBot="1" x14ac:dyDescent="0.3">
      <c r="A32" s="5">
        <v>24</v>
      </c>
      <c r="B32" s="17"/>
      <c r="C32" s="17"/>
      <c r="D32" s="30">
        <f t="shared" si="1"/>
        <v>0</v>
      </c>
      <c r="E32" s="39">
        <f>'[23]1632-2021-1.1, 1.2-ВК СРВ, Тран'!$L$755*H31*I31*J31*K31*L31*M31*N31</f>
        <v>0</v>
      </c>
      <c r="F32" s="39">
        <f>'[23]1632-2021-1.1, 1.2-ВК СРВ, Тран'!$L$758*M31</f>
        <v>0</v>
      </c>
      <c r="G32" s="19">
        <f>'[23]1632-2021-1.1, 1.2-ВК СРВ, Тран'!$L$769*M31</f>
        <v>0</v>
      </c>
      <c r="H32" s="20"/>
      <c r="I32" s="20"/>
      <c r="J32" s="20"/>
      <c r="K32" s="20"/>
      <c r="L32" s="20"/>
      <c r="M32" s="40"/>
      <c r="N32" s="40"/>
      <c r="O32" s="30">
        <f t="shared" si="2"/>
        <v>0</v>
      </c>
      <c r="P32" s="36">
        <f>G32*P3</f>
        <v>0</v>
      </c>
      <c r="Q32" s="43"/>
      <c r="R32" s="59">
        <f t="shared" si="3"/>
        <v>0</v>
      </c>
      <c r="S32" s="43"/>
      <c r="T32" s="43"/>
      <c r="U32" s="43"/>
      <c r="V32" s="43"/>
    </row>
    <row r="33" spans="1:22" ht="29.25" customHeight="1" thickBot="1" x14ac:dyDescent="0.3">
      <c r="A33" s="6"/>
      <c r="B33" s="7" t="s">
        <v>6</v>
      </c>
      <c r="C33" s="63"/>
      <c r="D33" s="162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4"/>
      <c r="P33" s="36">
        <f>O31*1.2</f>
        <v>399858590.35000002</v>
      </c>
      <c r="Q33" s="43"/>
      <c r="R33" s="43"/>
      <c r="S33" s="43"/>
      <c r="T33" s="43"/>
      <c r="U33" s="43"/>
      <c r="V33" s="43"/>
    </row>
    <row r="34" spans="1:22" ht="29.25" customHeight="1" thickBot="1" x14ac:dyDescent="0.3">
      <c r="A34" s="6"/>
      <c r="B34" s="13" t="s">
        <v>40</v>
      </c>
      <c r="C34" s="64"/>
      <c r="D34" s="115">
        <f>D31+E31+F31</f>
        <v>333215491.95999998</v>
      </c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7"/>
      <c r="P34" s="60"/>
      <c r="Q34" s="43"/>
      <c r="R34" s="43"/>
      <c r="S34" s="43"/>
      <c r="T34" s="43"/>
      <c r="U34" s="43"/>
      <c r="V34" s="43"/>
    </row>
    <row r="35" spans="1:22" ht="29.25" customHeight="1" thickBot="1" x14ac:dyDescent="0.3">
      <c r="A35" s="58"/>
      <c r="B35" s="8" t="s">
        <v>7</v>
      </c>
      <c r="C35" s="65"/>
      <c r="D35" s="115">
        <f>D34*0.03</f>
        <v>9996464.7599999998</v>
      </c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7"/>
      <c r="P35" s="60"/>
      <c r="Q35" s="43"/>
      <c r="R35" s="43"/>
      <c r="S35" s="43"/>
      <c r="T35" s="43"/>
      <c r="U35" s="43"/>
      <c r="V35" s="43"/>
    </row>
    <row r="36" spans="1:22" ht="29.25" customHeight="1" thickBot="1" x14ac:dyDescent="0.3">
      <c r="A36" s="10"/>
      <c r="B36" s="11" t="s">
        <v>8</v>
      </c>
      <c r="C36" s="66"/>
      <c r="D36" s="142">
        <f>D34+D35</f>
        <v>343211956.72000003</v>
      </c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4"/>
      <c r="P36" s="60"/>
      <c r="Q36" s="43"/>
      <c r="R36" s="43"/>
      <c r="S36" s="43"/>
      <c r="T36" s="43"/>
      <c r="U36" s="43"/>
      <c r="V36" s="43"/>
    </row>
    <row r="37" spans="1:22" ht="29.25" customHeight="1" thickBot="1" x14ac:dyDescent="0.3">
      <c r="A37" s="14"/>
      <c r="B37" s="15" t="s">
        <v>49</v>
      </c>
      <c r="C37" s="67"/>
      <c r="D37" s="142">
        <f>D36*1.2</f>
        <v>411854348.06</v>
      </c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4"/>
      <c r="P37" s="60">
        <f>Q31-D37</f>
        <v>-0.03</v>
      </c>
      <c r="Q37" s="43"/>
      <c r="R37" s="43"/>
      <c r="S37" s="43"/>
      <c r="T37" s="43"/>
      <c r="U37" s="43"/>
      <c r="V37" s="43"/>
    </row>
    <row r="38" spans="1:22" ht="29.25" customHeight="1" x14ac:dyDescent="0.25">
      <c r="A38" s="147"/>
      <c r="B38" s="145" t="s">
        <v>9</v>
      </c>
      <c r="C38" s="68"/>
      <c r="D38" s="156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8"/>
      <c r="P38" s="60"/>
      <c r="Q38" s="43"/>
      <c r="R38" s="43"/>
      <c r="S38" s="43"/>
      <c r="T38" s="43"/>
      <c r="U38" s="43"/>
      <c r="V38" s="43"/>
    </row>
    <row r="39" spans="1:22" ht="57" customHeight="1" thickBot="1" x14ac:dyDescent="0.3">
      <c r="A39" s="148"/>
      <c r="B39" s="146"/>
      <c r="C39" s="69"/>
      <c r="D39" s="153" t="s">
        <v>10</v>
      </c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5"/>
      <c r="P39" s="60"/>
      <c r="Q39" s="43"/>
      <c r="R39" s="43"/>
      <c r="S39" s="43"/>
      <c r="T39" s="43"/>
      <c r="U39" s="43"/>
      <c r="V39" s="43"/>
    </row>
    <row r="40" spans="1:22" ht="63.75" customHeight="1" thickBot="1" x14ac:dyDescent="0.3">
      <c r="A40" s="58"/>
      <c r="B40" s="12" t="s">
        <v>11</v>
      </c>
      <c r="C40" s="70"/>
      <c r="D40" s="130" t="s">
        <v>12</v>
      </c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2"/>
    </row>
    <row r="41" spans="1:22" ht="51.75" customHeight="1" thickBot="1" x14ac:dyDescent="0.3">
      <c r="A41" s="58"/>
      <c r="B41" s="12" t="s">
        <v>13</v>
      </c>
      <c r="C41" s="70"/>
      <c r="D41" s="130" t="s">
        <v>14</v>
      </c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2"/>
    </row>
    <row r="42" spans="1:22" ht="56.25" customHeight="1" thickBot="1" x14ac:dyDescent="0.3">
      <c r="A42" s="58"/>
      <c r="B42" s="12" t="s">
        <v>15</v>
      </c>
      <c r="C42" s="70"/>
      <c r="D42" s="130" t="s">
        <v>16</v>
      </c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2"/>
    </row>
    <row r="43" spans="1:22" ht="29.25" customHeight="1" x14ac:dyDescent="0.25">
      <c r="A43" s="147"/>
      <c r="B43" s="145" t="s">
        <v>17</v>
      </c>
      <c r="C43" s="68"/>
      <c r="D43" s="133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5"/>
    </row>
    <row r="44" spans="1:22" ht="29.25" customHeight="1" x14ac:dyDescent="0.25">
      <c r="A44" s="151"/>
      <c r="B44" s="152"/>
      <c r="C44" s="71"/>
      <c r="D44" s="136" t="s">
        <v>18</v>
      </c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8"/>
    </row>
    <row r="45" spans="1:22" ht="29.25" customHeight="1" thickBot="1" x14ac:dyDescent="0.3">
      <c r="A45" s="148"/>
      <c r="B45" s="146"/>
      <c r="C45" s="69"/>
      <c r="D45" s="139" t="s">
        <v>19</v>
      </c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1"/>
    </row>
    <row r="46" spans="1:22" ht="29.25" customHeight="1" thickBot="1" x14ac:dyDescent="0.3">
      <c r="A46" s="58"/>
      <c r="B46" s="12" t="s">
        <v>20</v>
      </c>
      <c r="C46" s="70"/>
      <c r="D46" s="130" t="s">
        <v>21</v>
      </c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2"/>
    </row>
    <row r="47" spans="1:22" ht="29.25" customHeight="1" thickBot="1" x14ac:dyDescent="0.3">
      <c r="A47" s="58"/>
      <c r="B47" s="12" t="s">
        <v>22</v>
      </c>
      <c r="C47" s="70"/>
      <c r="D47" s="130" t="s">
        <v>23</v>
      </c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2"/>
    </row>
    <row r="48" spans="1:22" ht="29.25" customHeight="1" thickBot="1" x14ac:dyDescent="0.3">
      <c r="A48" s="58"/>
      <c r="B48" s="12" t="s">
        <v>24</v>
      </c>
      <c r="C48" s="70"/>
      <c r="D48" s="130" t="s">
        <v>25</v>
      </c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2"/>
    </row>
    <row r="49" spans="1:15" ht="29.25" customHeight="1" thickBot="1" x14ac:dyDescent="0.3">
      <c r="A49" s="58"/>
      <c r="B49" s="12" t="s">
        <v>26</v>
      </c>
      <c r="C49" s="70"/>
      <c r="D49" s="130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2"/>
    </row>
    <row r="52" spans="1:15" x14ac:dyDescent="0.25">
      <c r="D52" s="18"/>
      <c r="E52" s="18"/>
      <c r="F52" s="18"/>
      <c r="G52" s="18"/>
    </row>
    <row r="53" spans="1:15" x14ac:dyDescent="0.25">
      <c r="D53" s="18"/>
      <c r="E53" s="18"/>
      <c r="F53" s="18"/>
      <c r="G53" s="18"/>
    </row>
    <row r="54" spans="1:15" x14ac:dyDescent="0.25">
      <c r="D54" s="18"/>
      <c r="E54" s="18"/>
      <c r="F54" s="18"/>
      <c r="G54" s="18"/>
    </row>
  </sheetData>
  <mergeCells count="32">
    <mergeCell ref="D33:O33"/>
    <mergeCell ref="A1:A2"/>
    <mergeCell ref="B1:B2"/>
    <mergeCell ref="D1:F1"/>
    <mergeCell ref="H1:H2"/>
    <mergeCell ref="I1:I2"/>
    <mergeCell ref="J1:J2"/>
    <mergeCell ref="K1:K2"/>
    <mergeCell ref="L1:L2"/>
    <mergeCell ref="M1:M2"/>
    <mergeCell ref="N1:N2"/>
    <mergeCell ref="O1:O2"/>
    <mergeCell ref="D34:O34"/>
    <mergeCell ref="D35:O35"/>
    <mergeCell ref="D36:O36"/>
    <mergeCell ref="D37:O37"/>
    <mergeCell ref="A38:A39"/>
    <mergeCell ref="B38:B39"/>
    <mergeCell ref="D38:O38"/>
    <mergeCell ref="D39:O39"/>
    <mergeCell ref="A43:A45"/>
    <mergeCell ref="B43:B45"/>
    <mergeCell ref="D43:O43"/>
    <mergeCell ref="D44:O44"/>
    <mergeCell ref="D45:O45"/>
    <mergeCell ref="D46:O46"/>
    <mergeCell ref="D47:O47"/>
    <mergeCell ref="D48:O48"/>
    <mergeCell ref="D49:O49"/>
    <mergeCell ref="D40:O40"/>
    <mergeCell ref="D41:O41"/>
    <mergeCell ref="D42:O4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67E1F-7392-4D4F-A2EC-8F04B7FB4321}">
  <dimension ref="A1:V54"/>
  <sheetViews>
    <sheetView tabSelected="1" zoomScale="90" zoomScaleNormal="90" workbookViewId="0">
      <pane ySplit="3" topLeftCell="A5" activePane="bottomLeft" state="frozen"/>
      <selection pane="bottomLeft" activeCell="D13" sqref="D13"/>
    </sheetView>
  </sheetViews>
  <sheetFormatPr defaultRowHeight="15" outlineLevelRow="1" outlineLevelCol="1" x14ac:dyDescent="0.25"/>
  <cols>
    <col min="1" max="1" width="6.28515625" customWidth="1"/>
    <col min="2" max="2" width="57.140625" customWidth="1"/>
    <col min="3" max="3" width="46.5703125" customWidth="1"/>
    <col min="4" max="4" width="16" customWidth="1"/>
    <col min="5" max="5" width="17.5703125" customWidth="1"/>
    <col min="6" max="6" width="15.5703125" customWidth="1"/>
    <col min="7" max="7" width="14.42578125" hidden="1" customWidth="1"/>
    <col min="8" max="11" width="10.7109375" style="22" hidden="1" customWidth="1" outlineLevel="1"/>
    <col min="12" max="12" width="12.42578125" style="22" hidden="1" customWidth="1" outlineLevel="1"/>
    <col min="13" max="14" width="10.7109375" style="22" hidden="1" customWidth="1" outlineLevel="1"/>
    <col min="15" max="15" width="19.7109375" customWidth="1" collapsed="1"/>
    <col min="16" max="16" width="16.42578125" style="61" hidden="1" customWidth="1" outlineLevel="1"/>
    <col min="17" max="17" width="17.7109375" hidden="1" customWidth="1" outlineLevel="1"/>
    <col min="18" max="18" width="13.5703125" hidden="1" customWidth="1" outlineLevel="1"/>
    <col min="19" max="19" width="18.5703125" customWidth="1" collapsed="1"/>
    <col min="20" max="20" width="17.5703125" customWidth="1"/>
    <col min="21" max="21" width="22.28515625" customWidth="1"/>
  </cols>
  <sheetData>
    <row r="1" spans="1:19" ht="25.5" customHeight="1" thickBot="1" x14ac:dyDescent="0.3">
      <c r="A1" s="122" t="s">
        <v>0</v>
      </c>
      <c r="B1" s="122" t="s">
        <v>1</v>
      </c>
      <c r="C1" s="62"/>
      <c r="D1" s="124" t="s">
        <v>2</v>
      </c>
      <c r="E1" s="165"/>
      <c r="F1" s="125"/>
      <c r="G1" s="42"/>
      <c r="H1" s="118" t="s">
        <v>42</v>
      </c>
      <c r="I1" s="118" t="s">
        <v>43</v>
      </c>
      <c r="J1" s="118" t="s">
        <v>45</v>
      </c>
      <c r="K1" s="118" t="s">
        <v>44</v>
      </c>
      <c r="L1" s="118" t="s">
        <v>46</v>
      </c>
      <c r="M1" s="118" t="s">
        <v>52</v>
      </c>
      <c r="N1" s="160" t="s">
        <v>97</v>
      </c>
      <c r="O1" s="122" t="s">
        <v>3</v>
      </c>
      <c r="P1" s="36"/>
      <c r="Q1" s="18"/>
    </row>
    <row r="2" spans="1:19" ht="35.25" customHeight="1" thickBot="1" x14ac:dyDescent="0.3">
      <c r="A2" s="123"/>
      <c r="B2" s="123"/>
      <c r="C2" s="1" t="s">
        <v>59</v>
      </c>
      <c r="D2" s="1" t="s">
        <v>4</v>
      </c>
      <c r="E2" s="1" t="s">
        <v>41</v>
      </c>
      <c r="F2" s="1" t="s">
        <v>53</v>
      </c>
      <c r="G2" s="45" t="s">
        <v>54</v>
      </c>
      <c r="H2" s="159"/>
      <c r="I2" s="159"/>
      <c r="J2" s="159"/>
      <c r="K2" s="159"/>
      <c r="L2" s="159"/>
      <c r="M2" s="159"/>
      <c r="N2" s="161"/>
      <c r="O2" s="126"/>
      <c r="P2" s="36" t="s">
        <v>55</v>
      </c>
    </row>
    <row r="3" spans="1:19" ht="15.75" thickBot="1" x14ac:dyDescent="0.3">
      <c r="A3" s="2">
        <v>1</v>
      </c>
      <c r="B3" s="3">
        <v>2</v>
      </c>
      <c r="C3" s="3"/>
      <c r="D3" s="3">
        <v>3</v>
      </c>
      <c r="E3" s="3">
        <v>4</v>
      </c>
      <c r="F3" s="3">
        <v>5</v>
      </c>
      <c r="G3" s="3">
        <v>6</v>
      </c>
      <c r="H3" s="27">
        <v>1.052</v>
      </c>
      <c r="I3" s="27">
        <v>1.0209999999999999</v>
      </c>
      <c r="J3" s="27">
        <v>1.0349999999999999</v>
      </c>
      <c r="K3" s="27">
        <v>1.0249999999999999</v>
      </c>
      <c r="L3" s="27">
        <v>1.02</v>
      </c>
      <c r="M3" s="44">
        <v>1</v>
      </c>
      <c r="N3" s="44">
        <v>1</v>
      </c>
      <c r="O3" s="3">
        <v>7</v>
      </c>
      <c r="P3" s="44">
        <v>1.2</v>
      </c>
      <c r="Q3" s="44" t="s">
        <v>56</v>
      </c>
      <c r="S3" s="18">
        <f>D37</f>
        <v>411854348.06</v>
      </c>
    </row>
    <row r="4" spans="1:19" s="26" customFormat="1" ht="64.5" customHeight="1" thickBot="1" x14ac:dyDescent="0.3">
      <c r="A4" s="4">
        <v>1</v>
      </c>
      <c r="B4" s="73" t="s">
        <v>57</v>
      </c>
      <c r="C4" s="110" t="s">
        <v>75</v>
      </c>
      <c r="D4" s="30">
        <f>G4-F4-E4</f>
        <v>16012207.140000001</v>
      </c>
      <c r="E4" s="39">
        <f>'[1]1632-2021-3.1-ПТ_07.03.010-П-00'!$L$425*H3*I3*J3*K3*L3*M3*N3</f>
        <v>13924153.859999999</v>
      </c>
      <c r="F4" s="39">
        <f>'[1]1632-2021-3.1-ПТ_07.03.010-П-00'!$L$428*M3</f>
        <v>15041653</v>
      </c>
      <c r="G4" s="19">
        <f>'[1]1632-2021-3.1-ПТ_07.03.010-П-00'!$L$439*M3</f>
        <v>44978014</v>
      </c>
      <c r="H4" s="20"/>
      <c r="I4" s="20"/>
      <c r="J4" s="20"/>
      <c r="K4" s="20"/>
      <c r="L4" s="20"/>
      <c r="M4" s="20"/>
      <c r="N4" s="20"/>
      <c r="O4" s="30">
        <f>D4+E4+F4</f>
        <v>44978014</v>
      </c>
      <c r="P4" s="36">
        <f t="shared" ref="P4:P9" si="0">O4*1.2</f>
        <v>53973616.799999997</v>
      </c>
      <c r="Q4" s="36">
        <f>'[1]1632-2021-3.1-ПТ_07.03.010-П-00'!$L$443</f>
        <v>55592824.799999997</v>
      </c>
      <c r="R4" s="59">
        <f>P4-Q4</f>
        <v>-1619208</v>
      </c>
    </row>
    <row r="5" spans="1:19" ht="53.25" customHeight="1" thickBot="1" x14ac:dyDescent="0.3">
      <c r="A5" s="5">
        <v>2</v>
      </c>
      <c r="B5" s="72" t="s">
        <v>58</v>
      </c>
      <c r="C5" s="82" t="s">
        <v>76</v>
      </c>
      <c r="D5" s="30">
        <f t="shared" ref="D5:D32" si="1">G5-F5-E5</f>
        <v>19753017.780000001</v>
      </c>
      <c r="E5" s="39">
        <f>'[2]1632-2021-3.2-ПТ_07.03.011-П-00'!$L$498*H3*I3*J3*K3*L3*M3*N3</f>
        <v>20215158.219999999</v>
      </c>
      <c r="F5" s="39">
        <f>'[2]1632-2021-3.2-ПТ_07.03.011-П-00'!$L$501*M3</f>
        <v>16159230</v>
      </c>
      <c r="G5" s="19">
        <f>'[2]1632-2021-3.2-ПТ_07.03.011-П-00'!$L$512*M3</f>
        <v>56127406</v>
      </c>
      <c r="H5" s="41"/>
      <c r="I5" s="41"/>
      <c r="J5" s="41"/>
      <c r="K5" s="41"/>
      <c r="L5" s="41"/>
      <c r="M5" s="25"/>
      <c r="N5" s="25"/>
      <c r="O5" s="30">
        <f t="shared" ref="O5:O32" si="2">D5+E5+F5</f>
        <v>56127406</v>
      </c>
      <c r="P5" s="36">
        <f t="shared" si="0"/>
        <v>67352887.200000003</v>
      </c>
      <c r="Q5" s="36">
        <f>'[2]1632-2021-3.2-ПТ_07.03.011-П-00'!$L$516</f>
        <v>69373473.599999994</v>
      </c>
      <c r="R5" s="59">
        <f t="shared" ref="R5:R32" si="3">P5-Q5</f>
        <v>-2020586.4</v>
      </c>
    </row>
    <row r="6" spans="1:19" ht="41.25" customHeight="1" thickBot="1" x14ac:dyDescent="0.3">
      <c r="A6" s="5">
        <v>3</v>
      </c>
      <c r="B6" s="72" t="s">
        <v>60</v>
      </c>
      <c r="C6" s="81" t="s">
        <v>77</v>
      </c>
      <c r="D6" s="30">
        <f t="shared" si="1"/>
        <v>27242678.98</v>
      </c>
      <c r="E6" s="39">
        <f>'[3]1632-2021-2.2.1,2.2.2,2.1.1,2.1'!$L$516*H3*I3*J3*K3*L3*M3*N3</f>
        <v>12719427.02</v>
      </c>
      <c r="F6" s="39">
        <f>'[3]1632-2021-2.2.1,2.2.2,2.1.1,2.1'!$L$519*M3</f>
        <v>20659103</v>
      </c>
      <c r="G6" s="19">
        <f>'[3]1632-2021-2.2.1,2.2.2,2.1.1,2.1'!$L$530*M3</f>
        <v>60621209</v>
      </c>
      <c r="H6" s="20"/>
      <c r="I6" s="20"/>
      <c r="J6" s="20"/>
      <c r="K6" s="20"/>
      <c r="L6" s="20"/>
      <c r="M6" s="40"/>
      <c r="N6" s="40"/>
      <c r="O6" s="30">
        <f t="shared" si="2"/>
        <v>60621209</v>
      </c>
      <c r="P6" s="36">
        <f t="shared" si="0"/>
        <v>72745450.799999997</v>
      </c>
      <c r="Q6" s="36">
        <f>'[3]1632-2021-2.2.1,2.2.2,2.1.1,2.1'!$L$534</f>
        <v>74927814</v>
      </c>
      <c r="R6" s="59">
        <f t="shared" si="3"/>
        <v>-2182363.2000000002</v>
      </c>
    </row>
    <row r="7" spans="1:19" ht="53.25" customHeight="1" thickBot="1" x14ac:dyDescent="0.3">
      <c r="A7" s="5">
        <v>4</v>
      </c>
      <c r="B7" s="72" t="s">
        <v>61</v>
      </c>
      <c r="C7" s="82" t="s">
        <v>78</v>
      </c>
      <c r="D7" s="30">
        <f t="shared" si="1"/>
        <v>11111506.970000001</v>
      </c>
      <c r="E7" s="39">
        <f>'[4]1632-2021-2.1.2, 2.1.3, 2.1.7, '!$L$507*H3*I3*J3*K3*L3*M3*N3</f>
        <v>6006321.0300000003</v>
      </c>
      <c r="F7" s="39">
        <f>'[4]1632-2021-2.1.2, 2.1.3, 2.1.7, '!$L$510*M3</f>
        <v>16055118</v>
      </c>
      <c r="G7" s="19">
        <f>'[4]1632-2021-2.1.2, 2.1.3, 2.1.7, '!$L$521*M3</f>
        <v>33172946</v>
      </c>
      <c r="H7" s="41"/>
      <c r="I7" s="41"/>
      <c r="J7" s="41"/>
      <c r="K7" s="41"/>
      <c r="L7" s="41"/>
      <c r="M7" s="25"/>
      <c r="N7" s="25"/>
      <c r="O7" s="30">
        <f t="shared" si="2"/>
        <v>33172946</v>
      </c>
      <c r="P7" s="36">
        <f t="shared" si="0"/>
        <v>39807535.200000003</v>
      </c>
      <c r="Q7" s="36">
        <f>'[4]1632-2021-2.1.2, 2.1.3, 2.1.7, '!$L$525</f>
        <v>41001760.799999997</v>
      </c>
      <c r="R7" s="59">
        <f t="shared" si="3"/>
        <v>-1194225.6000000001</v>
      </c>
    </row>
    <row r="8" spans="1:19" ht="38.25" customHeight="1" thickBot="1" x14ac:dyDescent="0.3">
      <c r="A8" s="5">
        <v>5</v>
      </c>
      <c r="B8" s="73" t="s">
        <v>62</v>
      </c>
      <c r="C8" s="81" t="s">
        <v>79</v>
      </c>
      <c r="D8" s="30">
        <f t="shared" si="1"/>
        <v>11996663.5</v>
      </c>
      <c r="E8" s="39">
        <f>'[5]1632-2021-1.1, 1.2, 2.1.0-ПТ_07'!$L$545*H3*I3*J3*K3*L3*M3*N3</f>
        <v>5921267.5</v>
      </c>
      <c r="F8" s="39">
        <f>'[5]1632-2021-1.1, 1.2, 2.1.0-ПТ_07'!$L$548*M3</f>
        <v>8102520</v>
      </c>
      <c r="G8" s="19">
        <f>'[5]1632-2021-1.1, 1.2, 2.1.0-ПТ_07'!$L$559*M3</f>
        <v>26020451</v>
      </c>
      <c r="H8" s="20"/>
      <c r="I8" s="20"/>
      <c r="J8" s="20"/>
      <c r="K8" s="20"/>
      <c r="L8" s="20"/>
      <c r="M8" s="40"/>
      <c r="N8" s="40"/>
      <c r="O8" s="30">
        <f t="shared" si="2"/>
        <v>26020451</v>
      </c>
      <c r="P8" s="36">
        <f t="shared" si="0"/>
        <v>31224541.199999999</v>
      </c>
      <c r="Q8" s="36">
        <f>'[5]1632-2021-1.1, 1.2, 2.1.0-ПТ_07'!$L$563</f>
        <v>32161278</v>
      </c>
      <c r="R8" s="59">
        <f t="shared" si="3"/>
        <v>-936736.8</v>
      </c>
    </row>
    <row r="9" spans="1:19" ht="39.75" customHeight="1" thickBot="1" x14ac:dyDescent="0.3">
      <c r="A9" s="5">
        <v>6</v>
      </c>
      <c r="B9" s="72" t="s">
        <v>63</v>
      </c>
      <c r="C9" s="82" t="s">
        <v>80</v>
      </c>
      <c r="D9" s="30">
        <f t="shared" si="1"/>
        <v>4274787.6900000004</v>
      </c>
      <c r="E9" s="39">
        <f>'[6]1632-2021-2.2.7, 2.1.3-ПТ_07.04'!$L$379*H3*I3*J3*K3*L3*M3*N3</f>
        <v>2110158.31</v>
      </c>
      <c r="F9" s="39">
        <f>'[6]1632-2021-2.2.7, 2.1.3-ПТ_07.04'!$L$382*M3</f>
        <v>9713360</v>
      </c>
      <c r="G9" s="19">
        <f>'[6]1632-2021-2.2.7, 2.1.3-ПТ_07.04'!$L$393*M3</f>
        <v>16098306</v>
      </c>
      <c r="H9" s="41"/>
      <c r="I9" s="41"/>
      <c r="J9" s="41"/>
      <c r="K9" s="41"/>
      <c r="L9" s="41"/>
      <c r="M9" s="41"/>
      <c r="N9" s="41"/>
      <c r="O9" s="30">
        <f t="shared" si="2"/>
        <v>16098306</v>
      </c>
      <c r="P9" s="36">
        <f t="shared" si="0"/>
        <v>19317967.199999999</v>
      </c>
      <c r="Q9" s="36">
        <f>'[6]1632-2021-2.2.7, 2.1.3-ПТ_07.04'!$L$397</f>
        <v>19897506</v>
      </c>
      <c r="R9" s="59">
        <f t="shared" si="3"/>
        <v>-579538.80000000005</v>
      </c>
    </row>
    <row r="10" spans="1:19" ht="39.75" customHeight="1" thickBot="1" x14ac:dyDescent="0.3">
      <c r="A10" s="5">
        <v>7</v>
      </c>
      <c r="B10" s="92" t="s">
        <v>64</v>
      </c>
      <c r="C10" s="93" t="s">
        <v>87</v>
      </c>
      <c r="D10" s="30">
        <f t="shared" si="1"/>
        <v>0</v>
      </c>
      <c r="E10" s="39"/>
      <c r="F10" s="39"/>
      <c r="G10" s="19"/>
      <c r="H10" s="20"/>
      <c r="I10" s="20"/>
      <c r="J10" s="20"/>
      <c r="K10" s="20"/>
      <c r="L10" s="20"/>
      <c r="M10" s="40"/>
      <c r="N10" s="40"/>
      <c r="O10" s="30">
        <f t="shared" si="2"/>
        <v>0</v>
      </c>
      <c r="P10" s="36"/>
      <c r="Q10" s="36"/>
      <c r="R10" s="59">
        <f t="shared" si="3"/>
        <v>0</v>
      </c>
    </row>
    <row r="11" spans="1:19" ht="37.5" customHeight="1" thickBot="1" x14ac:dyDescent="0.3">
      <c r="A11" s="75">
        <v>8</v>
      </c>
      <c r="B11" s="73" t="s">
        <v>65</v>
      </c>
      <c r="C11" s="78" t="s">
        <v>99</v>
      </c>
      <c r="D11" s="28">
        <f>D12+D13+D14+D15+D16</f>
        <v>1560093.75</v>
      </c>
      <c r="E11" s="29">
        <f>E12+E13+E14+E15+E16</f>
        <v>1426515.25</v>
      </c>
      <c r="F11" s="29">
        <f>F12+F13+F14+F15+F16</f>
        <v>679934</v>
      </c>
      <c r="G11" s="29">
        <f>G12+G13+G14+G15+G16</f>
        <v>3666543</v>
      </c>
      <c r="H11" s="41"/>
      <c r="I11" s="41"/>
      <c r="J11" s="41"/>
      <c r="K11" s="41"/>
      <c r="L11" s="41"/>
      <c r="M11" s="25"/>
      <c r="N11" s="25"/>
      <c r="O11" s="28">
        <f t="shared" si="2"/>
        <v>3666543</v>
      </c>
      <c r="P11" s="36"/>
      <c r="Q11" s="36"/>
      <c r="R11" s="59">
        <f t="shared" si="3"/>
        <v>0</v>
      </c>
    </row>
    <row r="12" spans="1:19" ht="37.5" customHeight="1" outlineLevel="1" x14ac:dyDescent="0.25">
      <c r="A12" s="94"/>
      <c r="B12" s="95"/>
      <c r="C12" s="166" t="s">
        <v>92</v>
      </c>
      <c r="D12" s="97">
        <f t="shared" si="1"/>
        <v>206757.36</v>
      </c>
      <c r="E12" s="97">
        <f>'[7]1632-2021-2.1.2-АУПТ_07.04.041 '!$L$137*H3*I3*J3*K3*L3*M3*N3</f>
        <v>230843.64</v>
      </c>
      <c r="F12" s="97">
        <f>'[7]1632-2021-2.1.2-АУПТ_07.04.041 '!$L$140*M3</f>
        <v>72644</v>
      </c>
      <c r="G12" s="97">
        <f>'[7]1632-2021-2.1.2-АУПТ_07.04.041 '!$L$151*M3</f>
        <v>510245</v>
      </c>
      <c r="H12" s="98"/>
      <c r="I12" s="98"/>
      <c r="J12" s="98"/>
      <c r="K12" s="98"/>
      <c r="L12" s="98"/>
      <c r="M12" s="99"/>
      <c r="N12" s="99"/>
      <c r="O12" s="100">
        <f t="shared" si="2"/>
        <v>510245</v>
      </c>
      <c r="P12" s="36">
        <f>O12*1.2</f>
        <v>612294</v>
      </c>
      <c r="Q12" s="36">
        <f>'[7]1632-2021-2.1.2-АУПТ_07.04.041 '!$L$155</f>
        <v>630662.40000000002</v>
      </c>
      <c r="R12" s="59">
        <f t="shared" si="3"/>
        <v>-18368.400000000001</v>
      </c>
    </row>
    <row r="13" spans="1:19" ht="37.5" customHeight="1" outlineLevel="1" x14ac:dyDescent="0.25">
      <c r="A13" s="85"/>
      <c r="B13" s="86"/>
      <c r="C13" s="167" t="s">
        <v>93</v>
      </c>
      <c r="D13" s="88">
        <f t="shared" si="1"/>
        <v>274168.68</v>
      </c>
      <c r="E13" s="88">
        <f>'[8]1632-2021-2.1.3-АУПТ_07.04.042 '!$L$137*H3*I3*J3*K3*L3*M3*N3</f>
        <v>271124.32</v>
      </c>
      <c r="F13" s="88">
        <f>'[8]1632-2021-2.1.3-АУПТ_07.04.042 '!$L$140*M3</f>
        <v>142679</v>
      </c>
      <c r="G13" s="88">
        <f>'[8]1632-2021-2.1.3-АУПТ_07.04.042 '!$L$151*M3</f>
        <v>687972</v>
      </c>
      <c r="H13" s="89"/>
      <c r="I13" s="89"/>
      <c r="J13" s="89"/>
      <c r="K13" s="89"/>
      <c r="L13" s="89"/>
      <c r="M13" s="90"/>
      <c r="N13" s="90"/>
      <c r="O13" s="91">
        <f t="shared" si="2"/>
        <v>687972</v>
      </c>
      <c r="P13" s="36">
        <f>O13*1.2</f>
        <v>825566.4</v>
      </c>
      <c r="Q13" s="36">
        <f>'[8]1632-2021-2.1.3-АУПТ_07.04.042 '!$L$155</f>
        <v>850333.2</v>
      </c>
      <c r="R13" s="59">
        <f t="shared" si="3"/>
        <v>-24766.799999999999</v>
      </c>
    </row>
    <row r="14" spans="1:19" ht="37.5" customHeight="1" outlineLevel="1" x14ac:dyDescent="0.25">
      <c r="A14" s="85"/>
      <c r="B14" s="86"/>
      <c r="C14" s="167" t="s">
        <v>94</v>
      </c>
      <c r="D14" s="88">
        <f t="shared" si="1"/>
        <v>291984.03999999998</v>
      </c>
      <c r="E14" s="88">
        <f>'[9]1632-2021-2.1.7-АУПТ_07.04.046 '!$L$137*H3*I3*J3*K3*L3*M3*N3</f>
        <v>309348.96000000002</v>
      </c>
      <c r="F14" s="88">
        <f>'[9]1632-2021-2.1.7-АУПТ_07.04.046 '!$L$140*M3</f>
        <v>145286</v>
      </c>
      <c r="G14" s="88">
        <f>'[9]1632-2021-2.1.7-АУПТ_07.04.046 '!$L$151*M3</f>
        <v>746619</v>
      </c>
      <c r="H14" s="89"/>
      <c r="I14" s="89"/>
      <c r="J14" s="89"/>
      <c r="K14" s="89"/>
      <c r="L14" s="89"/>
      <c r="M14" s="90"/>
      <c r="N14" s="90"/>
      <c r="O14" s="91">
        <f t="shared" si="2"/>
        <v>746619</v>
      </c>
      <c r="P14" s="36">
        <f>O14*1.2</f>
        <v>895942.8</v>
      </c>
      <c r="Q14" s="36">
        <f>'[9]1632-2021-2.1.7-АУПТ_07.04.046 '!$L$155</f>
        <v>922821.6</v>
      </c>
      <c r="R14" s="59">
        <f t="shared" si="3"/>
        <v>-26878.799999999999</v>
      </c>
    </row>
    <row r="15" spans="1:19" ht="37.5" customHeight="1" outlineLevel="1" x14ac:dyDescent="0.25">
      <c r="A15" s="85"/>
      <c r="B15" s="86"/>
      <c r="C15" s="167" t="s">
        <v>95</v>
      </c>
      <c r="D15" s="88">
        <f t="shared" si="1"/>
        <v>206757.36</v>
      </c>
      <c r="E15" s="88">
        <f>'[10]1632-2021-2.1.11-АУПТ_07.04.050'!$L$137*H3*I3*J3*K3*L3*M3*N3</f>
        <v>230843.64</v>
      </c>
      <c r="F15" s="88">
        <f>'[10]1632-2021-2.1.11-АУПТ_07.04.050'!$L$140*M3</f>
        <v>72644</v>
      </c>
      <c r="G15" s="88">
        <f>'[10]1632-2021-2.1.11-АУПТ_07.04.050'!$L$151*M3</f>
        <v>510245</v>
      </c>
      <c r="H15" s="89"/>
      <c r="I15" s="89"/>
      <c r="J15" s="89"/>
      <c r="K15" s="89"/>
      <c r="L15" s="89"/>
      <c r="M15" s="90"/>
      <c r="N15" s="90"/>
      <c r="O15" s="91">
        <f t="shared" si="2"/>
        <v>510245</v>
      </c>
      <c r="P15" s="36">
        <f>O15*1.2</f>
        <v>612294</v>
      </c>
      <c r="Q15" s="36">
        <f>'[10]1632-2021-2.1.11-АУПТ_07.04.050'!$L$155</f>
        <v>630662.40000000002</v>
      </c>
      <c r="R15" s="59">
        <f t="shared" si="3"/>
        <v>-18368.400000000001</v>
      </c>
    </row>
    <row r="16" spans="1:19" ht="37.5" customHeight="1" outlineLevel="1" thickBot="1" x14ac:dyDescent="0.3">
      <c r="A16" s="101"/>
      <c r="B16" s="102"/>
      <c r="C16" s="168" t="s">
        <v>96</v>
      </c>
      <c r="D16" s="104">
        <f t="shared" si="1"/>
        <v>580426.31000000006</v>
      </c>
      <c r="E16" s="104">
        <f>'[11]1632-2021-2.2.3_АУПТ_07.04.022 '!$L$159*H3*I3*J3*K3*L3*M3*N3</f>
        <v>384354.69</v>
      </c>
      <c r="F16" s="104">
        <f>'[11]1632-2021-2.2.3_АУПТ_07.04.022 '!$L$162*M3</f>
        <v>246681</v>
      </c>
      <c r="G16" s="104">
        <f>'[11]1632-2021-2.2.3_АУПТ_07.04.022 '!$L$173*M3</f>
        <v>1211462</v>
      </c>
      <c r="H16" s="105"/>
      <c r="I16" s="105"/>
      <c r="J16" s="105"/>
      <c r="K16" s="105"/>
      <c r="L16" s="105"/>
      <c r="M16" s="106"/>
      <c r="N16" s="106"/>
      <c r="O16" s="107">
        <f t="shared" si="2"/>
        <v>1211462</v>
      </c>
      <c r="P16" s="36">
        <f>O16*1.2</f>
        <v>1453754.4</v>
      </c>
      <c r="Q16" s="36">
        <f>'[11]1632-2021-2.2.3_АУПТ_07.04.022 '!$L$177</f>
        <v>1497367.2</v>
      </c>
      <c r="R16" s="59">
        <f t="shared" si="3"/>
        <v>-43612.800000000003</v>
      </c>
    </row>
    <row r="17" spans="1:22" ht="42" customHeight="1" thickBot="1" x14ac:dyDescent="0.3">
      <c r="A17" s="75">
        <v>9</v>
      </c>
      <c r="B17" s="84" t="s">
        <v>66</v>
      </c>
      <c r="C17" s="78" t="s">
        <v>89</v>
      </c>
      <c r="D17" s="28">
        <f t="shared" si="1"/>
        <v>0</v>
      </c>
      <c r="E17" s="29"/>
      <c r="F17" s="29"/>
      <c r="G17" s="29"/>
      <c r="H17" s="41"/>
      <c r="I17" s="41"/>
      <c r="J17" s="41"/>
      <c r="K17" s="41"/>
      <c r="L17" s="41"/>
      <c r="M17" s="25"/>
      <c r="N17" s="25"/>
      <c r="O17" s="28">
        <f t="shared" si="2"/>
        <v>0</v>
      </c>
      <c r="P17" s="36"/>
      <c r="Q17" s="36"/>
      <c r="R17" s="59">
        <f t="shared" si="3"/>
        <v>0</v>
      </c>
    </row>
    <row r="18" spans="1:22" ht="52.5" customHeight="1" thickBot="1" x14ac:dyDescent="0.3">
      <c r="A18" s="4">
        <v>10</v>
      </c>
      <c r="B18" s="83" t="s">
        <v>67</v>
      </c>
      <c r="C18" s="80" t="s">
        <v>98</v>
      </c>
      <c r="D18" s="74">
        <f t="shared" si="1"/>
        <v>0</v>
      </c>
      <c r="E18" s="19"/>
      <c r="F18" s="19"/>
      <c r="G18" s="19"/>
      <c r="H18" s="108"/>
      <c r="I18" s="108"/>
      <c r="J18" s="108"/>
      <c r="K18" s="108"/>
      <c r="L18" s="108"/>
      <c r="M18" s="109"/>
      <c r="N18" s="109"/>
      <c r="O18" s="74">
        <f t="shared" si="2"/>
        <v>0</v>
      </c>
      <c r="P18" s="36"/>
      <c r="Q18" s="36"/>
      <c r="R18" s="59">
        <f t="shared" si="3"/>
        <v>0</v>
      </c>
    </row>
    <row r="19" spans="1:22" ht="42" customHeight="1" thickBot="1" x14ac:dyDescent="0.3">
      <c r="A19" s="5">
        <v>11</v>
      </c>
      <c r="B19" s="83" t="s">
        <v>68</v>
      </c>
      <c r="C19" s="81" t="s">
        <v>90</v>
      </c>
      <c r="D19" s="30">
        <f t="shared" si="1"/>
        <v>0</v>
      </c>
      <c r="E19" s="39"/>
      <c r="F19" s="39"/>
      <c r="G19" s="19"/>
      <c r="H19" s="20"/>
      <c r="I19" s="20"/>
      <c r="J19" s="20"/>
      <c r="K19" s="20"/>
      <c r="L19" s="20"/>
      <c r="M19" s="40"/>
      <c r="N19" s="40"/>
      <c r="O19" s="30">
        <f t="shared" si="2"/>
        <v>0</v>
      </c>
      <c r="P19" s="36"/>
      <c r="Q19" s="36"/>
      <c r="R19" s="59">
        <f t="shared" si="3"/>
        <v>0</v>
      </c>
    </row>
    <row r="20" spans="1:22" ht="38.25" customHeight="1" thickBot="1" x14ac:dyDescent="0.3">
      <c r="A20" s="5">
        <v>12</v>
      </c>
      <c r="B20" s="72" t="s">
        <v>69</v>
      </c>
      <c r="C20" s="82" t="s">
        <v>82</v>
      </c>
      <c r="D20" s="30">
        <f t="shared" si="1"/>
        <v>310580.40999999997</v>
      </c>
      <c r="E20" s="39">
        <f>'[12]1632-2021-2.2.7-АУПТ-07.04.026 '!$L$159*H3*I3*J3*K3*L3*M3*N3</f>
        <v>169702.59</v>
      </c>
      <c r="F20" s="39">
        <f>'[12]1632-2021-2.2.7-АУПТ-07.04.026 '!$L$162*M3</f>
        <v>191708</v>
      </c>
      <c r="G20" s="19">
        <f>'[12]1632-2021-2.2.7-АУПТ-07.04.026 '!$L$173*M3</f>
        <v>671991</v>
      </c>
      <c r="H20" s="41"/>
      <c r="I20" s="41"/>
      <c r="J20" s="41"/>
      <c r="K20" s="41"/>
      <c r="L20" s="41"/>
      <c r="M20" s="25"/>
      <c r="N20" s="25"/>
      <c r="O20" s="30">
        <f t="shared" si="2"/>
        <v>671991</v>
      </c>
      <c r="P20" s="36">
        <f t="shared" ref="P20:P25" si="4">O20*1.2</f>
        <v>806389.2</v>
      </c>
      <c r="Q20" s="60">
        <f>'[12]1632-2021-2.2.7-АУПТ-07.04.026 '!$L$177</f>
        <v>830581.2</v>
      </c>
      <c r="R20" s="59">
        <f t="shared" si="3"/>
        <v>-24192</v>
      </c>
      <c r="S20" s="43"/>
      <c r="T20" s="43"/>
      <c r="U20" s="43"/>
      <c r="V20" s="43"/>
    </row>
    <row r="21" spans="1:22" ht="42.75" customHeight="1" thickBot="1" x14ac:dyDescent="0.3">
      <c r="A21" s="5">
        <v>13</v>
      </c>
      <c r="B21" s="73" t="s">
        <v>70</v>
      </c>
      <c r="C21" s="81" t="s">
        <v>83</v>
      </c>
      <c r="D21" s="30">
        <f t="shared" si="1"/>
        <v>3866376.92</v>
      </c>
      <c r="E21" s="39">
        <f>'[13]1632-2021-3.1- АУПТ_07.03.010 -'!$L$275*H3*I3*J3*K3*L3*M3*N3</f>
        <v>3468603.08</v>
      </c>
      <c r="F21" s="39">
        <f>'[13]1632-2021-3.1- АУПТ_07.03.010 -'!$L$278*M3</f>
        <v>6635680</v>
      </c>
      <c r="G21" s="19">
        <f>'[13]1632-2021-3.1- АУПТ_07.03.010 -'!$L$289*M3</f>
        <v>13970660</v>
      </c>
      <c r="H21" s="41"/>
      <c r="I21" s="41"/>
      <c r="J21" s="41"/>
      <c r="K21" s="41"/>
      <c r="L21" s="41"/>
      <c r="M21" s="25"/>
      <c r="N21" s="25"/>
      <c r="O21" s="30">
        <f t="shared" si="2"/>
        <v>13970660</v>
      </c>
      <c r="P21" s="36">
        <f t="shared" si="4"/>
        <v>16764792</v>
      </c>
      <c r="Q21" s="36">
        <f>'[13]1632-2021-3.1- АУПТ_07.03.010 -'!$L$293</f>
        <v>17267736</v>
      </c>
      <c r="R21" s="59">
        <f t="shared" si="3"/>
        <v>-502944</v>
      </c>
    </row>
    <row r="22" spans="1:22" ht="35.1" customHeight="1" thickBot="1" x14ac:dyDescent="0.3">
      <c r="A22" s="5">
        <v>14</v>
      </c>
      <c r="B22" s="72" t="s">
        <v>71</v>
      </c>
      <c r="C22" s="82" t="s">
        <v>84</v>
      </c>
      <c r="D22" s="30">
        <f t="shared" si="1"/>
        <v>4439364.95</v>
      </c>
      <c r="E22" s="39">
        <f>'[14]1632-2021-3.2-АУПТ_07.03.011 - '!$L$317*H3*I3*J3*K3*L3*M3*N3</f>
        <v>3520740.05</v>
      </c>
      <c r="F22" s="39">
        <f>'[14]1632-2021-3.2-АУПТ_07.03.011 - '!$L$320*M3</f>
        <v>19924412</v>
      </c>
      <c r="G22" s="19">
        <f>'[14]1632-2021-3.2-АУПТ_07.03.011 - '!$L$331*M3</f>
        <v>27884517</v>
      </c>
      <c r="H22" s="20"/>
      <c r="I22" s="20"/>
      <c r="J22" s="20"/>
      <c r="K22" s="20"/>
      <c r="L22" s="20"/>
      <c r="M22" s="40"/>
      <c r="N22" s="40"/>
      <c r="O22" s="30">
        <f t="shared" si="2"/>
        <v>27884517</v>
      </c>
      <c r="P22" s="36">
        <f t="shared" si="4"/>
        <v>33461420.399999999</v>
      </c>
      <c r="Q22" s="36">
        <f>'[14]1632-2021-3.2-АУПТ_07.03.011 - '!$L$335</f>
        <v>34465263.600000001</v>
      </c>
      <c r="R22" s="59">
        <f t="shared" si="3"/>
        <v>-1003843.2</v>
      </c>
    </row>
    <row r="23" spans="1:22" ht="66.75" customHeight="1" thickBot="1" x14ac:dyDescent="0.3">
      <c r="A23" s="5">
        <v>15</v>
      </c>
      <c r="B23" s="73" t="s">
        <v>72</v>
      </c>
      <c r="C23" s="81" t="s">
        <v>85</v>
      </c>
      <c r="D23" s="30">
        <f t="shared" si="1"/>
        <v>7719755.1900000004</v>
      </c>
      <c r="E23" s="39">
        <f>'[15]1632-2021-3.3-АУПТ_07.03.012 - '!$L$258*H3*I3*J3*K3*L3*M3*N3</f>
        <v>3198388.81</v>
      </c>
      <c r="F23" s="39">
        <f>'[15]1632-2021-3.3-АУПТ_07.03.012 - '!$L$261*M3</f>
        <v>400314</v>
      </c>
      <c r="G23" s="19">
        <f>'[15]1632-2021-3.3-АУПТ_07.03.012 - '!$L$272*M3</f>
        <v>11318458</v>
      </c>
      <c r="H23" s="41"/>
      <c r="I23" s="41"/>
      <c r="J23" s="41"/>
      <c r="K23" s="41"/>
      <c r="L23" s="41"/>
      <c r="M23" s="25"/>
      <c r="N23" s="25"/>
      <c r="O23" s="30">
        <f t="shared" si="2"/>
        <v>11318458</v>
      </c>
      <c r="P23" s="36">
        <f t="shared" si="4"/>
        <v>13582149.6</v>
      </c>
      <c r="Q23" s="36">
        <f>'[15]1632-2021-3.3-АУПТ_07.03.012 - '!$L$276</f>
        <v>13989614.4</v>
      </c>
      <c r="R23" s="59">
        <f t="shared" si="3"/>
        <v>-407464.8</v>
      </c>
    </row>
    <row r="24" spans="1:22" ht="41.25" customHeight="1" thickBot="1" x14ac:dyDescent="0.3">
      <c r="A24" s="5">
        <v>16</v>
      </c>
      <c r="B24" s="72" t="s">
        <v>73</v>
      </c>
      <c r="C24" s="78" t="s">
        <v>88</v>
      </c>
      <c r="D24" s="30">
        <f t="shared" si="1"/>
        <v>9147482.1699999999</v>
      </c>
      <c r="E24" s="39">
        <f>'[16]1632-2021-3.3-ПТ_07.03.012 - По'!$L$223*H3*I3*J3*K3*L3*M3*N3</f>
        <v>6003095.7300000004</v>
      </c>
      <c r="F24" s="39">
        <f>'[16]1632-2021-3.3-ПТ_07.03.012 - По'!$L$226*M3</f>
        <v>21965755.940000001</v>
      </c>
      <c r="G24" s="19">
        <f>'[16]1632-2021-3.3-ПТ_07.03.012 - По'!$L$237*M3</f>
        <v>37116333.840000004</v>
      </c>
      <c r="H24" s="20"/>
      <c r="I24" s="20"/>
      <c r="J24" s="20"/>
      <c r="K24" s="20"/>
      <c r="L24" s="20"/>
      <c r="M24" s="40"/>
      <c r="N24" s="40"/>
      <c r="O24" s="30">
        <f t="shared" si="2"/>
        <v>37116333.840000004</v>
      </c>
      <c r="P24" s="36">
        <f t="shared" si="4"/>
        <v>44539600.609999999</v>
      </c>
      <c r="Q24" s="36">
        <f>'[16]1632-2021-3.3-ПТ_07.03.012 - По'!$L$241</f>
        <v>45875788.630000003</v>
      </c>
      <c r="R24" s="59">
        <f t="shared" si="3"/>
        <v>-1336188.02</v>
      </c>
    </row>
    <row r="25" spans="1:22" ht="37.5" customHeight="1" thickBot="1" x14ac:dyDescent="0.3">
      <c r="A25" s="75">
        <v>17</v>
      </c>
      <c r="B25" s="76" t="s">
        <v>74</v>
      </c>
      <c r="C25" s="112" t="s">
        <v>86</v>
      </c>
      <c r="D25" s="28">
        <f t="shared" si="1"/>
        <v>1386822.81</v>
      </c>
      <c r="E25" s="29">
        <f>'[17]1632-2021-6.1-ПТ_АБК - Полный л'!$L$239*H3*I3*J3*K3*L3*M3*N3</f>
        <v>181147.76</v>
      </c>
      <c r="F25" s="29">
        <f>'[17]1632-2021-6.1-ПТ_АБК - Полный л'!$L$242*M3</f>
        <v>686.55</v>
      </c>
      <c r="G25" s="77">
        <f>'[17]1632-2021-6.1-ПТ_АБК - Полный л'!$L$253*M3</f>
        <v>1568657.12</v>
      </c>
      <c r="H25" s="41"/>
      <c r="I25" s="41"/>
      <c r="J25" s="41"/>
      <c r="K25" s="41"/>
      <c r="L25" s="41"/>
      <c r="M25" s="41"/>
      <c r="N25" s="41"/>
      <c r="O25" s="28">
        <f t="shared" si="2"/>
        <v>1568657.12</v>
      </c>
      <c r="P25" s="36">
        <f t="shared" si="4"/>
        <v>1882388.54</v>
      </c>
      <c r="Q25" s="36">
        <f>'[17]1632-2021-6.1-ПТ_АБК - Полный л'!$L$257</f>
        <v>1938860.2</v>
      </c>
      <c r="R25" s="59">
        <f t="shared" si="3"/>
        <v>-56471.66</v>
      </c>
    </row>
    <row r="26" spans="1:22" ht="35.1" hidden="1" customHeight="1" thickBot="1" x14ac:dyDescent="0.3">
      <c r="A26" s="4">
        <v>18</v>
      </c>
      <c r="B26" s="16"/>
      <c r="C26" s="16"/>
      <c r="D26" s="74">
        <f t="shared" si="1"/>
        <v>0</v>
      </c>
      <c r="E26" s="19"/>
      <c r="F26" s="19"/>
      <c r="G26" s="19"/>
      <c r="H26" s="20"/>
      <c r="I26" s="20"/>
      <c r="J26" s="20"/>
      <c r="K26" s="20"/>
      <c r="L26" s="20"/>
      <c r="M26" s="40"/>
      <c r="N26" s="40"/>
      <c r="O26" s="30">
        <f t="shared" si="2"/>
        <v>0</v>
      </c>
      <c r="P26" s="36"/>
      <c r="Q26" s="36">
        <f>'[18]1632-2021-3.1-ВК Крытый склад №'!$L$360</f>
        <v>3189031.06</v>
      </c>
      <c r="R26" s="59">
        <f t="shared" si="3"/>
        <v>-3189031.06</v>
      </c>
    </row>
    <row r="27" spans="1:22" ht="35.1" hidden="1" customHeight="1" thickBot="1" x14ac:dyDescent="0.3">
      <c r="A27" s="5">
        <v>19</v>
      </c>
      <c r="B27" s="17"/>
      <c r="C27" s="17"/>
      <c r="D27" s="30">
        <f t="shared" si="1"/>
        <v>0</v>
      </c>
      <c r="E27" s="39"/>
      <c r="F27" s="39"/>
      <c r="G27" s="19"/>
      <c r="H27" s="41"/>
      <c r="I27" s="41"/>
      <c r="J27" s="41"/>
      <c r="K27" s="41"/>
      <c r="L27" s="41"/>
      <c r="M27" s="25"/>
      <c r="N27" s="25"/>
      <c r="O27" s="30">
        <f t="shared" si="2"/>
        <v>0</v>
      </c>
      <c r="P27" s="36"/>
      <c r="Q27" s="36">
        <f>'[19]1632-2021-3.2-ВК Крытый склад №'!$L$358</f>
        <v>3018564.22</v>
      </c>
      <c r="R27" s="59">
        <f t="shared" si="3"/>
        <v>-3018564.22</v>
      </c>
    </row>
    <row r="28" spans="1:22" ht="35.1" hidden="1" customHeight="1" thickBot="1" x14ac:dyDescent="0.3">
      <c r="A28" s="5">
        <v>20</v>
      </c>
      <c r="B28" s="17"/>
      <c r="C28" s="17"/>
      <c r="D28" s="30">
        <f t="shared" si="1"/>
        <v>0</v>
      </c>
      <c r="E28" s="39"/>
      <c r="F28" s="39"/>
      <c r="G28" s="19"/>
      <c r="H28" s="20"/>
      <c r="I28" s="20"/>
      <c r="J28" s="20"/>
      <c r="K28" s="20"/>
      <c r="L28" s="20"/>
      <c r="M28" s="40"/>
      <c r="N28" s="40"/>
      <c r="O28" s="30">
        <f t="shared" si="2"/>
        <v>0</v>
      </c>
      <c r="P28" s="36"/>
      <c r="Q28" s="36">
        <f>'[20]1632-2021-3.3-ВК Куп.склады - П'!$L$160</f>
        <v>877478.69</v>
      </c>
      <c r="R28" s="59">
        <f t="shared" si="3"/>
        <v>-877478.69</v>
      </c>
    </row>
    <row r="29" spans="1:22" ht="35.1" hidden="1" customHeight="1" thickBot="1" x14ac:dyDescent="0.3">
      <c r="A29" s="5">
        <v>21</v>
      </c>
      <c r="B29" s="17"/>
      <c r="C29" s="17"/>
      <c r="D29" s="30">
        <f t="shared" si="1"/>
        <v>0</v>
      </c>
      <c r="E29" s="39"/>
      <c r="F29" s="39"/>
      <c r="G29" s="19"/>
      <c r="H29" s="41"/>
      <c r="I29" s="41"/>
      <c r="J29" s="41"/>
      <c r="K29" s="41"/>
      <c r="L29" s="41"/>
      <c r="M29" s="25"/>
      <c r="N29" s="25"/>
      <c r="O29" s="30">
        <f t="shared" si="2"/>
        <v>0</v>
      </c>
      <c r="P29" s="36"/>
      <c r="Q29" s="36">
        <f>'[21]1632-2021-3.3-ВС Куп.склады - П'!$L$108</f>
        <v>1623780.42</v>
      </c>
      <c r="R29" s="59">
        <f t="shared" si="3"/>
        <v>-1623780.42</v>
      </c>
    </row>
    <row r="30" spans="1:22" ht="46.5" hidden="1" customHeight="1" thickBot="1" x14ac:dyDescent="0.3">
      <c r="A30" s="46">
        <v>22</v>
      </c>
      <c r="B30" s="47"/>
      <c r="C30" s="47"/>
      <c r="D30" s="48">
        <f t="shared" si="1"/>
        <v>0</v>
      </c>
      <c r="E30" s="49"/>
      <c r="F30" s="49"/>
      <c r="G30" s="50"/>
      <c r="H30" s="51"/>
      <c r="I30" s="51"/>
      <c r="J30" s="51"/>
      <c r="K30" s="51"/>
      <c r="L30" s="51"/>
      <c r="M30" s="52"/>
      <c r="N30" s="52"/>
      <c r="O30" s="48">
        <f t="shared" si="2"/>
        <v>0</v>
      </c>
      <c r="P30" s="36"/>
      <c r="Q30" s="36">
        <f>'[22]1632-2021-8.4-ВК - Полный локал'!$L$490</f>
        <v>1975479.5</v>
      </c>
      <c r="R30" s="59">
        <f t="shared" si="3"/>
        <v>-1975479.5</v>
      </c>
    </row>
    <row r="31" spans="1:22" ht="35.1" customHeight="1" thickBot="1" x14ac:dyDescent="0.3">
      <c r="A31" s="53"/>
      <c r="B31" s="54"/>
      <c r="C31" s="54"/>
      <c r="D31" s="55">
        <f>SUM(D4:D30)-D12-D13-D14-D15-D16</f>
        <v>118821338.26000001</v>
      </c>
      <c r="E31" s="55">
        <f t="shared" ref="E31:G31" si="5">SUM(E4:E30)-E12-E13-E14-E15-E16</f>
        <v>78864679.209999993</v>
      </c>
      <c r="F31" s="55">
        <f t="shared" si="5"/>
        <v>135529474.49000001</v>
      </c>
      <c r="G31" s="55">
        <f t="shared" si="5"/>
        <v>333215491.95999998</v>
      </c>
      <c r="H31" s="55">
        <f t="shared" ref="H31:M31" si="6">SUM(H4:H30)</f>
        <v>0</v>
      </c>
      <c r="I31" s="55">
        <f t="shared" si="6"/>
        <v>0</v>
      </c>
      <c r="J31" s="55">
        <f t="shared" si="6"/>
        <v>0</v>
      </c>
      <c r="K31" s="55">
        <f t="shared" si="6"/>
        <v>0</v>
      </c>
      <c r="L31" s="55">
        <f t="shared" si="6"/>
        <v>0</v>
      </c>
      <c r="M31" s="55">
        <f t="shared" si="6"/>
        <v>0</v>
      </c>
      <c r="N31" s="56"/>
      <c r="O31" s="55">
        <f>SUM(O4:O30)-O12-O13-O14-O15-O16</f>
        <v>333215491.95999998</v>
      </c>
      <c r="P31" s="36">
        <f>SUM(P4:P25)</f>
        <v>399858590.35000002</v>
      </c>
      <c r="Q31" s="36">
        <f>SUM(Q4:Q25)</f>
        <v>411854348.02999997</v>
      </c>
      <c r="R31" s="59">
        <f t="shared" si="3"/>
        <v>-11995757.68</v>
      </c>
      <c r="S31" s="43">
        <f>O31-D34</f>
        <v>0</v>
      </c>
      <c r="T31" s="43"/>
      <c r="U31" s="43"/>
      <c r="V31" s="43"/>
    </row>
    <row r="32" spans="1:22" ht="35.1" hidden="1" customHeight="1" thickBot="1" x14ac:dyDescent="0.3">
      <c r="A32" s="5">
        <v>24</v>
      </c>
      <c r="B32" s="17"/>
      <c r="C32" s="17"/>
      <c r="D32" s="30">
        <f t="shared" si="1"/>
        <v>0</v>
      </c>
      <c r="E32" s="39">
        <f>'[23]1632-2021-1.1, 1.2-ВК СРВ, Тран'!$L$755*H31*I31*J31*K31*L31*M31*N31</f>
        <v>0</v>
      </c>
      <c r="F32" s="39">
        <f>'[23]1632-2021-1.1, 1.2-ВК СРВ, Тран'!$L$758*M31</f>
        <v>0</v>
      </c>
      <c r="G32" s="19">
        <f>'[23]1632-2021-1.1, 1.2-ВК СРВ, Тран'!$L$769*M31</f>
        <v>0</v>
      </c>
      <c r="H32" s="20"/>
      <c r="I32" s="20"/>
      <c r="J32" s="20"/>
      <c r="K32" s="20"/>
      <c r="L32" s="20"/>
      <c r="M32" s="40"/>
      <c r="N32" s="40"/>
      <c r="O32" s="30">
        <f t="shared" si="2"/>
        <v>0</v>
      </c>
      <c r="P32" s="36">
        <f>G32*P3</f>
        <v>0</v>
      </c>
      <c r="Q32" s="43"/>
      <c r="R32" s="59">
        <f t="shared" si="3"/>
        <v>0</v>
      </c>
      <c r="S32" s="43"/>
      <c r="T32" s="43"/>
      <c r="U32" s="43"/>
      <c r="V32" s="43"/>
    </row>
    <row r="33" spans="1:22" ht="29.25" customHeight="1" thickBot="1" x14ac:dyDescent="0.3">
      <c r="A33" s="6"/>
      <c r="B33" s="7" t="s">
        <v>6</v>
      </c>
      <c r="C33" s="63"/>
      <c r="D33" s="162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4"/>
      <c r="P33" s="36">
        <f>O31*1.2</f>
        <v>399858590.35000002</v>
      </c>
      <c r="Q33" s="43"/>
      <c r="R33" s="43"/>
      <c r="S33" s="43"/>
      <c r="T33" s="43"/>
      <c r="U33" s="43"/>
      <c r="V33" s="43"/>
    </row>
    <row r="34" spans="1:22" ht="29.25" customHeight="1" thickBot="1" x14ac:dyDescent="0.3">
      <c r="A34" s="6"/>
      <c r="B34" s="13" t="s">
        <v>40</v>
      </c>
      <c r="C34" s="64"/>
      <c r="D34" s="115">
        <f>D31+E31+F31</f>
        <v>333215491.95999998</v>
      </c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7"/>
      <c r="P34" s="60"/>
      <c r="Q34" s="43"/>
      <c r="R34" s="43"/>
      <c r="S34" s="43"/>
      <c r="T34" s="43"/>
      <c r="U34" s="43"/>
      <c r="V34" s="43"/>
    </row>
    <row r="35" spans="1:22" ht="29.25" customHeight="1" thickBot="1" x14ac:dyDescent="0.3">
      <c r="A35" s="57"/>
      <c r="B35" s="8" t="s">
        <v>7</v>
      </c>
      <c r="C35" s="65"/>
      <c r="D35" s="115">
        <f>D34*0.03</f>
        <v>9996464.7599999998</v>
      </c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7"/>
      <c r="P35" s="60"/>
      <c r="Q35" s="43"/>
      <c r="R35" s="43"/>
      <c r="S35" s="43"/>
      <c r="T35" s="43"/>
      <c r="U35" s="43"/>
      <c r="V35" s="43"/>
    </row>
    <row r="36" spans="1:22" ht="29.25" customHeight="1" thickBot="1" x14ac:dyDescent="0.3">
      <c r="A36" s="10"/>
      <c r="B36" s="11" t="s">
        <v>8</v>
      </c>
      <c r="C36" s="66"/>
      <c r="D36" s="142">
        <f>D34+D35</f>
        <v>343211956.72000003</v>
      </c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4"/>
      <c r="P36" s="60"/>
      <c r="Q36" s="43"/>
      <c r="R36" s="43"/>
      <c r="S36" s="43"/>
      <c r="T36" s="43"/>
      <c r="U36" s="43"/>
      <c r="V36" s="43"/>
    </row>
    <row r="37" spans="1:22" ht="29.25" customHeight="1" thickBot="1" x14ac:dyDescent="0.3">
      <c r="A37" s="14"/>
      <c r="B37" s="15" t="s">
        <v>49</v>
      </c>
      <c r="C37" s="67"/>
      <c r="D37" s="142">
        <f>D36*1.2</f>
        <v>411854348.06</v>
      </c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4"/>
      <c r="P37" s="60">
        <f>Q31-D37</f>
        <v>-0.03</v>
      </c>
      <c r="Q37" s="43"/>
      <c r="R37" s="43"/>
      <c r="S37" s="43"/>
      <c r="T37" s="43"/>
      <c r="U37" s="43"/>
      <c r="V37" s="43"/>
    </row>
    <row r="38" spans="1:22" ht="29.25" customHeight="1" x14ac:dyDescent="0.25">
      <c r="A38" s="147"/>
      <c r="B38" s="145" t="s">
        <v>9</v>
      </c>
      <c r="C38" s="68"/>
      <c r="D38" s="156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8"/>
      <c r="P38" s="60"/>
      <c r="Q38" s="43"/>
      <c r="R38" s="43"/>
      <c r="S38" s="43"/>
      <c r="T38" s="43"/>
      <c r="U38" s="43"/>
      <c r="V38" s="43"/>
    </row>
    <row r="39" spans="1:22" ht="57" customHeight="1" thickBot="1" x14ac:dyDescent="0.3">
      <c r="A39" s="148"/>
      <c r="B39" s="146"/>
      <c r="C39" s="69"/>
      <c r="D39" s="153" t="s">
        <v>10</v>
      </c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5"/>
      <c r="P39" s="60"/>
      <c r="Q39" s="43"/>
      <c r="R39" s="43"/>
      <c r="S39" s="43"/>
      <c r="T39" s="43"/>
      <c r="U39" s="43"/>
      <c r="V39" s="43"/>
    </row>
    <row r="40" spans="1:22" ht="63.75" customHeight="1" thickBot="1" x14ac:dyDescent="0.3">
      <c r="A40" s="57"/>
      <c r="B40" s="12" t="s">
        <v>11</v>
      </c>
      <c r="C40" s="70"/>
      <c r="D40" s="130" t="s">
        <v>12</v>
      </c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2"/>
    </row>
    <row r="41" spans="1:22" ht="51.75" customHeight="1" thickBot="1" x14ac:dyDescent="0.3">
      <c r="A41" s="57"/>
      <c r="B41" s="12" t="s">
        <v>13</v>
      </c>
      <c r="C41" s="70"/>
      <c r="D41" s="130" t="s">
        <v>14</v>
      </c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2"/>
    </row>
    <row r="42" spans="1:22" ht="56.25" customHeight="1" thickBot="1" x14ac:dyDescent="0.3">
      <c r="A42" s="57"/>
      <c r="B42" s="12" t="s">
        <v>15</v>
      </c>
      <c r="C42" s="70"/>
      <c r="D42" s="130" t="s">
        <v>16</v>
      </c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2"/>
    </row>
    <row r="43" spans="1:22" ht="29.25" customHeight="1" x14ac:dyDescent="0.25">
      <c r="A43" s="147"/>
      <c r="B43" s="145" t="s">
        <v>17</v>
      </c>
      <c r="C43" s="68"/>
      <c r="D43" s="133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5"/>
    </row>
    <row r="44" spans="1:22" ht="29.25" customHeight="1" x14ac:dyDescent="0.25">
      <c r="A44" s="151"/>
      <c r="B44" s="152"/>
      <c r="C44" s="71"/>
      <c r="D44" s="136" t="s">
        <v>18</v>
      </c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8"/>
    </row>
    <row r="45" spans="1:22" ht="29.25" customHeight="1" thickBot="1" x14ac:dyDescent="0.3">
      <c r="A45" s="148"/>
      <c r="B45" s="146"/>
      <c r="C45" s="69"/>
      <c r="D45" s="139" t="s">
        <v>19</v>
      </c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1"/>
    </row>
    <row r="46" spans="1:22" ht="29.25" customHeight="1" thickBot="1" x14ac:dyDescent="0.3">
      <c r="A46" s="57"/>
      <c r="B46" s="12" t="s">
        <v>20</v>
      </c>
      <c r="C46" s="70"/>
      <c r="D46" s="130" t="s">
        <v>21</v>
      </c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2"/>
    </row>
    <row r="47" spans="1:22" ht="29.25" customHeight="1" thickBot="1" x14ac:dyDescent="0.3">
      <c r="A47" s="57"/>
      <c r="B47" s="12" t="s">
        <v>22</v>
      </c>
      <c r="C47" s="70"/>
      <c r="D47" s="130" t="s">
        <v>23</v>
      </c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2"/>
    </row>
    <row r="48" spans="1:22" ht="29.25" customHeight="1" thickBot="1" x14ac:dyDescent="0.3">
      <c r="A48" s="57"/>
      <c r="B48" s="12" t="s">
        <v>24</v>
      </c>
      <c r="C48" s="70"/>
      <c r="D48" s="130" t="s">
        <v>25</v>
      </c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2"/>
    </row>
    <row r="49" spans="1:15" ht="29.25" customHeight="1" thickBot="1" x14ac:dyDescent="0.3">
      <c r="A49" s="57"/>
      <c r="B49" s="12" t="s">
        <v>26</v>
      </c>
      <c r="C49" s="70"/>
      <c r="D49" s="130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2"/>
    </row>
    <row r="52" spans="1:15" x14ac:dyDescent="0.25">
      <c r="D52" s="18"/>
      <c r="E52" s="18"/>
      <c r="F52" s="18"/>
      <c r="G52" s="18"/>
    </row>
    <row r="53" spans="1:15" x14ac:dyDescent="0.25">
      <c r="D53" s="18"/>
      <c r="E53" s="18"/>
      <c r="F53" s="18"/>
      <c r="G53" s="18"/>
    </row>
    <row r="54" spans="1:15" x14ac:dyDescent="0.25">
      <c r="D54" s="18"/>
      <c r="E54" s="18"/>
      <c r="F54" s="18"/>
      <c r="G54" s="18"/>
    </row>
  </sheetData>
  <mergeCells count="32">
    <mergeCell ref="D46:O46"/>
    <mergeCell ref="D47:O47"/>
    <mergeCell ref="D48:O48"/>
    <mergeCell ref="D49:O49"/>
    <mergeCell ref="D40:O40"/>
    <mergeCell ref="D41:O41"/>
    <mergeCell ref="D42:O42"/>
    <mergeCell ref="A43:A45"/>
    <mergeCell ref="B43:B45"/>
    <mergeCell ref="D43:O43"/>
    <mergeCell ref="D44:O44"/>
    <mergeCell ref="D45:O45"/>
    <mergeCell ref="D34:O34"/>
    <mergeCell ref="D35:O35"/>
    <mergeCell ref="D36:O36"/>
    <mergeCell ref="D37:O37"/>
    <mergeCell ref="A38:A39"/>
    <mergeCell ref="B38:B39"/>
    <mergeCell ref="D38:O38"/>
    <mergeCell ref="D39:O39"/>
    <mergeCell ref="D33:O33"/>
    <mergeCell ref="A1:A2"/>
    <mergeCell ref="B1:B2"/>
    <mergeCell ref="D1:F1"/>
    <mergeCell ref="H1:H2"/>
    <mergeCell ref="I1:I2"/>
    <mergeCell ref="J1:J2"/>
    <mergeCell ref="K1:K2"/>
    <mergeCell ref="L1:L2"/>
    <mergeCell ref="M1:M2"/>
    <mergeCell ref="N1:N2"/>
    <mergeCell ref="O1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свод</vt:lpstr>
      <vt:lpstr>свод_Пож.систем (для ССР)</vt:lpstr>
      <vt:lpstr>свод_Пож.систем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2025-04-17T07:56:12Z</dcterms:created>
  <dcterms:modified xsi:type="dcterms:W3CDTF">2025-04-23T23:21:10Z</dcterms:modified>
</cp:coreProperties>
</file>