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Усть-Луга\Электрика\КП\"/>
    </mc:Choice>
  </mc:AlternateContent>
  <xr:revisionPtr revIDLastSave="0" documentId="13_ncr:1_{76CF422A-3F20-4404-8267-A118FABA27AD}" xr6:coauthVersionLast="47" xr6:coauthVersionMax="47" xr10:uidLastSave="{00000000-0000-0000-0000-000000000000}"/>
  <bookViews>
    <workbookView xWindow="-108" yWindow="-108" windowWidth="23256" windowHeight="12576" activeTab="2" xr2:uid="{943DFA74-D489-4A1B-B7A9-1C0DADA53199}"/>
  </bookViews>
  <sheets>
    <sheet name="кратко" sheetId="3" r:id="rId1"/>
    <sheet name="прил. 7.2" sheetId="2" r:id="rId2"/>
    <sheet name="сравнит. с подрядчиками" sheetId="4" r:id="rId3"/>
  </sheets>
  <definedNames>
    <definedName name="_xlnm._FilterDatabase" localSheetId="2" hidden="1">'сравнит. с подрядчиками'!$B$3:$M$36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4" l="1"/>
  <c r="M20" i="4"/>
  <c r="M18" i="4"/>
  <c r="M16" i="4"/>
  <c r="M12" i="4"/>
  <c r="M8" i="4"/>
  <c r="J34" i="4"/>
  <c r="J32" i="4"/>
  <c r="J30" i="4"/>
  <c r="J29" i="4"/>
  <c r="J26" i="4"/>
  <c r="J25" i="4"/>
  <c r="J22" i="4"/>
  <c r="J23" i="4"/>
  <c r="J21" i="4"/>
  <c r="J11" i="4"/>
  <c r="J7" i="4"/>
  <c r="J8" i="4"/>
  <c r="M35" i="4"/>
  <c r="M34" i="4"/>
  <c r="M30" i="4"/>
  <c r="M29" i="4"/>
  <c r="M28" i="4"/>
  <c r="M26" i="4"/>
  <c r="M25" i="4"/>
  <c r="M24" i="4"/>
  <c r="M22" i="4"/>
  <c r="M21" i="4"/>
  <c r="M19" i="4"/>
  <c r="M14" i="4"/>
  <c r="M11" i="4"/>
  <c r="M7" i="4"/>
  <c r="M5" i="4"/>
  <c r="K36" i="4" s="1"/>
  <c r="J35" i="4"/>
  <c r="I35" i="4"/>
  <c r="I34" i="4"/>
  <c r="I33" i="4"/>
  <c r="J33" i="4"/>
  <c r="I32" i="4"/>
  <c r="I31" i="4"/>
  <c r="J31" i="4"/>
  <c r="I30" i="4"/>
  <c r="I29" i="4"/>
  <c r="I28" i="4"/>
  <c r="J28" i="4"/>
  <c r="I26" i="4"/>
  <c r="I25" i="4"/>
  <c r="I24" i="4"/>
  <c r="I23" i="4"/>
  <c r="I22" i="4"/>
  <c r="I21" i="4"/>
  <c r="I20" i="4"/>
  <c r="I19" i="4"/>
  <c r="I18" i="4"/>
  <c r="J18" i="4"/>
  <c r="I16" i="4"/>
  <c r="J16" i="4"/>
  <c r="I14" i="4"/>
  <c r="J14" i="4"/>
  <c r="I12" i="4"/>
  <c r="I11" i="4"/>
  <c r="I8" i="4"/>
  <c r="I7" i="4"/>
  <c r="I5" i="4"/>
  <c r="J5" i="4"/>
  <c r="M32" i="4" l="1"/>
  <c r="J24" i="4"/>
  <c r="J20" i="4"/>
  <c r="J19" i="4"/>
  <c r="J12" i="4"/>
  <c r="H36" i="4" l="1"/>
  <c r="F35" i="4"/>
  <c r="F34" i="4"/>
  <c r="F33" i="4"/>
  <c r="F32" i="4"/>
  <c r="F31" i="4"/>
  <c r="F30" i="4"/>
  <c r="F29" i="4"/>
  <c r="F28" i="4"/>
  <c r="G28" i="4" s="1"/>
  <c r="F26" i="4"/>
  <c r="F25" i="4"/>
  <c r="F24" i="4"/>
  <c r="F23" i="4"/>
  <c r="F22" i="4"/>
  <c r="G22" i="4" s="1"/>
  <c r="F21" i="4"/>
  <c r="G21" i="4" s="1"/>
  <c r="F20" i="4"/>
  <c r="F19" i="4"/>
  <c r="F18" i="4"/>
  <c r="F16" i="4"/>
  <c r="F14" i="4"/>
  <c r="F12" i="4"/>
  <c r="G12" i="4" s="1"/>
  <c r="F11" i="4"/>
  <c r="G11" i="4" s="1"/>
  <c r="F8" i="4"/>
  <c r="G8" i="4" s="1"/>
  <c r="F7" i="4"/>
  <c r="G7" i="4" s="1"/>
  <c r="E35" i="4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E12" i="4"/>
  <c r="E11" i="4"/>
  <c r="E8" i="4"/>
  <c r="E7" i="4"/>
  <c r="F5" i="4"/>
  <c r="E5" i="4"/>
  <c r="G35" i="4"/>
  <c r="G34" i="4"/>
  <c r="G33" i="4"/>
  <c r="G32" i="4"/>
  <c r="G31" i="4"/>
  <c r="G29" i="4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16" i="4" l="1"/>
  <c r="G20" i="4"/>
  <c r="G18" i="4"/>
  <c r="G23" i="4"/>
  <c r="G19" i="4"/>
  <c r="G5" i="4"/>
  <c r="G25" i="4"/>
  <c r="G30" i="4"/>
  <c r="G26" i="4"/>
  <c r="G24" i="4"/>
  <c r="G6" i="3"/>
  <c r="E36" i="4" l="1"/>
  <c r="G24" i="3" s="1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<sst xmlns="http://schemas.openxmlformats.org/spreadsheetml/2006/main" count="242" uniqueCount="123">
  <si>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</si>
  <si>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</si>
  <si>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</si>
  <si>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</si>
  <si>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</si>
  <si>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</si>
  <si>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</si>
  <si>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</si>
  <si>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</si>
  <si>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</si>
  <si>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</si>
  <si>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</si>
  <si>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</si>
  <si>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</si>
  <si>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</si>
  <si>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</si>
  <si>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</si>
  <si>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</si>
  <si>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</si>
  <si>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</si>
  <si>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</si>
  <si>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</si>
  <si>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</si>
  <si>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</si>
  <si>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</si>
  <si>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</si>
  <si>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</si>
  <si>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</si>
  <si>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</si>
  <si>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</si>
  <si>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</si>
  <si>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</si>
  <si>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</si>
  <si>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</si>
  <si>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</si>
  <si>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</si>
  <si>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</si>
  <si>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</si>
  <si>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</si>
  <si>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</si>
  <si>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</si>
  <si>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</si>
  <si>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</si>
  <si>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</si>
  <si>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</si>
  <si>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</si>
  <si>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</si>
  <si>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</si>
  <si>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</si>
  <si>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</si>
  <si>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</si>
  <si>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</si>
  <si>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</si>
  <si>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</si>
  <si>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</si>
  <si>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</si>
  <si>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</si>
  <si>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</si>
  <si>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</si>
  <si>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</si>
  <si>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</si>
  <si>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</si>
  <si>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</si>
  <si>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</si>
  <si>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</si>
  <si>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</si>
  <si>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</si>
  <si>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</si>
  <si>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</si>
  <si>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</si>
  <si>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</si>
  <si>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</si>
  <si>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</si>
  <si>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</si>
  <si>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</si>
  <si>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</si>
  <si>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</si>
  <si>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</si>
  <si>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</si>
  <si>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</si>
  <si>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</si>
  <si>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</si>
  <si>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</si>
  <si>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</si>
  <si>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</si>
  <si>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</si>
  <si>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</si>
  <si>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</si>
  <si>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</si>
  <si>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</si>
  <si>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</si>
  <si>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</si>
  <si>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</si>
  <si>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</si>
  <si>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</si>
  <si>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</si>
  <si>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</si>
  <si>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</si>
  <si>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</si>
  <si>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</si>
  <si>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</si>
  <si>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</si>
  <si>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</si>
  <si>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</si>
  <si>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</si>
  <si>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</si>
  <si>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</si>
  <si>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</si>
  <si>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</si>
  <si>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</si>
  <si>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</si>
  <si>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</si>
  <si>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</si>
  <si>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</si>
  <si>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</si>
  <si>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</si>
  <si>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</si>
  <si>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</si>
  <si>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</si>
  <si>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</si>
  <si>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Материалы-прайс, работа-смета </t>
  </si>
  <si>
    <t xml:space="preserve">Материалы, работа-смета </t>
  </si>
  <si>
    <t>Материалы, работа-подрядчики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</si>
</sst>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/>
    </xf>
    <xf numFmtId="4" fontId="3" fillId="6" borderId="14" xfId="0" applyNumberFormat="1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center" vertical="center"/>
    </xf>
    <xf numFmtId="4" fontId="7" fillId="6" borderId="4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/>
    </xf>
    <xf numFmtId="4" fontId="1" fillId="6" borderId="3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 wrapText="1"/>
    </xf>
    <xf numFmtId="4" fontId="5" fillId="6" borderId="5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4" fontId="1" fillId="7" borderId="5" xfId="0" applyNumberFormat="1" applyFont="1" applyFill="1" applyBorder="1" applyAlignment="1">
      <alignment horizontal="center" vertical="center"/>
    </xf>
    <xf numFmtId="4" fontId="3" fillId="7" borderId="14" xfId="0" applyNumberFormat="1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vertical="center"/>
    </xf>
    <xf numFmtId="4" fontId="7" fillId="7" borderId="4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4" fontId="3" fillId="7" borderId="4" xfId="0" applyNumberFormat="1" applyFont="1" applyFill="1" applyBorder="1" applyAlignment="1">
      <alignment horizontal="center" vertical="center" wrapText="1"/>
    </xf>
    <xf numFmtId="4" fontId="5" fillId="7" borderId="5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4" fontId="1" fillId="8" borderId="5" xfId="0" applyNumberFormat="1" applyFont="1" applyFill="1" applyBorder="1" applyAlignment="1">
      <alignment horizontal="center" vertical="center"/>
    </xf>
    <xf numFmtId="4" fontId="3" fillId="8" borderId="14" xfId="0" applyNumberFormat="1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/>
    </xf>
    <xf numFmtId="4" fontId="7" fillId="8" borderId="4" xfId="0" applyNumberFormat="1" applyFont="1" applyFill="1" applyBorder="1" applyAlignment="1">
      <alignment horizontal="center" vertical="center" wrapText="1"/>
    </xf>
    <xf numFmtId="4" fontId="5" fillId="8" borderId="3" xfId="0" applyNumberFormat="1" applyFont="1" applyFill="1" applyBorder="1" applyAlignment="1">
      <alignment horizontal="center" vertical="center"/>
    </xf>
    <xf numFmtId="4" fontId="1" fillId="8" borderId="3" xfId="0" applyNumberFormat="1" applyFont="1" applyFill="1" applyBorder="1" applyAlignment="1">
      <alignment horizontal="center" vertical="center"/>
    </xf>
    <xf numFmtId="4" fontId="3" fillId="8" borderId="4" xfId="0" applyNumberFormat="1" applyFont="1" applyFill="1" applyBorder="1" applyAlignment="1">
      <alignment horizontal="center" vertical="center" wrapText="1"/>
    </xf>
    <xf numFmtId="4" fontId="5" fillId="8" borderId="5" xfId="0" applyNumberFormat="1" applyFont="1" applyFill="1" applyBorder="1" applyAlignment="1">
      <alignment horizontal="center" vertical="center"/>
    </xf>
    <xf numFmtId="4" fontId="15" fillId="6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4" fontId="5" fillId="8" borderId="11" xfId="0" applyNumberFormat="1" applyFont="1" applyFill="1" applyBorder="1" applyAlignment="1">
      <alignment horizontal="center" vertical="center"/>
    </xf>
    <xf numFmtId="4" fontId="5" fillId="8" borderId="12" xfId="0" applyNumberFormat="1" applyFont="1" applyFill="1" applyBorder="1" applyAlignment="1">
      <alignment horizontal="center" vertical="center"/>
    </xf>
    <xf numFmtId="4" fontId="5" fillId="8" borderId="16" xfId="0" applyNumberFormat="1" applyFont="1" applyFill="1" applyBorder="1" applyAlignment="1">
      <alignment horizontal="center" vertical="center"/>
    </xf>
    <xf numFmtId="4" fontId="5" fillId="8" borderId="25" xfId="0" applyNumberFormat="1" applyFont="1" applyFill="1" applyBorder="1" applyAlignment="1">
      <alignment horizontal="center" vertical="center"/>
    </xf>
    <xf numFmtId="4" fontId="5" fillId="6" borderId="11" xfId="0" applyNumberFormat="1" applyFont="1" applyFill="1" applyBorder="1" applyAlignment="1">
      <alignment horizontal="center" vertical="center"/>
    </xf>
    <xf numFmtId="4" fontId="5" fillId="6" borderId="12" xfId="0" applyNumberFormat="1" applyFont="1" applyFill="1" applyBorder="1" applyAlignment="1">
      <alignment horizontal="center" vertical="center"/>
    </xf>
    <xf numFmtId="4" fontId="5" fillId="6" borderId="16" xfId="0" applyNumberFormat="1" applyFont="1" applyFill="1" applyBorder="1" applyAlignment="1">
      <alignment horizontal="center" vertical="center"/>
    </xf>
    <xf numFmtId="4" fontId="5" fillId="6" borderId="25" xfId="0" applyNumberFormat="1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14" xfId="0" applyNumberFormat="1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/>
    </xf>
    <xf numFmtId="4" fontId="5" fillId="6" borderId="14" xfId="0" applyNumberFormat="1" applyFont="1" applyFill="1" applyBorder="1" applyAlignment="1">
      <alignment horizontal="center" vertical="center"/>
    </xf>
    <xf numFmtId="4" fontId="5" fillId="7" borderId="11" xfId="0" applyNumberFormat="1" applyFont="1" applyFill="1" applyBorder="1" applyAlignment="1">
      <alignment horizontal="center" vertical="center"/>
    </xf>
    <xf numFmtId="4" fontId="5" fillId="7" borderId="12" xfId="0" applyNumberFormat="1" applyFont="1" applyFill="1" applyBorder="1" applyAlignment="1">
      <alignment horizontal="center" vertical="center"/>
    </xf>
    <xf numFmtId="4" fontId="5" fillId="7" borderId="16" xfId="0" applyNumberFormat="1" applyFon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5" fillId="7" borderId="1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C82-D4E4-4678-A047-3FEB81168E5B}">
  <dimension ref="A1:J25"/>
  <sheetViews>
    <sheetView workbookViewId="0">
      <selection activeCell="G26" sqref="G26"/>
    </sheetView>
  </sheetViews>
  <sheetFormatPr defaultRowHeight="15.6" x14ac:dyDescent="0.3"/>
  <cols>
    <col min="1" max="1" width="4.6640625" customWidth="1"/>
    <col min="2" max="2" width="81.88671875" style="1" customWidth="1"/>
    <col min="3" max="3" width="40" style="6" hidden="1" customWidth="1"/>
    <col min="4" max="4" width="20.6640625" style="6" hidden="1" customWidth="1"/>
    <col min="5" max="5" width="26.88671875" style="30" customWidth="1"/>
    <col min="6" max="6" width="20.6640625" style="30" customWidth="1"/>
    <col min="7" max="7" width="25.441406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3">
      <c r="B1" s="88" t="s">
        <v>3</v>
      </c>
      <c r="C1" s="88"/>
      <c r="D1" s="88"/>
      <c r="E1" s="88"/>
      <c r="F1" s="88"/>
      <c r="G1" s="88"/>
    </row>
    <row r="2" spans="1:10" ht="16.2" thickBot="1" x14ac:dyDescent="0.35">
      <c r="E2" s="109" t="s">
        <v>111</v>
      </c>
      <c r="F2" s="109"/>
      <c r="G2" s="109"/>
    </row>
    <row r="3" spans="1:10" ht="31.8" thickBot="1" x14ac:dyDescent="0.35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5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" hidden="1" thickBot="1" x14ac:dyDescent="0.35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5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3">
      <c r="A7" s="26"/>
      <c r="B7" s="89" t="s">
        <v>90</v>
      </c>
      <c r="C7" s="89"/>
      <c r="D7" s="89"/>
      <c r="E7" s="90" t="s">
        <v>107</v>
      </c>
      <c r="F7" s="90"/>
      <c r="G7" s="91"/>
    </row>
    <row r="8" spans="1:10" s="20" customFormat="1" ht="30" hidden="1" customHeight="1" x14ac:dyDescent="0.3">
      <c r="A8" s="23"/>
      <c r="B8" s="92" t="s">
        <v>103</v>
      </c>
      <c r="C8" s="92"/>
      <c r="D8" s="92"/>
      <c r="E8" s="93"/>
      <c r="F8" s="94"/>
      <c r="G8" s="95"/>
    </row>
    <row r="9" spans="1:10" s="20" customFormat="1" ht="30" hidden="1" customHeight="1" x14ac:dyDescent="0.3">
      <c r="A9" s="23"/>
      <c r="B9" s="92" t="s">
        <v>91</v>
      </c>
      <c r="C9" s="92"/>
      <c r="D9" s="92"/>
      <c r="E9" s="93"/>
      <c r="F9" s="94"/>
      <c r="G9" s="95"/>
    </row>
    <row r="10" spans="1:10" s="20" customFormat="1" ht="30" hidden="1" customHeight="1" x14ac:dyDescent="0.3">
      <c r="A10" s="23"/>
      <c r="B10" s="92" t="s">
        <v>92</v>
      </c>
      <c r="C10" s="92"/>
      <c r="D10" s="92"/>
      <c r="E10" s="99"/>
      <c r="F10" s="100"/>
      <c r="G10" s="101"/>
      <c r="H10" s="21"/>
    </row>
    <row r="11" spans="1:10" s="20" customFormat="1" ht="30" hidden="1" customHeight="1" x14ac:dyDescent="0.3">
      <c r="A11" s="23"/>
      <c r="B11" s="92" t="s">
        <v>93</v>
      </c>
      <c r="C11" s="92"/>
      <c r="D11" s="92"/>
      <c r="E11" s="93"/>
      <c r="F11" s="94"/>
      <c r="G11" s="95"/>
    </row>
    <row r="12" spans="1:10" s="20" customFormat="1" ht="50.25" hidden="1" customHeight="1" x14ac:dyDescent="0.3">
      <c r="A12" s="23"/>
      <c r="B12" s="92" t="s">
        <v>94</v>
      </c>
      <c r="C12" s="92"/>
      <c r="D12" s="92"/>
      <c r="E12" s="102" t="s">
        <v>95</v>
      </c>
      <c r="F12" s="103"/>
      <c r="G12" s="104"/>
    </row>
    <row r="13" spans="1:10" s="20" customFormat="1" ht="50.25" hidden="1" customHeight="1" x14ac:dyDescent="0.3">
      <c r="A13" s="23"/>
      <c r="B13" s="92" t="s">
        <v>97</v>
      </c>
      <c r="C13" s="92"/>
      <c r="D13" s="92"/>
      <c r="E13" s="102" t="s">
        <v>96</v>
      </c>
      <c r="F13" s="103"/>
      <c r="G13" s="104"/>
    </row>
    <row r="14" spans="1:10" s="20" customFormat="1" ht="30" hidden="1" customHeight="1" x14ac:dyDescent="0.25">
      <c r="A14" s="23"/>
      <c r="B14" s="92" t="s">
        <v>87</v>
      </c>
      <c r="C14" s="92"/>
      <c r="D14" s="92"/>
      <c r="E14" s="96" t="s">
        <v>106</v>
      </c>
      <c r="F14" s="97"/>
      <c r="G14" s="98"/>
    </row>
    <row r="15" spans="1:10" s="20" customFormat="1" ht="42" hidden="1" customHeight="1" x14ac:dyDescent="0.25">
      <c r="A15" s="24"/>
      <c r="B15" s="92" t="s">
        <v>98</v>
      </c>
      <c r="C15" s="92"/>
      <c r="D15" s="92"/>
      <c r="E15" s="96" t="s">
        <v>105</v>
      </c>
      <c r="F15" s="97"/>
      <c r="G15" s="98"/>
      <c r="I15" s="22"/>
    </row>
    <row r="16" spans="1:10" s="20" customFormat="1" ht="48.75" hidden="1" customHeight="1" x14ac:dyDescent="0.25">
      <c r="A16" s="24"/>
      <c r="B16" s="92" t="s">
        <v>99</v>
      </c>
      <c r="C16" s="92"/>
      <c r="D16" s="92"/>
      <c r="E16" s="96" t="s">
        <v>104</v>
      </c>
      <c r="F16" s="97"/>
      <c r="G16" s="98"/>
      <c r="I16" s="22"/>
    </row>
    <row r="17" spans="1:9" s="20" customFormat="1" ht="30" hidden="1" customHeight="1" x14ac:dyDescent="0.25">
      <c r="A17" s="24"/>
      <c r="B17" s="92" t="s">
        <v>100</v>
      </c>
      <c r="C17" s="92"/>
      <c r="D17" s="92"/>
      <c r="E17" s="96" t="s">
        <v>108</v>
      </c>
      <c r="F17" s="97"/>
      <c r="G17" s="98"/>
      <c r="I17" s="22"/>
    </row>
    <row r="18" spans="1:9" s="20" customFormat="1" ht="30" hidden="1" customHeight="1" x14ac:dyDescent="0.3">
      <c r="A18" s="24"/>
      <c r="B18" s="92" t="s">
        <v>88</v>
      </c>
      <c r="C18" s="92"/>
      <c r="D18" s="92"/>
      <c r="E18" s="102" t="s">
        <v>109</v>
      </c>
      <c r="F18" s="103"/>
      <c r="G18" s="104"/>
    </row>
    <row r="19" spans="1:9" s="20" customFormat="1" ht="30" hidden="1" customHeight="1" x14ac:dyDescent="0.3">
      <c r="A19" s="24"/>
      <c r="B19" s="92" t="s">
        <v>101</v>
      </c>
      <c r="C19" s="92"/>
      <c r="D19" s="92"/>
      <c r="E19" s="102" t="s">
        <v>102</v>
      </c>
      <c r="F19" s="103"/>
      <c r="G19" s="104"/>
    </row>
    <row r="20" spans="1:9" s="20" customFormat="1" ht="30" hidden="1" customHeight="1" thickBot="1" x14ac:dyDescent="0.35">
      <c r="A20" s="27"/>
      <c r="B20" s="105" t="s">
        <v>89</v>
      </c>
      <c r="C20" s="105"/>
      <c r="D20" s="105"/>
      <c r="E20" s="106"/>
      <c r="F20" s="107"/>
      <c r="G20" s="108"/>
    </row>
    <row r="21" spans="1:9" ht="21" x14ac:dyDescent="0.4">
      <c r="G21" s="36">
        <f>G4+G6</f>
        <v>1762540445.7571886</v>
      </c>
      <c r="H21" s="34"/>
      <c r="I21" s="34"/>
    </row>
    <row r="22" spans="1:9" x14ac:dyDescent="0.3">
      <c r="G22" s="40">
        <f>'прил. 7.2'!E40</f>
        <v>1762540445.7571883</v>
      </c>
      <c r="H22" s="34"/>
    </row>
    <row r="23" spans="1:9" x14ac:dyDescent="0.3">
      <c r="G23" s="40">
        <f>G21-G22</f>
        <v>0</v>
      </c>
    </row>
    <row r="24" spans="1:9" x14ac:dyDescent="0.3">
      <c r="G24" s="40" cm="1">
        <f t="array" ref="G24:I24">'сравнит. с подрядчиками'!E36:G36</f>
        <v>1762540445.7560399</v>
      </c>
      <c r="H24">
        <v>0</v>
      </c>
      <c r="I24">
        <v>0</v>
      </c>
    </row>
    <row r="25" spans="1:9" x14ac:dyDescent="0.3">
      <c r="G25" s="40">
        <f>G21-G24</f>
        <v>1.1487007141113281E-3</v>
      </c>
    </row>
  </sheetData>
  <mergeCells count="30"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:G1"/>
    <mergeCell ref="B7:D7"/>
    <mergeCell ref="E7:G7"/>
    <mergeCell ref="B8:D8"/>
    <mergeCell ref="E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J49"/>
  <sheetViews>
    <sheetView topLeftCell="A33" workbookViewId="0">
      <selection activeCell="E40" sqref="E40:G40"/>
    </sheetView>
  </sheetViews>
  <sheetFormatPr defaultRowHeight="15.6" x14ac:dyDescent="0.3"/>
  <cols>
    <col min="1" max="1" width="4.6640625" customWidth="1"/>
    <col min="2" max="2" width="89.33203125" style="1" customWidth="1"/>
    <col min="3" max="3" width="40" style="6" customWidth="1"/>
    <col min="4" max="4" width="20.6640625" style="6" customWidth="1"/>
    <col min="5" max="6" width="20.6640625" style="30" customWidth="1"/>
    <col min="7" max="7" width="20.664062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3">
      <c r="B1" s="88" t="s">
        <v>3</v>
      </c>
      <c r="C1" s="88"/>
      <c r="D1" s="88"/>
      <c r="E1" s="88"/>
      <c r="F1" s="88"/>
      <c r="G1" s="88"/>
    </row>
    <row r="2" spans="2:10" ht="16.2" thickBot="1" x14ac:dyDescent="0.35"/>
    <row r="3" spans="2:10" ht="31.8" thickBot="1" x14ac:dyDescent="0.35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5">
      <c r="B4" s="16" t="s">
        <v>7</v>
      </c>
      <c r="C4" s="14"/>
      <c r="D4" s="14"/>
      <c r="E4" s="14"/>
      <c r="F4" s="14"/>
      <c r="G4" s="29"/>
    </row>
    <row r="5" spans="2:10" ht="47.4" thickBot="1" x14ac:dyDescent="0.35">
      <c r="B5" s="2" t="s">
        <v>8</v>
      </c>
      <c r="C5" s="38" t="s">
        <v>9</v>
      </c>
      <c r="D5" s="38" t="s">
        <v>10</v>
      </c>
      <c r="E5" s="45">
        <v>5014606.7</v>
      </c>
      <c r="F5" s="45">
        <v>72993573.349999994</v>
      </c>
      <c r="G5" s="31">
        <f>E5+F5</f>
        <v>78008180.049999997</v>
      </c>
    </row>
    <row r="6" spans="2:10" ht="28.5" customHeight="1" thickBot="1" x14ac:dyDescent="0.35">
      <c r="B6" s="16" t="s">
        <v>11</v>
      </c>
      <c r="C6" s="15"/>
      <c r="D6" s="14"/>
      <c r="E6" s="46"/>
      <c r="F6" s="46"/>
      <c r="G6" s="32"/>
      <c r="J6" s="28"/>
    </row>
    <row r="7" spans="2:10" ht="45" customHeight="1" thickBot="1" x14ac:dyDescent="0.35">
      <c r="B7" s="3" t="s">
        <v>12</v>
      </c>
      <c r="C7" s="5" t="s">
        <v>60</v>
      </c>
      <c r="D7" s="10" t="s">
        <v>13</v>
      </c>
      <c r="E7" s="47">
        <v>4269775.1500000004</v>
      </c>
      <c r="F7" s="48">
        <v>2759955.51</v>
      </c>
      <c r="G7" s="33">
        <f>E7+F7</f>
        <v>7029730.6600000001</v>
      </c>
    </row>
    <row r="8" spans="2:10" x14ac:dyDescent="0.3">
      <c r="B8" s="138" t="s">
        <v>14</v>
      </c>
      <c r="C8" s="110" t="s">
        <v>63</v>
      </c>
      <c r="D8" s="11" t="s">
        <v>16</v>
      </c>
      <c r="E8" s="142">
        <v>118208169.97</v>
      </c>
      <c r="F8" s="115">
        <v>11023040.710000001</v>
      </c>
      <c r="G8" s="113">
        <f>E8+F8</f>
        <v>129231210.68000001</v>
      </c>
    </row>
    <row r="9" spans="2:10" x14ac:dyDescent="0.3">
      <c r="B9" s="145"/>
      <c r="C9" s="112"/>
      <c r="D9" s="12" t="s">
        <v>17</v>
      </c>
      <c r="E9" s="143"/>
      <c r="F9" s="141"/>
      <c r="G9" s="140"/>
    </row>
    <row r="10" spans="2:10" ht="16.2" thickBot="1" x14ac:dyDescent="0.35">
      <c r="B10" s="139"/>
      <c r="C10" s="111"/>
      <c r="D10" s="13" t="s">
        <v>15</v>
      </c>
      <c r="E10" s="144"/>
      <c r="F10" s="116"/>
      <c r="G10" s="114"/>
    </row>
    <row r="11" spans="2:10" ht="31.8" thickBot="1" x14ac:dyDescent="0.35">
      <c r="B11" s="3" t="s">
        <v>18</v>
      </c>
      <c r="C11" s="5" t="s">
        <v>61</v>
      </c>
      <c r="D11" s="10" t="s">
        <v>19</v>
      </c>
      <c r="E11" s="49">
        <v>12482067.029999999</v>
      </c>
      <c r="F11" s="48">
        <v>1436360.16</v>
      </c>
      <c r="G11" s="33">
        <f>E11+F11</f>
        <v>13918427.189999999</v>
      </c>
    </row>
    <row r="12" spans="2:10" x14ac:dyDescent="0.3">
      <c r="B12" s="138" t="s">
        <v>20</v>
      </c>
      <c r="C12" s="110" t="s">
        <v>62</v>
      </c>
      <c r="D12" s="11" t="s">
        <v>22</v>
      </c>
      <c r="E12" s="115">
        <v>49128831.229999997</v>
      </c>
      <c r="F12" s="115">
        <v>3692222.17</v>
      </c>
      <c r="G12" s="113">
        <f>E12+F12</f>
        <v>52821053.399999999</v>
      </c>
    </row>
    <row r="13" spans="2:10" ht="16.2" thickBot="1" x14ac:dyDescent="0.35">
      <c r="B13" s="139"/>
      <c r="C13" s="111"/>
      <c r="D13" s="13" t="s">
        <v>21</v>
      </c>
      <c r="E13" s="116"/>
      <c r="F13" s="116"/>
      <c r="G13" s="114"/>
    </row>
    <row r="14" spans="2:10" x14ac:dyDescent="0.3">
      <c r="B14" s="138" t="s">
        <v>23</v>
      </c>
      <c r="C14" s="110" t="s">
        <v>64</v>
      </c>
      <c r="D14" s="11" t="s">
        <v>25</v>
      </c>
      <c r="E14" s="115">
        <v>41124180.240000002</v>
      </c>
      <c r="F14" s="115">
        <v>2891974.13</v>
      </c>
      <c r="G14" s="113">
        <f>E14+F14</f>
        <v>44016154.370000005</v>
      </c>
    </row>
    <row r="15" spans="2:10" ht="16.2" thickBot="1" x14ac:dyDescent="0.35">
      <c r="B15" s="139"/>
      <c r="C15" s="111"/>
      <c r="D15" s="13" t="s">
        <v>24</v>
      </c>
      <c r="E15" s="116"/>
      <c r="F15" s="116"/>
      <c r="G15" s="114"/>
    </row>
    <row r="16" spans="2:10" ht="26.25" customHeight="1" x14ac:dyDescent="0.3">
      <c r="B16" s="138" t="s">
        <v>26</v>
      </c>
      <c r="C16" s="110" t="s">
        <v>65</v>
      </c>
      <c r="D16" s="11" t="s">
        <v>28</v>
      </c>
      <c r="E16" s="115">
        <v>45743922.75</v>
      </c>
      <c r="F16" s="115">
        <v>3336577.25</v>
      </c>
      <c r="G16" s="113">
        <f>E16+F16</f>
        <v>49080500</v>
      </c>
    </row>
    <row r="17" spans="2:7" ht="24.75" customHeight="1" thickBot="1" x14ac:dyDescent="0.35">
      <c r="B17" s="139"/>
      <c r="C17" s="111"/>
      <c r="D17" s="13" t="s">
        <v>27</v>
      </c>
      <c r="E17" s="116"/>
      <c r="F17" s="116"/>
      <c r="G17" s="114"/>
    </row>
    <row r="18" spans="2:7" ht="39.9" customHeight="1" thickBot="1" x14ac:dyDescent="0.35">
      <c r="B18" s="3" t="s">
        <v>58</v>
      </c>
      <c r="C18" s="5" t="s">
        <v>59</v>
      </c>
      <c r="D18" s="10" t="s">
        <v>29</v>
      </c>
      <c r="E18" s="47">
        <v>65612684.740000002</v>
      </c>
      <c r="F18" s="48">
        <v>6747835.6500000004</v>
      </c>
      <c r="G18" s="33">
        <f>E18+F18</f>
        <v>72360520.390000001</v>
      </c>
    </row>
    <row r="19" spans="2:7" ht="39.9" customHeight="1" thickBot="1" x14ac:dyDescent="0.35">
      <c r="B19" s="3" t="s">
        <v>67</v>
      </c>
      <c r="C19" s="5" t="s">
        <v>66</v>
      </c>
      <c r="D19" s="10" t="s">
        <v>30</v>
      </c>
      <c r="E19" s="47">
        <v>13631473.07</v>
      </c>
      <c r="F19" s="48">
        <v>1569862.72</v>
      </c>
      <c r="G19" s="33">
        <f>E19+F19</f>
        <v>15201335.790000001</v>
      </c>
    </row>
    <row r="20" spans="2:7" ht="39.9" customHeight="1" thickBot="1" x14ac:dyDescent="0.35">
      <c r="B20" s="3" t="s">
        <v>69</v>
      </c>
      <c r="C20" s="5" t="s">
        <v>68</v>
      </c>
      <c r="D20" s="10" t="s">
        <v>31</v>
      </c>
      <c r="E20" s="47">
        <v>13275544.98</v>
      </c>
      <c r="F20" s="48">
        <v>1374545.4</v>
      </c>
      <c r="G20" s="33">
        <f t="shared" ref="G20:G25" si="0">E20+F20</f>
        <v>14650090.380000001</v>
      </c>
    </row>
    <row r="21" spans="2:7" ht="39.9" customHeight="1" thickBot="1" x14ac:dyDescent="0.35">
      <c r="B21" s="3" t="s">
        <v>71</v>
      </c>
      <c r="C21" s="5" t="s">
        <v>70</v>
      </c>
      <c r="D21" s="10" t="s">
        <v>32</v>
      </c>
      <c r="E21" s="47">
        <v>13269878.32</v>
      </c>
      <c r="F21" s="48">
        <v>1503263.5909291431</v>
      </c>
      <c r="G21" s="33">
        <f t="shared" si="0"/>
        <v>14773141.910929143</v>
      </c>
    </row>
    <row r="22" spans="2:7" ht="39.9" customHeight="1" thickBot="1" x14ac:dyDescent="0.35">
      <c r="B22" s="3" t="s">
        <v>73</v>
      </c>
      <c r="C22" s="5" t="s">
        <v>72</v>
      </c>
      <c r="D22" s="10" t="s">
        <v>33</v>
      </c>
      <c r="E22" s="47">
        <v>11682164.23</v>
      </c>
      <c r="F22" s="48">
        <v>1251323.1499999999</v>
      </c>
      <c r="G22" s="33">
        <f t="shared" si="0"/>
        <v>12933487.380000001</v>
      </c>
    </row>
    <row r="23" spans="2:7" ht="39.9" customHeight="1" thickBot="1" x14ac:dyDescent="0.35">
      <c r="B23" s="4" t="s">
        <v>34</v>
      </c>
      <c r="C23" s="38" t="s">
        <v>74</v>
      </c>
      <c r="D23" s="39" t="s">
        <v>35</v>
      </c>
      <c r="E23" s="50">
        <v>37162467.560000002</v>
      </c>
      <c r="F23" s="45">
        <v>4110555.64</v>
      </c>
      <c r="G23" s="33">
        <f t="shared" si="0"/>
        <v>41273023.200000003</v>
      </c>
    </row>
    <row r="24" spans="2:7" ht="39.9" customHeight="1" thickBot="1" x14ac:dyDescent="0.35">
      <c r="B24" s="3" t="s">
        <v>36</v>
      </c>
      <c r="C24" s="5" t="s">
        <v>75</v>
      </c>
      <c r="D24" s="10" t="s">
        <v>37</v>
      </c>
      <c r="E24" s="47">
        <v>89612095.560000002</v>
      </c>
      <c r="F24" s="48">
        <v>6404760.3899999997</v>
      </c>
      <c r="G24" s="33">
        <f t="shared" si="0"/>
        <v>96016855.950000003</v>
      </c>
    </row>
    <row r="25" spans="2:7" ht="39.9" customHeight="1" thickBot="1" x14ac:dyDescent="0.35">
      <c r="B25" s="3" t="s">
        <v>38</v>
      </c>
      <c r="C25" s="5" t="s">
        <v>76</v>
      </c>
      <c r="D25" s="10" t="s">
        <v>39</v>
      </c>
      <c r="E25" s="47">
        <v>49740513.270000003</v>
      </c>
      <c r="F25" s="48">
        <v>3011287.27</v>
      </c>
      <c r="G25" s="33">
        <f t="shared" si="0"/>
        <v>52751800.540000007</v>
      </c>
    </row>
    <row r="26" spans="2:7" ht="39.9" customHeight="1" x14ac:dyDescent="0.3">
      <c r="B26" s="138" t="s">
        <v>40</v>
      </c>
      <c r="C26" s="110" t="s">
        <v>41</v>
      </c>
      <c r="D26" s="11" t="s">
        <v>42</v>
      </c>
      <c r="E26" s="115">
        <v>63929694.619999997</v>
      </c>
      <c r="F26" s="115">
        <v>4523458.78</v>
      </c>
      <c r="G26" s="113">
        <f>E26+F26</f>
        <v>68453153.399999991</v>
      </c>
    </row>
    <row r="27" spans="2:7" ht="39.9" customHeight="1" thickBot="1" x14ac:dyDescent="0.35">
      <c r="B27" s="139"/>
      <c r="C27" s="111"/>
      <c r="D27" s="13" t="s">
        <v>43</v>
      </c>
      <c r="E27" s="116"/>
      <c r="F27" s="116"/>
      <c r="G27" s="114"/>
    </row>
    <row r="28" spans="2:7" ht="39.9" customHeight="1" thickBot="1" x14ac:dyDescent="0.35">
      <c r="B28" s="3" t="s">
        <v>78</v>
      </c>
      <c r="C28" s="5" t="s">
        <v>77</v>
      </c>
      <c r="D28" s="10" t="s">
        <v>44</v>
      </c>
      <c r="E28" s="47">
        <v>71447397.409999996</v>
      </c>
      <c r="F28" s="48">
        <v>4862606.67</v>
      </c>
      <c r="G28" s="33">
        <f>E28+F28</f>
        <v>76310004.079999998</v>
      </c>
    </row>
    <row r="29" spans="2:7" ht="39.9" customHeight="1" thickBot="1" x14ac:dyDescent="0.35">
      <c r="B29" s="3" t="s">
        <v>57</v>
      </c>
      <c r="C29" s="5" t="s">
        <v>86</v>
      </c>
      <c r="D29" s="10" t="s">
        <v>45</v>
      </c>
      <c r="E29" s="47">
        <v>17623437.02</v>
      </c>
      <c r="F29" s="48">
        <v>1483843.63</v>
      </c>
      <c r="G29" s="33">
        <f t="shared" ref="G29:G35" si="1">E29+F29</f>
        <v>19107280.649999999</v>
      </c>
    </row>
    <row r="30" spans="2:7" ht="39.9" customHeight="1" thickBot="1" x14ac:dyDescent="0.35">
      <c r="B30" s="3" t="s">
        <v>46</v>
      </c>
      <c r="C30" s="5" t="s">
        <v>79</v>
      </c>
      <c r="D30" s="10" t="s">
        <v>47</v>
      </c>
      <c r="E30" s="47">
        <v>13022939.550000001</v>
      </c>
      <c r="F30" s="48">
        <v>1289171.25</v>
      </c>
      <c r="G30" s="33">
        <f t="shared" si="1"/>
        <v>14312110.800000001</v>
      </c>
    </row>
    <row r="31" spans="2:7" ht="39.9" customHeight="1" thickBot="1" x14ac:dyDescent="0.35">
      <c r="B31" s="3" t="s">
        <v>48</v>
      </c>
      <c r="C31" s="5" t="s">
        <v>80</v>
      </c>
      <c r="D31" s="10" t="s">
        <v>49</v>
      </c>
      <c r="E31" s="47">
        <v>211787394.00999999</v>
      </c>
      <c r="F31" s="48">
        <v>14634907.970000001</v>
      </c>
      <c r="G31" s="33">
        <f t="shared" si="1"/>
        <v>226422301.97999999</v>
      </c>
    </row>
    <row r="32" spans="2:7" ht="39.9" customHeight="1" thickBot="1" x14ac:dyDescent="0.35">
      <c r="B32" s="3" t="s">
        <v>50</v>
      </c>
      <c r="C32" s="5" t="s">
        <v>81</v>
      </c>
      <c r="D32" s="10" t="s">
        <v>51</v>
      </c>
      <c r="E32" s="47">
        <v>5562138.2199999997</v>
      </c>
      <c r="F32" s="48">
        <v>2372402.5499999998</v>
      </c>
      <c r="G32" s="33">
        <f t="shared" si="1"/>
        <v>7934540.7699999996</v>
      </c>
    </row>
    <row r="33" spans="1:10" ht="39.9" customHeight="1" thickBot="1" x14ac:dyDescent="0.35">
      <c r="B33" s="3" t="s">
        <v>52</v>
      </c>
      <c r="C33" s="5" t="s">
        <v>82</v>
      </c>
      <c r="D33" s="10" t="s">
        <v>53</v>
      </c>
      <c r="E33" s="47">
        <v>274898438.25999999</v>
      </c>
      <c r="F33" s="48">
        <v>20403543.640000001</v>
      </c>
      <c r="G33" s="33">
        <f t="shared" si="1"/>
        <v>295301981.89999998</v>
      </c>
    </row>
    <row r="34" spans="1:10" ht="39.9" customHeight="1" thickBot="1" x14ac:dyDescent="0.35">
      <c r="B34" s="4" t="s">
        <v>54</v>
      </c>
      <c r="C34" s="38" t="s">
        <v>83</v>
      </c>
      <c r="D34" s="39" t="s">
        <v>55</v>
      </c>
      <c r="E34" s="50">
        <v>2551658.7200000002</v>
      </c>
      <c r="F34" s="45">
        <v>341952.23</v>
      </c>
      <c r="G34" s="33">
        <f t="shared" si="1"/>
        <v>2893610.95</v>
      </c>
    </row>
    <row r="35" spans="1:10" ht="39.9" customHeight="1" thickBot="1" x14ac:dyDescent="0.35">
      <c r="A35" s="25"/>
      <c r="B35" s="3" t="s">
        <v>84</v>
      </c>
      <c r="C35" s="5" t="s">
        <v>85</v>
      </c>
      <c r="D35" s="10" t="s">
        <v>56</v>
      </c>
      <c r="E35" s="47">
        <v>12440633.08</v>
      </c>
      <c r="F35" s="48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3">
      <c r="A36" s="26"/>
      <c r="B36" s="120" t="s">
        <v>90</v>
      </c>
      <c r="C36" s="121"/>
      <c r="D36" s="122"/>
      <c r="E36" s="126" t="s">
        <v>116</v>
      </c>
      <c r="F36" s="127"/>
      <c r="G36" s="128"/>
    </row>
    <row r="37" spans="1:10" s="20" customFormat="1" ht="30" customHeight="1" x14ac:dyDescent="0.25">
      <c r="A37" s="23"/>
      <c r="B37" s="123" t="s">
        <v>103</v>
      </c>
      <c r="C37" s="124"/>
      <c r="D37" s="125"/>
      <c r="E37" s="135">
        <f>G5+G7+G8+G11+G12+G14+G16+G18+G19+G20+G21+G22+G23+G24+G25+G26+G28+G29+G30+G31+G32+G33+G34+G35</f>
        <v>1426003596.8909292</v>
      </c>
      <c r="F37" s="136"/>
      <c r="G37" s="137"/>
    </row>
    <row r="38" spans="1:10" s="20" customFormat="1" ht="30" customHeight="1" x14ac:dyDescent="0.25">
      <c r="A38" s="23"/>
      <c r="B38" s="123" t="s">
        <v>91</v>
      </c>
      <c r="C38" s="124"/>
      <c r="D38" s="125"/>
      <c r="E38" s="135">
        <f>E37*0.03</f>
        <v>42780107.906727873</v>
      </c>
      <c r="F38" s="136"/>
      <c r="G38" s="137"/>
    </row>
    <row r="39" spans="1:10" s="20" customFormat="1" ht="30" customHeight="1" x14ac:dyDescent="0.25">
      <c r="A39" s="23"/>
      <c r="B39" s="123" t="s">
        <v>92</v>
      </c>
      <c r="C39" s="124"/>
      <c r="D39" s="125"/>
      <c r="E39" s="132">
        <f>E37+E38</f>
        <v>1468783704.797657</v>
      </c>
      <c r="F39" s="133"/>
      <c r="G39" s="134"/>
      <c r="H39" s="21"/>
    </row>
    <row r="40" spans="1:10" s="20" customFormat="1" ht="30" customHeight="1" x14ac:dyDescent="0.25">
      <c r="A40" s="23"/>
      <c r="B40" s="123" t="s">
        <v>93</v>
      </c>
      <c r="C40" s="124"/>
      <c r="D40" s="125"/>
      <c r="E40" s="132">
        <f>E39*1.2</f>
        <v>1762540445.7571883</v>
      </c>
      <c r="F40" s="133"/>
      <c r="G40" s="134"/>
    </row>
    <row r="41" spans="1:10" s="20" customFormat="1" ht="50.25" customHeight="1" x14ac:dyDescent="0.3">
      <c r="A41" s="23"/>
      <c r="B41" s="123" t="s">
        <v>94</v>
      </c>
      <c r="C41" s="124"/>
      <c r="D41" s="125"/>
      <c r="E41" s="129" t="s">
        <v>95</v>
      </c>
      <c r="F41" s="130"/>
      <c r="G41" s="131"/>
    </row>
    <row r="42" spans="1:10" s="20" customFormat="1" ht="50.25" customHeight="1" x14ac:dyDescent="0.3">
      <c r="A42" s="23"/>
      <c r="B42" s="123" t="s">
        <v>97</v>
      </c>
      <c r="C42" s="124"/>
      <c r="D42" s="125"/>
      <c r="E42" s="102" t="s">
        <v>96</v>
      </c>
      <c r="F42" s="103"/>
      <c r="G42" s="104"/>
    </row>
    <row r="43" spans="1:10" s="20" customFormat="1" ht="30" customHeight="1" x14ac:dyDescent="0.25">
      <c r="A43" s="23"/>
      <c r="B43" s="123" t="s">
        <v>87</v>
      </c>
      <c r="C43" s="124"/>
      <c r="D43" s="125"/>
      <c r="E43" s="96" t="s">
        <v>106</v>
      </c>
      <c r="F43" s="97"/>
      <c r="G43" s="98"/>
    </row>
    <row r="44" spans="1:10" s="20" customFormat="1" ht="42" customHeight="1" x14ac:dyDescent="0.25">
      <c r="A44" s="24"/>
      <c r="B44" s="123" t="s">
        <v>98</v>
      </c>
      <c r="C44" s="124"/>
      <c r="D44" s="125"/>
      <c r="E44" s="96" t="s">
        <v>105</v>
      </c>
      <c r="F44" s="97"/>
      <c r="G44" s="98"/>
      <c r="I44" s="22"/>
    </row>
    <row r="45" spans="1:10" s="20" customFormat="1" ht="48.75" customHeight="1" x14ac:dyDescent="0.25">
      <c r="A45" s="24"/>
      <c r="B45" s="123" t="s">
        <v>99</v>
      </c>
      <c r="C45" s="124"/>
      <c r="D45" s="125"/>
      <c r="E45" s="96" t="s">
        <v>104</v>
      </c>
      <c r="F45" s="97"/>
      <c r="G45" s="98"/>
      <c r="I45" s="22"/>
    </row>
    <row r="46" spans="1:10" s="20" customFormat="1" ht="30" customHeight="1" x14ac:dyDescent="0.25">
      <c r="A46" s="24"/>
      <c r="B46" s="123" t="s">
        <v>100</v>
      </c>
      <c r="C46" s="124"/>
      <c r="D46" s="125"/>
      <c r="E46" s="96" t="s">
        <v>108</v>
      </c>
      <c r="F46" s="97"/>
      <c r="G46" s="98"/>
      <c r="I46" s="22"/>
    </row>
    <row r="47" spans="1:10" s="20" customFormat="1" ht="30" customHeight="1" x14ac:dyDescent="0.3">
      <c r="A47" s="24"/>
      <c r="B47" s="123" t="s">
        <v>88</v>
      </c>
      <c r="C47" s="124"/>
      <c r="D47" s="125"/>
      <c r="E47" s="102" t="s">
        <v>109</v>
      </c>
      <c r="F47" s="103"/>
      <c r="G47" s="104"/>
    </row>
    <row r="48" spans="1:10" s="20" customFormat="1" ht="30" customHeight="1" x14ac:dyDescent="0.3">
      <c r="A48" s="24"/>
      <c r="B48" s="123" t="s">
        <v>101</v>
      </c>
      <c r="C48" s="124"/>
      <c r="D48" s="125"/>
      <c r="E48" s="102" t="s">
        <v>102</v>
      </c>
      <c r="F48" s="103"/>
      <c r="G48" s="104"/>
    </row>
    <row r="49" spans="1:7" s="20" customFormat="1" ht="30" customHeight="1" thickBot="1" x14ac:dyDescent="0.35">
      <c r="A49" s="27"/>
      <c r="B49" s="117" t="s">
        <v>89</v>
      </c>
      <c r="C49" s="118"/>
      <c r="D49" s="119"/>
      <c r="E49" s="106"/>
      <c r="F49" s="107"/>
      <c r="G49" s="108"/>
    </row>
  </sheetData>
  <mergeCells count="54"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5F24-2CE5-47F6-8569-76472EFF1064}">
  <sheetPr>
    <tabColor rgb="FFFF0000"/>
  </sheetPr>
  <dimension ref="A1:P36"/>
  <sheetViews>
    <sheetView tabSelected="1" zoomScale="70" zoomScaleNormal="70" workbookViewId="0">
      <selection activeCell="K5" sqref="K5"/>
    </sheetView>
  </sheetViews>
  <sheetFormatPr defaultRowHeight="15.6" x14ac:dyDescent="0.3"/>
  <cols>
    <col min="1" max="1" width="4.6640625" customWidth="1"/>
    <col min="2" max="2" width="73.109375" style="1" customWidth="1"/>
    <col min="3" max="3" width="31.33203125" style="6" customWidth="1"/>
    <col min="4" max="4" width="20.6640625" style="6" customWidth="1"/>
    <col min="5" max="6" width="20.6640625" style="30" customWidth="1"/>
    <col min="7" max="7" width="20.6640625" style="6" customWidth="1"/>
    <col min="8" max="9" width="20.6640625" style="30" customWidth="1"/>
    <col min="10" max="10" width="20.6640625" style="6" customWidth="1"/>
    <col min="11" max="12" width="20.6640625" style="30" customWidth="1"/>
    <col min="13" max="13" width="20.6640625" style="6" customWidth="1"/>
    <col min="14" max="14" width="15" bestFit="1" customWidth="1"/>
    <col min="15" max="15" width="14" customWidth="1"/>
    <col min="16" max="16" width="15" bestFit="1" customWidth="1"/>
  </cols>
  <sheetData>
    <row r="1" spans="2:16" x14ac:dyDescent="0.3">
      <c r="B1" s="88"/>
      <c r="C1" s="88"/>
      <c r="D1" s="88"/>
      <c r="E1" s="88"/>
      <c r="F1" s="88"/>
      <c r="G1" s="88"/>
      <c r="H1" s="41"/>
      <c r="I1" s="41"/>
      <c r="J1" s="41"/>
      <c r="K1" s="41"/>
      <c r="L1" s="41"/>
      <c r="M1" s="41"/>
    </row>
    <row r="2" spans="2:16" ht="16.2" thickBot="1" x14ac:dyDescent="0.35">
      <c r="E2" s="109" t="s">
        <v>121</v>
      </c>
      <c r="F2" s="109"/>
      <c r="G2" s="109"/>
      <c r="H2" s="157" t="s">
        <v>120</v>
      </c>
      <c r="I2" s="157"/>
      <c r="J2" s="157"/>
      <c r="K2" s="154" t="s">
        <v>122</v>
      </c>
      <c r="L2" s="154"/>
      <c r="M2" s="154"/>
    </row>
    <row r="3" spans="2:16" ht="31.8" thickBot="1" x14ac:dyDescent="0.35">
      <c r="B3" s="7" t="s">
        <v>4</v>
      </c>
      <c r="C3" s="42" t="s">
        <v>5</v>
      </c>
      <c r="D3" s="42" t="s">
        <v>6</v>
      </c>
      <c r="E3" s="63" t="s">
        <v>117</v>
      </c>
      <c r="F3" s="63" t="s">
        <v>118</v>
      </c>
      <c r="G3" s="64" t="s">
        <v>113</v>
      </c>
      <c r="H3" s="51" t="s">
        <v>117</v>
      </c>
      <c r="I3" s="51" t="s">
        <v>118</v>
      </c>
      <c r="J3" s="52" t="s">
        <v>113</v>
      </c>
      <c r="K3" s="75" t="s">
        <v>117</v>
      </c>
      <c r="L3" s="75" t="s">
        <v>118</v>
      </c>
      <c r="M3" s="76" t="s">
        <v>113</v>
      </c>
    </row>
    <row r="4" spans="2:16" ht="30.75" customHeight="1" thickBot="1" x14ac:dyDescent="0.35">
      <c r="B4" s="16" t="s">
        <v>7</v>
      </c>
      <c r="C4" s="14"/>
      <c r="D4" s="14"/>
      <c r="E4" s="65"/>
      <c r="F4" s="65"/>
      <c r="G4" s="66"/>
      <c r="H4" s="53"/>
      <c r="I4" s="53"/>
      <c r="J4" s="54"/>
      <c r="K4" s="77"/>
      <c r="L4" s="77"/>
      <c r="M4" s="78"/>
    </row>
    <row r="5" spans="2:16" ht="68.25" customHeight="1" thickBot="1" x14ac:dyDescent="0.35">
      <c r="B5" s="2" t="s">
        <v>8</v>
      </c>
      <c r="C5" s="43" t="s">
        <v>9</v>
      </c>
      <c r="D5" s="43" t="s">
        <v>10</v>
      </c>
      <c r="E5" s="67">
        <f>5014606.7*1.03*1.2</f>
        <v>6198053.8812000006</v>
      </c>
      <c r="F5" s="67">
        <f>72993573.35*1.03*1.2</f>
        <v>90220056.660599992</v>
      </c>
      <c r="G5" s="68">
        <f>E5+F5</f>
        <v>96418110.541799992</v>
      </c>
      <c r="H5" s="55"/>
      <c r="I5" s="55">
        <f>72993573.35*1.03*1.2</f>
        <v>90220056.660599992</v>
      </c>
      <c r="J5" s="56">
        <f>H5+I5</f>
        <v>90220056.660599992</v>
      </c>
      <c r="K5" s="79">
        <v>1543385414.0751224</v>
      </c>
      <c r="L5" s="79">
        <v>838393035.63862026</v>
      </c>
      <c r="M5" s="80">
        <f>K5+L5</f>
        <v>2381778449.7137427</v>
      </c>
    </row>
    <row r="6" spans="2:16" ht="28.5" customHeight="1" thickBot="1" x14ac:dyDescent="0.35">
      <c r="B6" s="16" t="s">
        <v>11</v>
      </c>
      <c r="C6" s="15"/>
      <c r="D6" s="14"/>
      <c r="E6" s="69"/>
      <c r="F6" s="69"/>
      <c r="G6" s="70"/>
      <c r="H6" s="87"/>
      <c r="I6" s="57"/>
      <c r="J6" s="58"/>
      <c r="K6" s="81"/>
      <c r="L6" s="81"/>
      <c r="M6" s="82"/>
      <c r="P6" s="28"/>
    </row>
    <row r="7" spans="2:16" ht="45" customHeight="1" thickBot="1" x14ac:dyDescent="0.35">
      <c r="B7" s="3" t="s">
        <v>12</v>
      </c>
      <c r="C7" s="5" t="s">
        <v>60</v>
      </c>
      <c r="D7" s="10" t="s">
        <v>13</v>
      </c>
      <c r="E7" s="71">
        <f>4269775.15*1.03*1.2</f>
        <v>5277442.0854000002</v>
      </c>
      <c r="F7" s="72">
        <f>2759955.51*1.03*1.2</f>
        <v>3411305.0103599997</v>
      </c>
      <c r="G7" s="73">
        <f>E7+F7</f>
        <v>8688747.095759999</v>
      </c>
      <c r="H7" s="59">
        <v>5169727.9000000004</v>
      </c>
      <c r="I7" s="60">
        <f>2759955.51*1.03*1.2</f>
        <v>3411305.0103599997</v>
      </c>
      <c r="J7" s="61">
        <f>H7+I7</f>
        <v>8581032.910360001</v>
      </c>
      <c r="K7" s="83"/>
      <c r="L7" s="84">
        <v>9814017.6569999997</v>
      </c>
      <c r="M7" s="85">
        <f>K7+L7</f>
        <v>9814017.6569999997</v>
      </c>
    </row>
    <row r="8" spans="2:16" x14ac:dyDescent="0.3">
      <c r="B8" s="138" t="s">
        <v>14</v>
      </c>
      <c r="C8" s="110" t="s">
        <v>63</v>
      </c>
      <c r="D8" s="11" t="s">
        <v>16</v>
      </c>
      <c r="E8" s="160">
        <f>118208169.97*1.03*1.2</f>
        <v>146105298.08292001</v>
      </c>
      <c r="F8" s="160">
        <f>11023040.71*1.03*1.2</f>
        <v>13624478.31756</v>
      </c>
      <c r="G8" s="162">
        <f>E8+F8</f>
        <v>159729776.40048</v>
      </c>
      <c r="H8" s="150">
        <v>121766834.40000001</v>
      </c>
      <c r="I8" s="150">
        <f>11023040.71*1.03*1.2</f>
        <v>13624478.31756</v>
      </c>
      <c r="J8" s="152">
        <f>H8+I8</f>
        <v>135391312.71755999</v>
      </c>
      <c r="K8" s="146">
        <v>85717712.489999995</v>
      </c>
      <c r="L8" s="146">
        <v>39085675.18</v>
      </c>
      <c r="M8" s="148">
        <f>K8+L8</f>
        <v>124803387.66999999</v>
      </c>
    </row>
    <row r="9" spans="2:16" x14ac:dyDescent="0.3">
      <c r="B9" s="145"/>
      <c r="C9" s="112"/>
      <c r="D9" s="12" t="s">
        <v>17</v>
      </c>
      <c r="E9" s="164"/>
      <c r="F9" s="164"/>
      <c r="G9" s="165"/>
      <c r="H9" s="158"/>
      <c r="I9" s="158"/>
      <c r="J9" s="159"/>
      <c r="K9" s="155"/>
      <c r="L9" s="155"/>
      <c r="M9" s="156"/>
    </row>
    <row r="10" spans="2:16" ht="16.2" thickBot="1" x14ac:dyDescent="0.35">
      <c r="B10" s="139"/>
      <c r="C10" s="111"/>
      <c r="D10" s="13" t="s">
        <v>15</v>
      </c>
      <c r="E10" s="161"/>
      <c r="F10" s="161"/>
      <c r="G10" s="163"/>
      <c r="H10" s="151"/>
      <c r="I10" s="151"/>
      <c r="J10" s="153"/>
      <c r="K10" s="147"/>
      <c r="L10" s="147"/>
      <c r="M10" s="149"/>
    </row>
    <row r="11" spans="2:16" ht="31.8" thickBot="1" x14ac:dyDescent="0.35">
      <c r="B11" s="3" t="s">
        <v>18</v>
      </c>
      <c r="C11" s="5" t="s">
        <v>61</v>
      </c>
      <c r="D11" s="10" t="s">
        <v>19</v>
      </c>
      <c r="E11" s="71">
        <f>12482067.03*1.03*1.2</f>
        <v>15427834.849079998</v>
      </c>
      <c r="F11" s="72">
        <f>1436360.16*1.03*1.2</f>
        <v>1775341.1577599999</v>
      </c>
      <c r="G11" s="73">
        <f>E11+F11</f>
        <v>17203176.006839998</v>
      </c>
      <c r="H11" s="59">
        <v>12210741.689999999</v>
      </c>
      <c r="I11" s="60">
        <f>1436360.16*1.03*1.2</f>
        <v>1775341.1577599999</v>
      </c>
      <c r="J11" s="61">
        <f>H11+I11</f>
        <v>13986082.847759999</v>
      </c>
      <c r="K11" s="83"/>
      <c r="L11" s="84"/>
      <c r="M11" s="85">
        <f>K11+L11</f>
        <v>0</v>
      </c>
    </row>
    <row r="12" spans="2:16" x14ac:dyDescent="0.3">
      <c r="B12" s="138" t="s">
        <v>20</v>
      </c>
      <c r="C12" s="110" t="s">
        <v>62</v>
      </c>
      <c r="D12" s="11" t="s">
        <v>22</v>
      </c>
      <c r="E12" s="160">
        <f>49128831.23*1.03*1.2</f>
        <v>60723235.400279999</v>
      </c>
      <c r="F12" s="160">
        <f>3692222.17*1.03*1.2</f>
        <v>4563586.6021199999</v>
      </c>
      <c r="G12" s="162">
        <f>E12+F12</f>
        <v>65286822.002399996</v>
      </c>
      <c r="H12" s="150">
        <v>46715954.340000004</v>
      </c>
      <c r="I12" s="150">
        <f>3692222.17*1.03*1.2</f>
        <v>4563586.6021199999</v>
      </c>
      <c r="J12" s="152">
        <f>H12+I12</f>
        <v>51279540.942120001</v>
      </c>
      <c r="K12" s="146"/>
      <c r="L12" s="146">
        <v>24571196.82</v>
      </c>
      <c r="M12" s="148">
        <f>K12+L12</f>
        <v>24571196.82</v>
      </c>
    </row>
    <row r="13" spans="2:16" ht="16.2" thickBot="1" x14ac:dyDescent="0.35">
      <c r="B13" s="139"/>
      <c r="C13" s="111"/>
      <c r="D13" s="13" t="s">
        <v>21</v>
      </c>
      <c r="E13" s="161"/>
      <c r="F13" s="161"/>
      <c r="G13" s="163"/>
      <c r="H13" s="151"/>
      <c r="I13" s="151"/>
      <c r="J13" s="153"/>
      <c r="K13" s="147"/>
      <c r="L13" s="147"/>
      <c r="M13" s="149"/>
    </row>
    <row r="14" spans="2:16" x14ac:dyDescent="0.3">
      <c r="B14" s="138" t="s">
        <v>23</v>
      </c>
      <c r="C14" s="110" t="s">
        <v>64</v>
      </c>
      <c r="D14" s="11" t="s">
        <v>25</v>
      </c>
      <c r="E14" s="160">
        <f>41124180.24*1.03*1.2</f>
        <v>50829486.776640005</v>
      </c>
      <c r="F14" s="160">
        <f>2891974.13*1.03*1.2</f>
        <v>3574480.0246799998</v>
      </c>
      <c r="G14" s="162">
        <f>E14+F14</f>
        <v>54403966.801320001</v>
      </c>
      <c r="H14" s="150">
        <v>34715421.759999998</v>
      </c>
      <c r="I14" s="150">
        <f>2891974.13*1.03*1.2</f>
        <v>3574480.0246799998</v>
      </c>
      <c r="J14" s="152">
        <f>H14+I14</f>
        <v>38289901.784679994</v>
      </c>
      <c r="K14" s="146"/>
      <c r="L14" s="146">
        <v>17720593.050000001</v>
      </c>
      <c r="M14" s="148">
        <f>K14+L14</f>
        <v>17720593.050000001</v>
      </c>
    </row>
    <row r="15" spans="2:16" ht="16.2" thickBot="1" x14ac:dyDescent="0.35">
      <c r="B15" s="139"/>
      <c r="C15" s="111"/>
      <c r="D15" s="13" t="s">
        <v>24</v>
      </c>
      <c r="E15" s="161"/>
      <c r="F15" s="161"/>
      <c r="G15" s="163"/>
      <c r="H15" s="151"/>
      <c r="I15" s="151"/>
      <c r="J15" s="153"/>
      <c r="K15" s="147"/>
      <c r="L15" s="147"/>
      <c r="M15" s="149"/>
    </row>
    <row r="16" spans="2:16" ht="26.25" customHeight="1" x14ac:dyDescent="0.3">
      <c r="B16" s="138" t="s">
        <v>26</v>
      </c>
      <c r="C16" s="110" t="s">
        <v>65</v>
      </c>
      <c r="D16" s="11" t="s">
        <v>28</v>
      </c>
      <c r="E16" s="160">
        <f>45743922.75*1.03*1.2</f>
        <v>56539488.519000001</v>
      </c>
      <c r="F16" s="160">
        <f>3336577.25*1.03*1.2</f>
        <v>4124009.4809999997</v>
      </c>
      <c r="G16" s="162">
        <f>E16+F16</f>
        <v>60663498</v>
      </c>
      <c r="H16" s="150">
        <v>42497387.020000003</v>
      </c>
      <c r="I16" s="150">
        <f>3336577.25*1.03*1.2</f>
        <v>4124009.4809999997</v>
      </c>
      <c r="J16" s="152">
        <f>H16+I16</f>
        <v>46621396.501000002</v>
      </c>
      <c r="K16" s="146"/>
      <c r="L16" s="146">
        <v>20789384.91</v>
      </c>
      <c r="M16" s="148">
        <f>K16+L16</f>
        <v>20789384.91</v>
      </c>
    </row>
    <row r="17" spans="2:13" ht="24.75" customHeight="1" thickBot="1" x14ac:dyDescent="0.35">
      <c r="B17" s="139"/>
      <c r="C17" s="111"/>
      <c r="D17" s="13" t="s">
        <v>27</v>
      </c>
      <c r="E17" s="161"/>
      <c r="F17" s="161"/>
      <c r="G17" s="163"/>
      <c r="H17" s="151"/>
      <c r="I17" s="151"/>
      <c r="J17" s="153"/>
      <c r="K17" s="147"/>
      <c r="L17" s="147"/>
      <c r="M17" s="149"/>
    </row>
    <row r="18" spans="2:13" ht="39.9" customHeight="1" thickBot="1" x14ac:dyDescent="0.35">
      <c r="B18" s="3" t="s">
        <v>58</v>
      </c>
      <c r="C18" s="5" t="s">
        <v>59</v>
      </c>
      <c r="D18" s="10" t="s">
        <v>29</v>
      </c>
      <c r="E18" s="71">
        <f>65612684.74*1.03*1.2</f>
        <v>81097278.338640004</v>
      </c>
      <c r="F18" s="72">
        <f>6747835.65*1.03*1.2</f>
        <v>8340324.8634000001</v>
      </c>
      <c r="G18" s="73">
        <f>E18+F18</f>
        <v>89437603.202040002</v>
      </c>
      <c r="H18" s="59">
        <v>66501986.960000001</v>
      </c>
      <c r="I18" s="60">
        <f>6747835.65*1.03*1.2</f>
        <v>8340324.8634000001</v>
      </c>
      <c r="J18" s="61">
        <f>H18+I18</f>
        <v>74842311.823400006</v>
      </c>
      <c r="K18" s="83"/>
      <c r="L18" s="84">
        <v>40504216.719999999</v>
      </c>
      <c r="M18" s="85">
        <f>K18+L18</f>
        <v>40504216.719999999</v>
      </c>
    </row>
    <row r="19" spans="2:13" ht="39.9" customHeight="1" thickBot="1" x14ac:dyDescent="0.35">
      <c r="B19" s="3" t="s">
        <v>67</v>
      </c>
      <c r="C19" s="5" t="s">
        <v>66</v>
      </c>
      <c r="D19" s="10" t="s">
        <v>30</v>
      </c>
      <c r="E19" s="71">
        <f>13631473.07*1.03*1.2</f>
        <v>16848500.71452</v>
      </c>
      <c r="F19" s="72">
        <f>1569862.72*1.03*1.2</f>
        <v>1940350.3219199998</v>
      </c>
      <c r="G19" s="73">
        <f>E19+F19</f>
        <v>18788851.03644</v>
      </c>
      <c r="H19" s="59">
        <v>13336832.369999999</v>
      </c>
      <c r="I19" s="60">
        <f>1569862.72*1.03*1.2</f>
        <v>1940350.3219199998</v>
      </c>
      <c r="J19" s="61">
        <f>H19+I19</f>
        <v>15277182.691919999</v>
      </c>
      <c r="K19" s="83"/>
      <c r="L19" s="84">
        <v>8035603.4299999997</v>
      </c>
      <c r="M19" s="85">
        <f>K19+L19</f>
        <v>8035603.4299999997</v>
      </c>
    </row>
    <row r="20" spans="2:13" ht="39.9" customHeight="1" thickBot="1" x14ac:dyDescent="0.35">
      <c r="B20" s="3" t="s">
        <v>69</v>
      </c>
      <c r="C20" s="5" t="s">
        <v>68</v>
      </c>
      <c r="D20" s="10" t="s">
        <v>31</v>
      </c>
      <c r="E20" s="71">
        <f>13275544.98*1.03*1.2</f>
        <v>16408573.595280001</v>
      </c>
      <c r="F20" s="72">
        <f>1374545.4*1.03*1.2</f>
        <v>1698938.1143999998</v>
      </c>
      <c r="G20" s="73">
        <f t="shared" ref="G20:G25" si="0">E20+F20</f>
        <v>18107511.709680002</v>
      </c>
      <c r="H20" s="59">
        <v>12670198.960000001</v>
      </c>
      <c r="I20" s="60">
        <f>1374545.4*1.03*1.2</f>
        <v>1698938.1143999998</v>
      </c>
      <c r="J20" s="61">
        <f t="shared" ref="J20:J25" si="1">H20+I20</f>
        <v>14369137.0744</v>
      </c>
      <c r="K20" s="83"/>
      <c r="L20" s="84">
        <v>7126097.5899999999</v>
      </c>
      <c r="M20" s="85">
        <f t="shared" ref="M20:M25" si="2">K20+L20</f>
        <v>7126097.5899999999</v>
      </c>
    </row>
    <row r="21" spans="2:13" ht="39.9" customHeight="1" thickBot="1" x14ac:dyDescent="0.35">
      <c r="B21" s="3" t="s">
        <v>71</v>
      </c>
      <c r="C21" s="5" t="s">
        <v>70</v>
      </c>
      <c r="D21" s="10" t="s">
        <v>32</v>
      </c>
      <c r="E21" s="71">
        <f>13269878.32*1.03*1.2</f>
        <v>16401569.60352</v>
      </c>
      <c r="F21" s="72">
        <f>1503263.59*1.03*1.2</f>
        <v>1858033.7972400002</v>
      </c>
      <c r="G21" s="73">
        <f t="shared" si="0"/>
        <v>18259603.400760002</v>
      </c>
      <c r="H21" s="59">
        <v>11058386.07</v>
      </c>
      <c r="I21" s="60">
        <f>1503263.59*1.03*1.2</f>
        <v>1858033.7972400002</v>
      </c>
      <c r="J21" s="61">
        <f t="shared" si="1"/>
        <v>12916419.867240001</v>
      </c>
      <c r="K21" s="83"/>
      <c r="L21" s="84"/>
      <c r="M21" s="85">
        <f t="shared" si="2"/>
        <v>0</v>
      </c>
    </row>
    <row r="22" spans="2:13" ht="39.9" customHeight="1" thickBot="1" x14ac:dyDescent="0.35">
      <c r="B22" s="3" t="s">
        <v>73</v>
      </c>
      <c r="C22" s="5" t="s">
        <v>72</v>
      </c>
      <c r="D22" s="10" t="s">
        <v>33</v>
      </c>
      <c r="E22" s="71">
        <f>11682164.23*1.03*1.2</f>
        <v>14439154.988280002</v>
      </c>
      <c r="F22" s="72">
        <f>1251323.15*1.03*1.2</f>
        <v>1546635.4133999997</v>
      </c>
      <c r="G22" s="73">
        <f t="shared" si="0"/>
        <v>15985790.401680002</v>
      </c>
      <c r="H22" s="59">
        <v>11350798.98</v>
      </c>
      <c r="I22" s="60">
        <f>1251323.15*1.03*1.2</f>
        <v>1546635.4133999997</v>
      </c>
      <c r="J22" s="61">
        <f t="shared" si="1"/>
        <v>12897434.3934</v>
      </c>
      <c r="K22" s="83"/>
      <c r="L22" s="84"/>
      <c r="M22" s="85">
        <f t="shared" si="2"/>
        <v>0</v>
      </c>
    </row>
    <row r="23" spans="2:13" ht="39.9" customHeight="1" thickBot="1" x14ac:dyDescent="0.35">
      <c r="B23" s="44" t="s">
        <v>34</v>
      </c>
      <c r="C23" s="43" t="s">
        <v>74</v>
      </c>
      <c r="D23" s="39" t="s">
        <v>35</v>
      </c>
      <c r="E23" s="74">
        <f>37162467.56*1.03*1.2</f>
        <v>45932809.90416</v>
      </c>
      <c r="F23" s="67">
        <f>4110555.64*1.03*1.2</f>
        <v>5080646.77104</v>
      </c>
      <c r="G23" s="73">
        <f t="shared" si="0"/>
        <v>51013456.6752</v>
      </c>
      <c r="H23" s="62">
        <v>43501852</v>
      </c>
      <c r="I23" s="55">
        <f>4110555.64*1.03*1.2</f>
        <v>5080646.77104</v>
      </c>
      <c r="J23" s="61">
        <f t="shared" si="1"/>
        <v>48582498.77104</v>
      </c>
      <c r="K23" s="86"/>
      <c r="L23" s="79">
        <v>22593095.59</v>
      </c>
      <c r="M23" s="85">
        <f t="shared" si="2"/>
        <v>22593095.59</v>
      </c>
    </row>
    <row r="24" spans="2:13" ht="39.9" customHeight="1" thickBot="1" x14ac:dyDescent="0.35">
      <c r="B24" s="3" t="s">
        <v>36</v>
      </c>
      <c r="C24" s="5" t="s">
        <v>75</v>
      </c>
      <c r="D24" s="10" t="s">
        <v>37</v>
      </c>
      <c r="E24" s="71">
        <f>89612095.56*1.03*1.2</f>
        <v>110760550.11216</v>
      </c>
      <c r="F24" s="72">
        <f>6404760.39*1.03*1.2</f>
        <v>7916283.8420399996</v>
      </c>
      <c r="G24" s="73">
        <f t="shared" si="0"/>
        <v>118676833.9542</v>
      </c>
      <c r="H24" s="59">
        <v>112600192.12</v>
      </c>
      <c r="I24" s="60">
        <f>6404760.39*1.03*1.2</f>
        <v>7916283.8420399996</v>
      </c>
      <c r="J24" s="61">
        <f t="shared" si="1"/>
        <v>120516475.96204001</v>
      </c>
      <c r="K24" s="83"/>
      <c r="L24" s="84">
        <v>27045582.998925701</v>
      </c>
      <c r="M24" s="85">
        <f t="shared" si="2"/>
        <v>27045582.998925701</v>
      </c>
    </row>
    <row r="25" spans="2:13" ht="39.9" customHeight="1" thickBot="1" x14ac:dyDescent="0.35">
      <c r="B25" s="3" t="s">
        <v>38</v>
      </c>
      <c r="C25" s="5" t="s">
        <v>76</v>
      </c>
      <c r="D25" s="10" t="s">
        <v>39</v>
      </c>
      <c r="E25" s="71">
        <f>49740513.27*1.03*1.2</f>
        <v>61479274.401720002</v>
      </c>
      <c r="F25" s="72">
        <f>3011287.27*1.03*1.2</f>
        <v>3721951.0657199998</v>
      </c>
      <c r="G25" s="73">
        <f t="shared" si="0"/>
        <v>65201225.467440002</v>
      </c>
      <c r="H25" s="59">
        <v>54875672.939999998</v>
      </c>
      <c r="I25" s="60">
        <f>3011287.27*1.03*1.2</f>
        <v>3721951.0657199998</v>
      </c>
      <c r="J25" s="61">
        <f t="shared" si="1"/>
        <v>58597624.005719997</v>
      </c>
      <c r="K25" s="83"/>
      <c r="L25" s="84">
        <v>13440777.10952037</v>
      </c>
      <c r="M25" s="85">
        <f t="shared" si="2"/>
        <v>13440777.10952037</v>
      </c>
    </row>
    <row r="26" spans="2:13" ht="39.9" customHeight="1" x14ac:dyDescent="0.3">
      <c r="B26" s="138" t="s">
        <v>40</v>
      </c>
      <c r="C26" s="110" t="s">
        <v>41</v>
      </c>
      <c r="D26" s="11" t="s">
        <v>42</v>
      </c>
      <c r="E26" s="160">
        <f>63929694.62*1.03*1.2</f>
        <v>79017102.550319999</v>
      </c>
      <c r="F26" s="160">
        <f>4523458.78*1.03*1.2</f>
        <v>5590995.0520800008</v>
      </c>
      <c r="G26" s="162">
        <f>E26+F26</f>
        <v>84608097.602400005</v>
      </c>
      <c r="H26" s="150">
        <v>49327205.909999996</v>
      </c>
      <c r="I26" s="150">
        <f>4523458.78*1.03*1.2</f>
        <v>5590995.0520800008</v>
      </c>
      <c r="J26" s="152">
        <f>H26+I26</f>
        <v>54918200.962079994</v>
      </c>
      <c r="K26" s="146"/>
      <c r="L26" s="146">
        <v>25176856.170000002</v>
      </c>
      <c r="M26" s="148">
        <f>K26+L26</f>
        <v>25176856.170000002</v>
      </c>
    </row>
    <row r="27" spans="2:13" ht="39.9" customHeight="1" thickBot="1" x14ac:dyDescent="0.35">
      <c r="B27" s="139"/>
      <c r="C27" s="111"/>
      <c r="D27" s="13" t="s">
        <v>43</v>
      </c>
      <c r="E27" s="161"/>
      <c r="F27" s="161"/>
      <c r="G27" s="163"/>
      <c r="H27" s="151"/>
      <c r="I27" s="151"/>
      <c r="J27" s="153"/>
      <c r="K27" s="147"/>
      <c r="L27" s="147"/>
      <c r="M27" s="149"/>
    </row>
    <row r="28" spans="2:13" ht="39.9" customHeight="1" thickBot="1" x14ac:dyDescent="0.35">
      <c r="B28" s="3" t="s">
        <v>78</v>
      </c>
      <c r="C28" s="5" t="s">
        <v>77</v>
      </c>
      <c r="D28" s="10" t="s">
        <v>44</v>
      </c>
      <c r="E28" s="71">
        <f>71447397.41*1.03*1.2</f>
        <v>88308983.198759988</v>
      </c>
      <c r="F28" s="72">
        <f>4862606.67*1.03*1.2</f>
        <v>6010181.8441199996</v>
      </c>
      <c r="G28" s="73">
        <f>E28+F28</f>
        <v>94319165.042879984</v>
      </c>
      <c r="H28" s="59">
        <v>72898829.450000003</v>
      </c>
      <c r="I28" s="60">
        <f>4862606.67*1.03*1.2</f>
        <v>6010181.8441199996</v>
      </c>
      <c r="J28" s="61">
        <f>H28+I28</f>
        <v>78909011.294119999</v>
      </c>
      <c r="K28" s="83"/>
      <c r="L28" s="84">
        <v>20506266.685228683</v>
      </c>
      <c r="M28" s="85">
        <f>K28+L28</f>
        <v>20506266.685228683</v>
      </c>
    </row>
    <row r="29" spans="2:13" ht="39.9" customHeight="1" thickBot="1" x14ac:dyDescent="0.35">
      <c r="B29" s="3" t="s">
        <v>57</v>
      </c>
      <c r="C29" s="5" t="s">
        <v>86</v>
      </c>
      <c r="D29" s="10" t="s">
        <v>45</v>
      </c>
      <c r="E29" s="71">
        <f>17623437.02*1.03*1.2</f>
        <v>21782568.156720001</v>
      </c>
      <c r="F29" s="72">
        <f>1483843.63*1.03*1.2</f>
        <v>1834030.7266799998</v>
      </c>
      <c r="G29" s="73">
        <f t="shared" ref="G29:G35" si="3">E29+F29</f>
        <v>23616598.883400001</v>
      </c>
      <c r="H29" s="59">
        <v>17945905.98</v>
      </c>
      <c r="I29" s="60">
        <f>1483843.63*1.03*1.2</f>
        <v>1834030.7266799998</v>
      </c>
      <c r="J29" s="61">
        <f t="shared" ref="J29:J35" si="4">H29+I29</f>
        <v>19779936.70668</v>
      </c>
      <c r="K29" s="83"/>
      <c r="L29" s="84">
        <v>6178927.7100485796</v>
      </c>
      <c r="M29" s="85">
        <f t="shared" ref="M29:M35" si="5">K29+L29</f>
        <v>6178927.7100485796</v>
      </c>
    </row>
    <row r="30" spans="2:13" ht="39.9" customHeight="1" thickBot="1" x14ac:dyDescent="0.35">
      <c r="B30" s="3" t="s">
        <v>46</v>
      </c>
      <c r="C30" s="5" t="s">
        <v>79</v>
      </c>
      <c r="D30" s="10" t="s">
        <v>47</v>
      </c>
      <c r="E30" s="71">
        <f>13022939.55*1.03*1.2</f>
        <v>16096353.2838</v>
      </c>
      <c r="F30" s="72">
        <f>1289171.25*1.03*1.2</f>
        <v>1593415.6649999998</v>
      </c>
      <c r="G30" s="73">
        <f t="shared" si="3"/>
        <v>17689768.948800001</v>
      </c>
      <c r="H30" s="59">
        <v>14962171.16</v>
      </c>
      <c r="I30" s="60">
        <f>1289171.25*1.03*1.2</f>
        <v>1593415.6649999998</v>
      </c>
      <c r="J30" s="61">
        <f t="shared" si="4"/>
        <v>16555586.824999999</v>
      </c>
      <c r="K30" s="83"/>
      <c r="L30" s="84">
        <v>5965974.7340064887</v>
      </c>
      <c r="M30" s="85">
        <f t="shared" si="5"/>
        <v>5965974.7340064887</v>
      </c>
    </row>
    <row r="31" spans="2:13" ht="39.9" customHeight="1" thickBot="1" x14ac:dyDescent="0.35">
      <c r="B31" s="3" t="s">
        <v>48</v>
      </c>
      <c r="C31" s="5" t="s">
        <v>80</v>
      </c>
      <c r="D31" s="10" t="s">
        <v>49</v>
      </c>
      <c r="E31" s="71">
        <f>211787394.01*1.03*1.2</f>
        <v>261769218.99636</v>
      </c>
      <c r="F31" s="72">
        <f>14634907.97*1.03*1.2</f>
        <v>18088746.250920001</v>
      </c>
      <c r="G31" s="73">
        <f t="shared" si="3"/>
        <v>279857965.24728</v>
      </c>
      <c r="H31" s="59">
        <v>168506924.09999999</v>
      </c>
      <c r="I31" s="60">
        <f>14634907.97*1.03*1.2</f>
        <v>18088746.250920001</v>
      </c>
      <c r="J31" s="61">
        <f t="shared" si="4"/>
        <v>186595670.35091999</v>
      </c>
      <c r="K31" s="83">
        <v>158405455.74000001</v>
      </c>
      <c r="L31" s="84">
        <v>50989183.609999999</v>
      </c>
      <c r="M31" s="85">
        <v>209394639.35000002</v>
      </c>
    </row>
    <row r="32" spans="2:13" ht="39.9" customHeight="1" thickBot="1" x14ac:dyDescent="0.35">
      <c r="B32" s="3" t="s">
        <v>50</v>
      </c>
      <c r="C32" s="5" t="s">
        <v>81</v>
      </c>
      <c r="D32" s="10" t="s">
        <v>51</v>
      </c>
      <c r="E32" s="71">
        <f>5562138.22*1.03*1.2</f>
        <v>6874802.8399200002</v>
      </c>
      <c r="F32" s="72">
        <f>2372402.55*1.03*1.2</f>
        <v>2932289.5517999995</v>
      </c>
      <c r="G32" s="73">
        <f t="shared" si="3"/>
        <v>9807092.3917200007</v>
      </c>
      <c r="H32" s="59">
        <v>14338288.560000001</v>
      </c>
      <c r="I32" s="60">
        <f>2372402.55*1.03*1.2</f>
        <v>2932289.5517999995</v>
      </c>
      <c r="J32" s="61">
        <f t="shared" si="4"/>
        <v>17270578.1118</v>
      </c>
      <c r="K32" s="83">
        <v>17074539.609999999</v>
      </c>
      <c r="L32" s="84">
        <v>7524725.7400000002</v>
      </c>
      <c r="M32" s="85">
        <f t="shared" si="5"/>
        <v>24599265.350000001</v>
      </c>
    </row>
    <row r="33" spans="1:16" ht="39.9" customHeight="1" thickBot="1" x14ac:dyDescent="0.35">
      <c r="B33" s="3" t="s">
        <v>52</v>
      </c>
      <c r="C33" s="5" t="s">
        <v>82</v>
      </c>
      <c r="D33" s="10" t="s">
        <v>53</v>
      </c>
      <c r="E33" s="71">
        <f>274898438.26*1.03*1.2</f>
        <v>339774469.68936002</v>
      </c>
      <c r="F33" s="72">
        <f>20403543.64*1.03*1.2</f>
        <v>25218779.939040001</v>
      </c>
      <c r="G33" s="73">
        <f t="shared" si="3"/>
        <v>364993249.62840003</v>
      </c>
      <c r="H33" s="59">
        <v>205032038.66999999</v>
      </c>
      <c r="I33" s="60">
        <f>20403543.64*1.03*1.2</f>
        <v>25218779.939040001</v>
      </c>
      <c r="J33" s="61">
        <f t="shared" si="4"/>
        <v>230250818.60903999</v>
      </c>
      <c r="K33" s="83"/>
      <c r="L33" s="84"/>
      <c r="M33" s="85"/>
    </row>
    <row r="34" spans="1:16" ht="39.9" customHeight="1" thickBot="1" x14ac:dyDescent="0.35">
      <c r="B34" s="44" t="s">
        <v>54</v>
      </c>
      <c r="C34" s="43" t="s">
        <v>83</v>
      </c>
      <c r="D34" s="39" t="s">
        <v>55</v>
      </c>
      <c r="E34" s="74">
        <f>2551658.72*1.03*1.2</f>
        <v>3153850.1779200002</v>
      </c>
      <c r="F34" s="67">
        <f>341952.23*1.03*1.2</f>
        <v>422652.95627999998</v>
      </c>
      <c r="G34" s="73">
        <f t="shared" si="3"/>
        <v>3576503.1342000002</v>
      </c>
      <c r="H34" s="62">
        <v>2936417.53</v>
      </c>
      <c r="I34" s="55">
        <f>341952.23*1.03*1.2</f>
        <v>422652.95627999998</v>
      </c>
      <c r="J34" s="61">
        <f t="shared" si="4"/>
        <v>3359070.4862799998</v>
      </c>
      <c r="K34" s="86"/>
      <c r="L34" s="79"/>
      <c r="M34" s="85">
        <f t="shared" si="5"/>
        <v>0</v>
      </c>
    </row>
    <row r="35" spans="1:16" ht="39.9" customHeight="1" thickBot="1" x14ac:dyDescent="0.35">
      <c r="A35" s="25"/>
      <c r="B35" s="3" t="s">
        <v>84</v>
      </c>
      <c r="C35" s="5" t="s">
        <v>85</v>
      </c>
      <c r="D35" s="10" t="s">
        <v>56</v>
      </c>
      <c r="E35" s="71">
        <f>12440633.08*1.03*1.2</f>
        <v>15376622.486879999</v>
      </c>
      <c r="F35" s="72">
        <f>8762467.39*1.03*1.2</f>
        <v>10830409.69404</v>
      </c>
      <c r="G35" s="73">
        <f t="shared" si="3"/>
        <v>26207032.180919997</v>
      </c>
      <c r="H35" s="59">
        <v>14131183.49</v>
      </c>
      <c r="I35" s="60">
        <f>8762467.39*1.03*1.2</f>
        <v>10830409.69404</v>
      </c>
      <c r="J35" s="61">
        <f t="shared" si="4"/>
        <v>24961593.184040003</v>
      </c>
      <c r="K35" s="83"/>
      <c r="L35" s="84"/>
      <c r="M35" s="85">
        <f t="shared" si="5"/>
        <v>0</v>
      </c>
      <c r="N35" s="34"/>
      <c r="O35" s="34"/>
      <c r="P35" s="34"/>
    </row>
    <row r="36" spans="1:16" s="20" customFormat="1" ht="30" customHeight="1" x14ac:dyDescent="0.25">
      <c r="A36" s="23"/>
      <c r="B36" s="123" t="s">
        <v>119</v>
      </c>
      <c r="C36" s="124"/>
      <c r="D36" s="125"/>
      <c r="E36" s="135">
        <f>G5+G7+G8+G11+G12+G14+G16+G18+G19+G20+G21+G22+G23+G24+G25+G26+G28+G29+G30+G31+G32+G33+G34+G35</f>
        <v>1762540445.7560399</v>
      </c>
      <c r="F36" s="136"/>
      <c r="G36" s="137"/>
      <c r="H36" s="135">
        <f>J5+J7+J8+J11+J12+J14+J16+J18+J19+J20+J21+J22+J23+J24+J25+J26+J28+J29+J30+J31+J32+J33+J34+J35</f>
        <v>1374968875.4832001</v>
      </c>
      <c r="I36" s="136"/>
      <c r="J36" s="137"/>
      <c r="K36" s="135">
        <f>M5+M7+M8+M11+M12+M14+M16+M18+M19+M20+M21+M22+M23+M24+M25+M26+M28+M29+M30+M31+M32+M33+M34+M35</f>
        <v>2990044333.2584729</v>
      </c>
      <c r="L36" s="136"/>
      <c r="M36" s="137"/>
    </row>
  </sheetData>
  <autoFilter ref="B3:M36" xr:uid="{4D2B5F24-2CE5-47F6-8569-76472EFF1064}"/>
  <mergeCells count="63">
    <mergeCell ref="B1:G1"/>
    <mergeCell ref="B8:B10"/>
    <mergeCell ref="C8:C10"/>
    <mergeCell ref="E8:E10"/>
    <mergeCell ref="F8:F10"/>
    <mergeCell ref="G8:G10"/>
    <mergeCell ref="B14:B15"/>
    <mergeCell ref="C14:C15"/>
    <mergeCell ref="E14:E15"/>
    <mergeCell ref="F14:F15"/>
    <mergeCell ref="G14:G15"/>
    <mergeCell ref="B12:B13"/>
    <mergeCell ref="C12:C13"/>
    <mergeCell ref="E12:E13"/>
    <mergeCell ref="F12:F13"/>
    <mergeCell ref="G12:G13"/>
    <mergeCell ref="B36:D36"/>
    <mergeCell ref="E36:G36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I16:I17"/>
    <mergeCell ref="J16:J17"/>
    <mergeCell ref="E2:G2"/>
    <mergeCell ref="H2:J2"/>
    <mergeCell ref="H8:H10"/>
    <mergeCell ref="I8:I10"/>
    <mergeCell ref="J8:J10"/>
    <mergeCell ref="H12:H13"/>
    <mergeCell ref="H26:H27"/>
    <mergeCell ref="I26:I27"/>
    <mergeCell ref="J26:J27"/>
    <mergeCell ref="H36:J36"/>
    <mergeCell ref="K2:M2"/>
    <mergeCell ref="K8:K10"/>
    <mergeCell ref="L8:L10"/>
    <mergeCell ref="M8:M10"/>
    <mergeCell ref="K12:K13"/>
    <mergeCell ref="L12:L13"/>
    <mergeCell ref="I12:I13"/>
    <mergeCell ref="J12:J13"/>
    <mergeCell ref="H14:H15"/>
    <mergeCell ref="I14:I15"/>
    <mergeCell ref="J14:J15"/>
    <mergeCell ref="H16:H17"/>
    <mergeCell ref="K26:K27"/>
    <mergeCell ref="L26:L27"/>
    <mergeCell ref="M26:M27"/>
    <mergeCell ref="K36:M36"/>
    <mergeCell ref="M12:M13"/>
    <mergeCell ref="K14:K15"/>
    <mergeCell ref="L14:L15"/>
    <mergeCell ref="M14:M15"/>
    <mergeCell ref="K16:K17"/>
    <mergeCell ref="L16:L17"/>
    <mergeCell ref="M16:M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кратко</vt:lpstr>
      <vt:lpstr>прил. 7.2</vt:lpstr>
      <vt:lpstr>сравнит. с подрядчиками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2025-05-21T07:04:59Z</dcterms:created>
  <dcterms:modified xsi:type="dcterms:W3CDTF">2025-05-29T07:51:54Z</dcterms:modified>
</cp:coreProperties>
</file>