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Большая электрика\"/>
    </mc:Choice>
  </mc:AlternateContent>
  <bookViews>
    <workbookView xWindow="0" yWindow="0" windowWidth="18480" windowHeight="1530" activeTab="2"/>
  </bookViews>
  <sheets>
    <sheet name="кратко" sheetId="3" r:id="rId1"/>
    <sheet name="прил. 7.2" sheetId="2" r:id="rId2"/>
    <sheet name="сравнит. с подрядчиками" sheetId="4" r:id="rId3"/>
  </sheets>
  <definedNames>
    <definedName name="_xlnm._FilterDatabase" localSheetId="2" hidden="1">'сравнит. с подрядчиками'!$B$3:$M$37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4" l="1"/>
  <c r="F40" i="4"/>
  <c r="J36" i="4"/>
  <c r="I36" i="4"/>
  <c r="H36" i="4"/>
  <c r="G36" i="4"/>
  <c r="F36" i="4"/>
  <c r="E36" i="4"/>
  <c r="M31" i="4" l="1"/>
  <c r="M8" i="4"/>
  <c r="M36" i="4"/>
  <c r="K37" i="4"/>
  <c r="K36" i="4"/>
  <c r="K8" i="4"/>
  <c r="K32" i="4"/>
  <c r="K31" i="4"/>
  <c r="L36" i="4"/>
  <c r="Q7" i="4" l="1"/>
  <c r="Q8" i="4"/>
  <c r="Q11" i="4"/>
  <c r="Q12" i="4"/>
  <c r="Q14" i="4"/>
  <c r="Q16" i="4"/>
  <c r="Q18" i="4"/>
  <c r="Q19" i="4"/>
  <c r="Q20" i="4"/>
  <c r="Q21" i="4"/>
  <c r="Q22" i="4"/>
  <c r="Q23" i="4"/>
  <c r="Q24" i="4"/>
  <c r="Q25" i="4"/>
  <c r="Q26" i="4"/>
  <c r="Q28" i="4"/>
  <c r="Q29" i="4"/>
  <c r="Q30" i="4"/>
  <c r="Q31" i="4"/>
  <c r="Q32" i="4"/>
  <c r="Q33" i="4"/>
  <c r="Q34" i="4"/>
  <c r="Q35" i="4"/>
  <c r="Q5" i="4"/>
  <c r="P6" i="4"/>
  <c r="P7" i="4"/>
  <c r="P8" i="4"/>
  <c r="P11" i="4"/>
  <c r="P12" i="4"/>
  <c r="P14" i="4"/>
  <c r="P16" i="4"/>
  <c r="P18" i="4"/>
  <c r="P19" i="4"/>
  <c r="P20" i="4"/>
  <c r="P21" i="4"/>
  <c r="P22" i="4"/>
  <c r="P23" i="4"/>
  <c r="P24" i="4"/>
  <c r="P25" i="4"/>
  <c r="P26" i="4"/>
  <c r="P28" i="4"/>
  <c r="P29" i="4"/>
  <c r="P30" i="4"/>
  <c r="P31" i="4"/>
  <c r="P32" i="4"/>
  <c r="P33" i="4"/>
  <c r="P34" i="4"/>
  <c r="P35" i="4"/>
  <c r="P5" i="4"/>
  <c r="P37" i="4" s="1"/>
  <c r="K35" i="4" l="1"/>
  <c r="K34" i="4"/>
  <c r="K33" i="4"/>
  <c r="K30" i="4"/>
  <c r="K29" i="4"/>
  <c r="K28" i="4"/>
  <c r="K26" i="4"/>
  <c r="K25" i="4"/>
  <c r="K24" i="4"/>
  <c r="K23" i="4"/>
  <c r="K22" i="4"/>
  <c r="K21" i="4"/>
  <c r="K20" i="4"/>
  <c r="K19" i="4"/>
  <c r="K18" i="4"/>
  <c r="K16" i="4"/>
  <c r="K14" i="4"/>
  <c r="K12" i="4"/>
  <c r="K11" i="4"/>
  <c r="K7" i="4"/>
  <c r="M33" i="4" l="1"/>
  <c r="M23" i="4"/>
  <c r="M20" i="4"/>
  <c r="M18" i="4"/>
  <c r="M16" i="4"/>
  <c r="M12" i="4"/>
  <c r="J34" i="4"/>
  <c r="J32" i="4"/>
  <c r="J30" i="4"/>
  <c r="J29" i="4"/>
  <c r="J26" i="4"/>
  <c r="J25" i="4"/>
  <c r="J22" i="4"/>
  <c r="J23" i="4"/>
  <c r="J21" i="4"/>
  <c r="J11" i="4"/>
  <c r="J7" i="4"/>
  <c r="J8" i="4"/>
  <c r="M35" i="4"/>
  <c r="M34" i="4"/>
  <c r="M30" i="4"/>
  <c r="M29" i="4"/>
  <c r="M28" i="4"/>
  <c r="M26" i="4"/>
  <c r="M25" i="4"/>
  <c r="M24" i="4"/>
  <c r="M22" i="4"/>
  <c r="M21" i="4"/>
  <c r="M19" i="4"/>
  <c r="M14" i="4"/>
  <c r="M11" i="4"/>
  <c r="M7" i="4"/>
  <c r="M5" i="4"/>
  <c r="J35" i="4"/>
  <c r="I35" i="4"/>
  <c r="I34" i="4"/>
  <c r="I33" i="4"/>
  <c r="J33" i="4"/>
  <c r="I32" i="4"/>
  <c r="I31" i="4"/>
  <c r="J31" i="4"/>
  <c r="I30" i="4"/>
  <c r="I29" i="4"/>
  <c r="I28" i="4"/>
  <c r="J28" i="4"/>
  <c r="I26" i="4"/>
  <c r="I25" i="4"/>
  <c r="I24" i="4"/>
  <c r="I23" i="4"/>
  <c r="I22" i="4"/>
  <c r="I21" i="4"/>
  <c r="I20" i="4"/>
  <c r="I19" i="4"/>
  <c r="I18" i="4"/>
  <c r="J18" i="4"/>
  <c r="I16" i="4"/>
  <c r="J16" i="4"/>
  <c r="I14" i="4"/>
  <c r="J14" i="4"/>
  <c r="I12" i="4"/>
  <c r="I11" i="4"/>
  <c r="I8" i="4"/>
  <c r="I7" i="4"/>
  <c r="I5" i="4"/>
  <c r="J5" i="4"/>
  <c r="M32" i="4" l="1"/>
  <c r="J24" i="4"/>
  <c r="J20" i="4"/>
  <c r="J19" i="4"/>
  <c r="J12" i="4"/>
  <c r="H37" i="4" l="1"/>
  <c r="F35" i="4"/>
  <c r="F34" i="4"/>
  <c r="F33" i="4"/>
  <c r="F32" i="4"/>
  <c r="F31" i="4"/>
  <c r="F30" i="4"/>
  <c r="F29" i="4"/>
  <c r="F28" i="4"/>
  <c r="G28" i="4" s="1"/>
  <c r="F26" i="4"/>
  <c r="F25" i="4"/>
  <c r="F24" i="4"/>
  <c r="F23" i="4"/>
  <c r="F22" i="4"/>
  <c r="G22" i="4" s="1"/>
  <c r="F21" i="4"/>
  <c r="G21" i="4" s="1"/>
  <c r="F20" i="4"/>
  <c r="F19" i="4"/>
  <c r="F18" i="4"/>
  <c r="F16" i="4"/>
  <c r="F14" i="4"/>
  <c r="F12" i="4"/>
  <c r="G12" i="4" s="1"/>
  <c r="F11" i="4"/>
  <c r="G11" i="4" s="1"/>
  <c r="F8" i="4"/>
  <c r="G8" i="4" s="1"/>
  <c r="F7" i="4"/>
  <c r="G7" i="4" s="1"/>
  <c r="E35" i="4"/>
  <c r="E34" i="4"/>
  <c r="E33" i="4"/>
  <c r="E32" i="4"/>
  <c r="E31" i="4"/>
  <c r="E30" i="4"/>
  <c r="E29" i="4"/>
  <c r="E28" i="4"/>
  <c r="E26" i="4"/>
  <c r="E25" i="4"/>
  <c r="E24" i="4"/>
  <c r="E23" i="4"/>
  <c r="E22" i="4"/>
  <c r="E21" i="4"/>
  <c r="E20" i="4"/>
  <c r="E19" i="4"/>
  <c r="E18" i="4"/>
  <c r="E16" i="4"/>
  <c r="E14" i="4"/>
  <c r="G14" i="4" s="1"/>
  <c r="E12" i="4"/>
  <c r="E11" i="4"/>
  <c r="E8" i="4"/>
  <c r="E7" i="4"/>
  <c r="F5" i="4"/>
  <c r="E5" i="4"/>
  <c r="G35" i="4"/>
  <c r="G34" i="4"/>
  <c r="G33" i="4"/>
  <c r="G32" i="4"/>
  <c r="G31" i="4"/>
  <c r="G29" i="4"/>
  <c r="G29" i="2"/>
  <c r="G30" i="2"/>
  <c r="G31" i="2"/>
  <c r="G32" i="2"/>
  <c r="G33" i="2"/>
  <c r="G34" i="2"/>
  <c r="G35" i="2"/>
  <c r="G28" i="2"/>
  <c r="G26" i="2"/>
  <c r="G25" i="2"/>
  <c r="G20" i="2"/>
  <c r="G21" i="2"/>
  <c r="G22" i="2"/>
  <c r="G23" i="2"/>
  <c r="G24" i="2"/>
  <c r="G19" i="2"/>
  <c r="G18" i="2"/>
  <c r="G16" i="2"/>
  <c r="G14" i="2"/>
  <c r="G12" i="2"/>
  <c r="G11" i="2"/>
  <c r="G8" i="2"/>
  <c r="G7" i="2"/>
  <c r="G5" i="2"/>
  <c r="F6" i="3"/>
  <c r="E6" i="3"/>
  <c r="E5" i="3"/>
  <c r="G5" i="3" s="1"/>
  <c r="G16" i="4" l="1"/>
  <c r="G20" i="4"/>
  <c r="G18" i="4"/>
  <c r="G23" i="4"/>
  <c r="G19" i="4"/>
  <c r="G5" i="4"/>
  <c r="G25" i="4"/>
  <c r="G30" i="4"/>
  <c r="G26" i="4"/>
  <c r="G24" i="4"/>
  <c r="G6" i="3"/>
  <c r="E37" i="4" l="1"/>
  <c r="G24" i="3" s="1" a="1"/>
  <c r="G24" i="3" s="1"/>
  <c r="G25" i="3" s="1"/>
  <c r="F4" i="3"/>
  <c r="E4" i="3"/>
  <c r="G4" i="3" l="1"/>
  <c r="G21" i="3" s="1"/>
  <c r="H35" i="2" l="1"/>
  <c r="I35" i="2"/>
  <c r="J35" i="2" l="1"/>
  <c r="E37" i="2" l="1"/>
  <c r="E38" i="2" l="1"/>
  <c r="E39" i="2" s="1"/>
  <c r="E40" i="2" s="1"/>
  <c r="G22" i="3" s="1"/>
  <c r="G23" i="3" s="1"/>
  <c r="I24" i="3"/>
  <c r="H24" i="3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<sst xmlns="http://schemas.openxmlformats.org/spreadsheetml/2006/main" count="292" uniqueCount="133">
  <si>
    <t>Материалы, руб без НДС</t>
  </si>
  <si>
    <t>Работы, руб без НДС</t>
  </si>
  <si>
    <t>Итого, руб без НДС</t>
  </si>
  <si>
    <t>КОММЕРЧЕСКОЕ ПРЕДЛОЖЕНИЕ</t>
  </si>
  <si>
    <t>Наменование раздела</t>
  </si>
  <si>
    <t>шифр рабочей документции</t>
  </si>
  <si>
    <t>Здание/сооружение отдельно</t>
  </si>
  <si>
    <t>Электроснабжения основного технологического оборудования</t>
  </si>
  <si>
    <t>Электроснабжения основного технологического оборудования терминала по перевалке минеральных удобрений. Работы выполняются согласно конструкторской документации. Вспомогательные материалы поставляются силами Подрядчика в объёме 100%</t>
  </si>
  <si>
    <t>Конструкторская документация RHM в соответсвии с приложением №1 к Техническому заданию</t>
  </si>
  <si>
    <t>—</t>
  </si>
  <si>
    <t> Электроснабжение и освещение зданий и сооружений</t>
  </si>
  <si>
    <t>1. 1632-2021-00-ЭС1.СУБ. Внутриплощадочные сети электроснабжения. Система бесперебойного гарантированного электроснабжения</t>
  </si>
  <si>
    <t>00-ЭС1.СУБ</t>
  </si>
  <si>
    <t>2. 1632-2021-1.1, 1.2, 2.1.0-ЭОМ. Станция разгрузки вагонов. Трансбордер. Тоннель. Силовое электрооборудование. Электрическое освещение (внутреннее)</t>
  </si>
  <si>
    <t>2.1.0-ЭОМ</t>
  </si>
  <si>
    <t>1.1-ЭОМ</t>
  </si>
  <si>
    <t>1.2-ЭОМ</t>
  </si>
  <si>
    <t xml:space="preserve">3. 1632-2021-2.1.1-ЭОМ. Конвейерная галерея №1. Силовое электрооборудование. Электрическое освещение (внутреннее) </t>
  </si>
  <si>
    <t>2.1.1-ЭОМ</t>
  </si>
  <si>
    <t>4. 1632-2021-2.1.2, 2.1.7-ЭОМ1. Конвейерная галерея №2 и конвейерная галерея №7. Силовое электрооборудование. Электрическое освещение (внутреннее) в осях 1-7</t>
  </si>
  <si>
    <t>2.1.7-ЭОМ1</t>
  </si>
  <si>
    <t>2.1.2-ЭОМ1</t>
  </si>
  <si>
    <t>5. 1632-2021-2.1.2, 2.1.7-ЭОМ2. Конвейерная галерея №2 и конвейерная галерея №7. Силовое электрооборудование. Электрическое освещение (внутреннее) в осях 8-14</t>
  </si>
  <si>
    <t>2.1.7-ЭОМ2</t>
  </si>
  <si>
    <t>2.1.2-ЭОМ2</t>
  </si>
  <si>
    <t>6. 1632-2021-2.1.2, 2.1.7-ЭОМ3. Конвейерная галерея №2 и конвейерная галерея №7. Силовое электрооборудование. Электрическое освещение (внутреннее) в осях 15-23</t>
  </si>
  <si>
    <t>2.1.7-ЭОМ3</t>
  </si>
  <si>
    <t>2.1.2-ЭОМ3</t>
  </si>
  <si>
    <t>2.1.3-ЭОМ</t>
  </si>
  <si>
    <t>2.1.4-ЭОМ</t>
  </si>
  <si>
    <t>2.1.5-ЭОМ</t>
  </si>
  <si>
    <t>2.1.11-ЭОМ</t>
  </si>
  <si>
    <t>2.1.12-ЭОМ</t>
  </si>
  <si>
    <t>12. 1632-2021-2.2.1-ЭОМ . Пересыпная станция № 1. Силовое электрооборудование. Электрическое освещение (внутреннее)</t>
  </si>
  <si>
    <t xml:space="preserve">2.2.1-ЭОМ </t>
  </si>
  <si>
    <t>13. 1632-2021-2.2.2-ЭОМ. Пересыпная станция № 2. Силовое электрооборудование. Электрическое освещение (внутреннее)</t>
  </si>
  <si>
    <t>2.2.2-ЭОМ</t>
  </si>
  <si>
    <t>14. 1632-2021-2.2.3-ЭОМ. Пересыпная станция № 3. Силовое электрооборудование. Электрическое освещение (внутреннее)</t>
  </si>
  <si>
    <t>2.2.3-ЭОМ</t>
  </si>
  <si>
    <t>15. 1632-2021-2.2.4, 2.1.6-ЭОМ. Пересыпная станция №4, конвейерная галерея №6. Силовое электрооборудование. Электрическое освещение (внутреннее)</t>
  </si>
  <si>
    <t>1632-2021-2.2.4, 2.1.6-ЭОМ</t>
  </si>
  <si>
    <t>2.2.4-ЭОМ</t>
  </si>
  <si>
    <t>2.1.6-ЭОМ</t>
  </si>
  <si>
    <t>2.2.5-ЭОМ</t>
  </si>
  <si>
    <t>2.2.6-ЭОМ</t>
  </si>
  <si>
    <t>18. 1632-2021-2.2.7-ЭОМ. Приводная станция. Силовое электрооборудование. Электрическое освещение (внутреннее)</t>
  </si>
  <si>
    <t>2.2.7-ЭОМ</t>
  </si>
  <si>
    <t>19. 1632-2021-3.1-ЭОМ. Крытый склад № 1. Силовое оборудование. Электрическое освещение (внутреннее)</t>
  </si>
  <si>
    <t>3.1-ЭОМ</t>
  </si>
  <si>
    <t xml:space="preserve">20. 1632-2021-3.1-СЭО. Крытый склад № 1. Система электрического обогрева водостоков </t>
  </si>
  <si>
    <t>3.1-СЭО</t>
  </si>
  <si>
    <t>21. 1632-2021-3.2-ЭОМ. Крытый склад № 2. Силовое оборудование. Электрическое освещение (внутреннее)</t>
  </si>
  <si>
    <t>3.2-ЭОМ</t>
  </si>
  <si>
    <t xml:space="preserve">22. 1632-2021-3.4-ЭОМ. Ангар для хранения ТМЦ. Силовое электрооборудование. Электрическое освещение (внутреннее) </t>
  </si>
  <si>
    <t>3.4-ЭОМ</t>
  </si>
  <si>
    <t>8.4-ЭОМ</t>
  </si>
  <si>
    <t>17. 1632-2021-2.2.6-ЭОМ. Пересыпная станция №6.Силовое электрооборудование. Электрическое освещение (внутреннее)</t>
  </si>
  <si>
    <t>7. 1632-2021-2.1.3-ЭОМ. Конвейерная галерея №3.Силовое электрооборудование. Электрическое освещение (внутреннее)</t>
  </si>
  <si>
    <t>1632-2021-2.1.3-ЭОМ</t>
  </si>
  <si>
    <t>1632-2021-00-ЭС1.СУБ</t>
  </si>
  <si>
    <t>1632-2021-2.1.1
-ЭОМ</t>
  </si>
  <si>
    <t>1632-2021-2.1.2, 
2.1.7-ЭОМ1</t>
  </si>
  <si>
    <t>1632-2021-1.1,1.2, 2.1.0-ЭОМ</t>
  </si>
  <si>
    <t>1632-2021-2.1.2, 2.1.7-ЭОМ2</t>
  </si>
  <si>
    <t>1632-2021-2.1.2, 2.1.7-ЭОМ3</t>
  </si>
  <si>
    <t>1632-2021-2.1.4-ЭОМ</t>
  </si>
  <si>
    <t>8. 1632-2021-2.1.4-ЭОМ. Конвейерная галерея №4.Силовое электрооборудование. Электрическое освещение (внутреннее)</t>
  </si>
  <si>
    <t>1632-2021-2.1.5-ЭОМ</t>
  </si>
  <si>
    <t>9. 1632-2021-2.1.5-ЭОМ. Конвейерная галерея №5.Силовое электрооборудование. Электрическое освещение (внутреннее)</t>
  </si>
  <si>
    <t>1632-2021-2.1.11-ЭОМ</t>
  </si>
  <si>
    <t>10. 1632-2021-2.1.11-ЭОМ. Конвейерная галерея №11.Силовое электрооборудование. Электрическое освещение (внутреннее)</t>
  </si>
  <si>
    <t>1632-2021-2.1.12-ЭОМ</t>
  </si>
  <si>
    <t>11. 1632-2021-2.1.12-ЭОМ. Конвейерная галерея №12.Силовое электрооборудование. Электрическое освещение (внутреннее)</t>
  </si>
  <si>
    <t xml:space="preserve">1632-2021-2.2.1-ЭОМ </t>
  </si>
  <si>
    <t>1632-2021-2.2.2-ЭОМ</t>
  </si>
  <si>
    <t>1632-2021-2.2.3-ЭОМ</t>
  </si>
  <si>
    <t>1632-2021-2.2.5-ЭОМ</t>
  </si>
  <si>
    <t>16. 1632-2021-2.2.5-ЭОМ. Пересыпная станция №5.Силовое электрооборудование. Электрическое освещение (внутреннее)</t>
  </si>
  <si>
    <t>1632-2021-2.2.7-ЭОМ</t>
  </si>
  <si>
    <t>1632-2021-3.1-ЭОМ</t>
  </si>
  <si>
    <t>1632-2021-3.1-СЭО</t>
  </si>
  <si>
    <t>1632-2021-3.2-ЭОМ</t>
  </si>
  <si>
    <t>1632-2021-3.4-ЭОМ</t>
  </si>
  <si>
    <t xml:space="preserve">23. 1632-2021-8.4-ЭОМ. Здание КПП со спецпроходной.Силовое электрооборудование.Электрическое освещение (внутреннее) </t>
  </si>
  <si>
    <t>1632-2021-8.4-ЭОМ</t>
  </si>
  <si>
    <t>1632-2021-2.2.6-ЭОМ</t>
  </si>
  <si>
    <t>Срок выполнения работ</t>
  </si>
  <si>
    <t>Гарантия на выполненные работы</t>
  </si>
  <si>
    <t>Контактное лицо (ФИО, должность, телефон, e-mail)</t>
  </si>
  <si>
    <t>Прочее</t>
  </si>
  <si>
    <t>Непредвиденные затраты 3%</t>
  </si>
  <si>
    <t>Итоговая стоимость с учетом непредвиденных затрат, руб. без НДС</t>
  </si>
  <si>
    <t>Итоговая стоимость, руб. с НДС</t>
  </si>
  <si>
    <t>Договорной коэффициент</t>
  </si>
  <si>
    <t>Определяется согласно п.12.2 ТЗ при согласовании итогового сметного расчета с Заказчиком и фиксируется на весь период действия договора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</si>
  <si>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</si>
  <si>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Объем работ</t>
  </si>
  <si>
    <t>Порядок ценообразования</t>
  </si>
  <si>
    <t>Авансирование</t>
  </si>
  <si>
    <t>Условия оплаты</t>
  </si>
  <si>
    <t>Согласие с условиями договора</t>
  </si>
  <si>
    <t>Согласны с условиями проекта договора, приложенного к документации о закупке</t>
  </si>
  <si>
    <t>Итоговая стоимость, Руб. без НДС</t>
  </si>
  <si>
    <r>
      <t xml:space="preserve">__________% + БГ
</t>
    </r>
    <r>
      <rPr>
        <sz val="11"/>
        <color rgb="FFFF0000"/>
        <rFont val="Calibri"/>
        <family val="2"/>
        <charset val="204"/>
        <scheme val="minor"/>
      </rPr>
      <t xml:space="preserve"> (Участником указывается % аванса и согласие предоставления банковской гарантии, или встречные условия)</t>
    </r>
  </si>
  <si>
    <r>
      <t xml:space="preserve">Применение методики ценообразования, индексов, коэффициентов и т.д. в соответствии с п. 12.2 ТЗ *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</si>
  <si>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r>
      <t xml:space="preserve">в соответствии п. 9.1 ТЗ </t>
    </r>
    <r>
      <rPr>
        <sz val="11"/>
        <color rgb="FFFF0000"/>
        <rFont val="Calibri"/>
        <family val="2"/>
        <charset val="204"/>
        <scheme val="minor"/>
      </rPr>
      <t>приложить график производства работ</t>
    </r>
  </si>
  <si>
    <t>Указывается при необходимости</t>
  </si>
  <si>
    <r>
      <t xml:space="preserve">В соответствии с разделом 4 Договора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</si>
  <si>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r>
      <t xml:space="preserve">Гарантийный срок на результат работ составляет 36 месяцев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</si>
  <si>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t> Электроснабжение и освещение зданий и сооружений(23 сметы)</t>
  </si>
  <si>
    <t>со всеми накрутками!!!</t>
  </si>
  <si>
    <t>Работы, руб с  НДС</t>
  </si>
  <si>
    <t>Итого, руб с НДС</t>
  </si>
  <si>
    <t>Материалы,оборудование, руб с НДС</t>
  </si>
  <si>
    <t>Электроснабжение основного технологического оборудования(26 смет)</t>
  </si>
  <si>
    <t>-</t>
  </si>
  <si>
    <t>Материалы, руб с НДС</t>
  </si>
  <si>
    <t>Работы, руб с НДС</t>
  </si>
  <si>
    <t>Итоговая стоимость, Руб. сз НДС</t>
  </si>
  <si>
    <t xml:space="preserve">Материалы, работа-смета </t>
  </si>
  <si>
    <t>Материалы, работа-подрядчики</t>
  </si>
  <si>
    <t>ООО «СЗЭУС»</t>
  </si>
  <si>
    <t>ч1</t>
  </si>
  <si>
    <t>ч.5</t>
  </si>
  <si>
    <t>ч.2</t>
  </si>
  <si>
    <t>ч.4</t>
  </si>
  <si>
    <t>"Сети инжиниринг"</t>
  </si>
  <si>
    <t>ч.3</t>
  </si>
  <si>
    <t>ХСК</t>
  </si>
  <si>
    <t>Материалы-прайс</t>
  </si>
  <si>
    <t>Экономия на материалах</t>
  </si>
  <si>
    <t>Удорожание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</si>
</sst>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2" fillId="0" borderId="0" xfId="0" applyFont="1"/>
    <xf numFmtId="0" fontId="1" fillId="3" borderId="1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3" fontId="1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4" borderId="8" xfId="0" quotePrefix="1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0" fillId="0" borderId="21" xfId="0" applyBorder="1"/>
    <xf numFmtId="0" fontId="0" fillId="4" borderId="6" xfId="0" applyFill="1" applyBorder="1"/>
    <xf numFmtId="0" fontId="10" fillId="4" borderId="9" xfId="0" applyFont="1" applyFill="1" applyBorder="1" applyAlignment="1">
      <alignment horizontal="center" vertical="center"/>
    </xf>
    <xf numFmtId="3" fontId="0" fillId="0" borderId="0" xfId="0" applyNumberFormat="1"/>
    <xf numFmtId="0" fontId="7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3" fillId="3" borderId="14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6" fillId="3" borderId="3" xfId="0" applyNumberFormat="1" applyFont="1" applyFill="1" applyBorder="1" applyAlignment="1">
      <alignment horizontal="center" vertical="center"/>
    </xf>
    <xf numFmtId="4" fontId="13" fillId="0" borderId="0" xfId="0" applyNumberFormat="1" applyFont="1" applyAlignment="1">
      <alignment horizont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4" fontId="1" fillId="3" borderId="5" xfId="0" applyNumberFormat="1" applyFont="1" applyFill="1" applyBorder="1" applyAlignment="1">
      <alignment horizontal="center" vertical="center"/>
    </xf>
    <xf numFmtId="4" fontId="6" fillId="3" borderId="3" xfId="0" applyNumberFormat="1" applyFont="1" applyFill="1" applyBorder="1" applyAlignment="1">
      <alignment horizontal="center" vertical="center"/>
    </xf>
    <xf numFmtId="4" fontId="5" fillId="3" borderId="3" xfId="0" applyNumberFormat="1" applyFont="1" applyFill="1" applyBorder="1" applyAlignment="1">
      <alignment horizontal="center" vertical="center"/>
    </xf>
    <xf numFmtId="4" fontId="1" fillId="3" borderId="3" xfId="0" applyNumberFormat="1" applyFont="1" applyFill="1" applyBorder="1" applyAlignment="1">
      <alignment horizontal="center" vertical="center"/>
    </xf>
    <xf numFmtId="4" fontId="5" fillId="4" borderId="3" xfId="0" applyNumberFormat="1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12" fillId="3" borderId="7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6" fillId="0" borderId="10" xfId="0" applyFont="1" applyBorder="1" applyAlignment="1">
      <alignment horizontal="left" vertical="center" wrapText="1"/>
    </xf>
    <xf numFmtId="0" fontId="0" fillId="0" borderId="2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2" fillId="5" borderId="26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5" fillId="3" borderId="16" xfId="0" applyNumberFormat="1" applyFont="1" applyFill="1" applyBorder="1" applyAlignment="1">
      <alignment horizontal="center" vertical="center"/>
    </xf>
    <xf numFmtId="4" fontId="5" fillId="3" borderId="25" xfId="0" applyNumberFormat="1" applyFont="1" applyFill="1" applyBorder="1" applyAlignment="1">
      <alignment horizontal="center" vertical="center"/>
    </xf>
    <xf numFmtId="4" fontId="5" fillId="3" borderId="11" xfId="0" applyNumberFormat="1" applyFont="1" applyFill="1" applyBorder="1" applyAlignment="1">
      <alignment horizontal="center" vertical="center"/>
    </xf>
    <xf numFmtId="4" fontId="5" fillId="3" borderId="12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3" fontId="12" fillId="3" borderId="28" xfId="0" applyNumberFormat="1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0" fillId="5" borderId="17" xfId="0" applyFill="1" applyBorder="1" applyAlignment="1">
      <alignment horizontal="left" wrapText="1"/>
    </xf>
    <xf numFmtId="0" fontId="0" fillId="5" borderId="18" xfId="0" applyFill="1" applyBorder="1" applyAlignment="1">
      <alignment horizontal="left" wrapText="1"/>
    </xf>
    <xf numFmtId="0" fontId="0" fillId="5" borderId="19" xfId="0" applyFill="1" applyBorder="1" applyAlignment="1">
      <alignment horizontal="left" wrapText="1"/>
    </xf>
    <xf numFmtId="4" fontId="14" fillId="4" borderId="17" xfId="0" applyNumberFormat="1" applyFont="1" applyFill="1" applyBorder="1" applyAlignment="1">
      <alignment horizontal="center" vertical="center"/>
    </xf>
    <xf numFmtId="4" fontId="14" fillId="4" borderId="18" xfId="0" applyNumberFormat="1" applyFont="1" applyFill="1" applyBorder="1" applyAlignment="1">
      <alignment horizontal="center" vertical="center"/>
    </xf>
    <xf numFmtId="4" fontId="14" fillId="4" borderId="19" xfId="0" applyNumberFormat="1" applyFont="1" applyFill="1" applyBorder="1" applyAlignment="1">
      <alignment horizontal="center" vertical="center"/>
    </xf>
    <xf numFmtId="4" fontId="14" fillId="0" borderId="17" xfId="0" applyNumberFormat="1" applyFont="1" applyBorder="1" applyAlignment="1">
      <alignment horizontal="center" vertical="center"/>
    </xf>
    <xf numFmtId="4" fontId="14" fillId="0" borderId="18" xfId="0" applyNumberFormat="1" applyFont="1" applyBorder="1" applyAlignment="1">
      <alignment horizontal="center" vertical="center"/>
    </xf>
    <xf numFmtId="4" fontId="14" fillId="0" borderId="19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4" fontId="5" fillId="3" borderId="14" xfId="0" applyNumberFormat="1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center" vertical="center"/>
    </xf>
    <xf numFmtId="4" fontId="5" fillId="4" borderId="11" xfId="0" applyNumberFormat="1" applyFont="1" applyFill="1" applyBorder="1" applyAlignment="1">
      <alignment horizontal="center" vertical="center"/>
    </xf>
    <xf numFmtId="4" fontId="5" fillId="4" borderId="5" xfId="0" applyNumberFormat="1" applyFont="1" applyFill="1" applyBorder="1" applyAlignment="1">
      <alignment horizontal="center" vertical="center"/>
    </xf>
    <xf numFmtId="4" fontId="5" fillId="4" borderId="12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4" fontId="3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34" xfId="0" applyBorder="1"/>
    <xf numFmtId="4" fontId="3" fillId="0" borderId="0" xfId="0" applyNumberFormat="1" applyFont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10" fillId="4" borderId="35" xfId="0" quotePrefix="1" applyFont="1" applyFill="1" applyBorder="1" applyAlignment="1">
      <alignment horizontal="center" vertical="center"/>
    </xf>
    <xf numFmtId="4" fontId="3" fillId="0" borderId="31" xfId="0" applyNumberFormat="1" applyFont="1" applyBorder="1" applyAlignment="1">
      <alignment horizontal="center" vertical="center"/>
    </xf>
    <xf numFmtId="4" fontId="3" fillId="0" borderId="3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7" borderId="1" xfId="0" applyNumberFormat="1" applyFont="1" applyFill="1" applyBorder="1" applyAlignment="1">
      <alignment horizontal="center" vertical="center"/>
    </xf>
    <xf numFmtId="4" fontId="3" fillId="7" borderId="1" xfId="0" applyNumberFormat="1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center" vertical="center"/>
    </xf>
    <xf numFmtId="4" fontId="3" fillId="6" borderId="1" xfId="0" applyNumberFormat="1" applyFont="1" applyFill="1" applyBorder="1" applyAlignment="1">
      <alignment horizontal="center" vertical="center" wrapText="1"/>
    </xf>
    <xf numFmtId="4" fontId="1" fillId="8" borderId="1" xfId="0" applyNumberFormat="1" applyFont="1" applyFill="1" applyBorder="1" applyAlignment="1">
      <alignment horizontal="center" vertical="center"/>
    </xf>
    <xf numFmtId="4" fontId="3" fillId="11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horizontal="center" vertical="center"/>
    </xf>
    <xf numFmtId="4" fontId="7" fillId="7" borderId="1" xfId="0" applyNumberFormat="1" applyFont="1" applyFill="1" applyBorder="1" applyAlignment="1">
      <alignment horizontal="center" vertical="center" wrapText="1"/>
    </xf>
    <xf numFmtId="4" fontId="15" fillId="6" borderId="1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7" fillId="6" borderId="1" xfId="0" applyNumberFormat="1" applyFont="1" applyFill="1" applyBorder="1" applyAlignment="1">
      <alignment horizontal="center" vertical="center" wrapText="1"/>
    </xf>
    <xf numFmtId="4" fontId="6" fillId="8" borderId="1" xfId="0" applyNumberFormat="1" applyFont="1" applyFill="1" applyBorder="1" applyAlignment="1">
      <alignment horizontal="center" vertical="center"/>
    </xf>
    <xf numFmtId="4" fontId="7" fillId="8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5" fillId="7" borderId="1" xfId="0" applyNumberFormat="1" applyFont="1" applyFill="1" applyBorder="1" applyAlignment="1">
      <alignment horizontal="center" vertical="center"/>
    </xf>
    <xf numFmtId="4" fontId="5" fillId="6" borderId="1" xfId="0" applyNumberFormat="1" applyFont="1" applyFill="1" applyBorder="1" applyAlignment="1">
      <alignment horizontal="center" vertical="center"/>
    </xf>
    <xf numFmtId="4" fontId="5" fillId="8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5" fillId="7" borderId="1" xfId="0" applyNumberFormat="1" applyFont="1" applyFill="1" applyBorder="1" applyAlignment="1">
      <alignment horizontal="center" vertical="center"/>
    </xf>
    <xf numFmtId="4" fontId="5" fillId="6" borderId="1" xfId="0" applyNumberFormat="1" applyFont="1" applyFill="1" applyBorder="1" applyAlignment="1">
      <alignment horizontal="center" vertical="center"/>
    </xf>
    <xf numFmtId="4" fontId="5" fillId="8" borderId="1" xfId="0" applyNumberFormat="1" applyFont="1" applyFill="1" applyBorder="1" applyAlignment="1">
      <alignment horizontal="center" vertical="center"/>
    </xf>
    <xf numFmtId="4" fontId="5" fillId="11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" fontId="3" fillId="10" borderId="1" xfId="0" applyNumberFormat="1" applyFont="1" applyFill="1" applyBorder="1" applyAlignment="1">
      <alignment horizontal="center" vertical="center" wrapText="1"/>
    </xf>
    <xf numFmtId="4" fontId="5" fillId="12" borderId="1" xfId="0" applyNumberFormat="1" applyFont="1" applyFill="1" applyBorder="1" applyAlignment="1">
      <alignment horizontal="center" vertical="center"/>
    </xf>
    <xf numFmtId="4" fontId="3" fillId="12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0" fontId="10" fillId="0" borderId="1" xfId="0" applyFont="1" applyBorder="1"/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G26" sqref="G26"/>
    </sheetView>
  </sheetViews>
  <sheetFormatPr defaultRowHeight="15.75" x14ac:dyDescent="0.25"/>
  <cols>
    <col min="1" max="1" width="4.7109375" customWidth="1"/>
    <col min="2" max="2" width="81.85546875" style="1" customWidth="1"/>
    <col min="3" max="3" width="40" style="6" hidden="1" customWidth="1"/>
    <col min="4" max="4" width="20.7109375" style="6" hidden="1" customWidth="1"/>
    <col min="5" max="5" width="26.85546875" style="30" customWidth="1"/>
    <col min="6" max="6" width="20.7109375" style="30" customWidth="1"/>
    <col min="7" max="7" width="25.42578125" style="6" customWidth="1"/>
    <col min="8" max="8" width="15" bestFit="1" customWidth="1"/>
    <col min="9" max="9" width="14" customWidth="1"/>
    <col min="10" max="10" width="15" bestFit="1" customWidth="1"/>
  </cols>
  <sheetData>
    <row r="1" spans="1:10" x14ac:dyDescent="0.25">
      <c r="B1" s="47" t="s">
        <v>3</v>
      </c>
      <c r="C1" s="47"/>
      <c r="D1" s="47"/>
      <c r="E1" s="47"/>
      <c r="F1" s="47"/>
      <c r="G1" s="47"/>
    </row>
    <row r="2" spans="1:10" ht="16.5" thickBot="1" x14ac:dyDescent="0.3">
      <c r="E2" s="68" t="s">
        <v>111</v>
      </c>
      <c r="F2" s="68"/>
      <c r="G2" s="68"/>
    </row>
    <row r="3" spans="1:10" ht="32.25" thickBot="1" x14ac:dyDescent="0.3">
      <c r="B3" s="7" t="s">
        <v>4</v>
      </c>
      <c r="C3" s="17" t="s">
        <v>5</v>
      </c>
      <c r="D3" s="17" t="s">
        <v>6</v>
      </c>
      <c r="E3" s="8" t="s">
        <v>114</v>
      </c>
      <c r="F3" s="8" t="s">
        <v>112</v>
      </c>
      <c r="G3" s="9" t="s">
        <v>113</v>
      </c>
    </row>
    <row r="4" spans="1:10" ht="30.75" customHeight="1" thickBot="1" x14ac:dyDescent="0.3">
      <c r="B4" s="16" t="s">
        <v>115</v>
      </c>
      <c r="C4" s="14"/>
      <c r="D4" s="14"/>
      <c r="E4" s="35">
        <f>'прил. 7.2'!E5*1.03*1.2</f>
        <v>6198053.8812000006</v>
      </c>
      <c r="F4" s="35">
        <f>'прил. 7.2'!F5*1.03*1.2</f>
        <v>90220056.660599992</v>
      </c>
      <c r="G4" s="32">
        <f>E4+F4</f>
        <v>96418110.541799992</v>
      </c>
    </row>
    <row r="5" spans="1:10" ht="63.75" hidden="1" thickBot="1" x14ac:dyDescent="0.3">
      <c r="B5" s="2" t="s">
        <v>8</v>
      </c>
      <c r="C5" s="18" t="s">
        <v>9</v>
      </c>
      <c r="D5" s="18" t="s">
        <v>10</v>
      </c>
      <c r="E5" s="35">
        <f>'прил. 7.2'!E6*1.03*1.2</f>
        <v>0</v>
      </c>
      <c r="F5" s="19"/>
      <c r="G5" s="32">
        <f t="shared" ref="G5:G6" si="0">E5+F5</f>
        <v>0</v>
      </c>
    </row>
    <row r="6" spans="1:10" ht="28.5" customHeight="1" thickBot="1" x14ac:dyDescent="0.3">
      <c r="B6" s="16" t="s">
        <v>110</v>
      </c>
      <c r="C6" s="15"/>
      <c r="D6" s="14"/>
      <c r="E6" s="35">
        <f>('прил. 7.2'!E7+'прил. 7.2'!E8+'прил. 7.2'!E11+'прил. 7.2'!E12+'прил. 7.2'!E14+'прил. 7.2'!E16+'прил. 7.2'!E18+'прил. 7.2'!E19+'прил. 7.2'!E20+'прил. 7.2'!E21+'прил. 7.2'!E22+'прил. 7.2'!E23+'прил. 7.2'!E24+'прил. 7.2'!E25+'прил. 7.2'!E26+'прил. 7.2'!E28+'прил. 7.2'!E29+'прил. 7.2'!E30+'прил. 7.2'!E31+'прил. 7.2'!E32+'прил. 7.2'!E33+'прил. 7.2'!E34+'прил. 7.2'!E35)*1.03*1.2</f>
        <v>1530424468.7516401</v>
      </c>
      <c r="F6" s="35">
        <f>('прил. 7.2'!F7+'прил. 7.2'!F8+'прил. 7.2'!F11+'прил. 7.2'!F12+'прил. 7.2'!F14+'прил. 7.2'!F16+'прил. 7.2'!F18+'прил. 7.2'!F19+'прил. 7.2'!F20+'прил. 7.2'!F21+'прил. 7.2'!F22+'прил. 7.2'!F23+'прил. 7.2'!F24+'прил. 7.2'!F25+'прил. 7.2'!F26+'прил. 7.2'!F28+'прил. 7.2'!F29+'прил. 7.2'!F30+'прил. 7.2'!F31+'прил. 7.2'!F32+'прил. 7.2'!F33+'прил. 7.2'!F34+'прил. 7.2'!F35)*1.03*1.2</f>
        <v>135697866.46374846</v>
      </c>
      <c r="G6" s="32">
        <f t="shared" si="0"/>
        <v>1666122335.2153885</v>
      </c>
      <c r="J6" s="28"/>
    </row>
    <row r="7" spans="1:10" ht="30" hidden="1" customHeight="1" x14ac:dyDescent="0.25">
      <c r="A7" s="26"/>
      <c r="B7" s="48" t="s">
        <v>90</v>
      </c>
      <c r="C7" s="48"/>
      <c r="D7" s="48"/>
      <c r="E7" s="49" t="s">
        <v>107</v>
      </c>
      <c r="F7" s="49"/>
      <c r="G7" s="50"/>
    </row>
    <row r="8" spans="1:10" s="20" customFormat="1" ht="30" hidden="1" customHeight="1" x14ac:dyDescent="0.25">
      <c r="A8" s="23"/>
      <c r="B8" s="51" t="s">
        <v>103</v>
      </c>
      <c r="C8" s="51"/>
      <c r="D8" s="51"/>
      <c r="E8" s="52"/>
      <c r="F8" s="53"/>
      <c r="G8" s="54"/>
    </row>
    <row r="9" spans="1:10" s="20" customFormat="1" ht="30" hidden="1" customHeight="1" x14ac:dyDescent="0.25">
      <c r="A9" s="23"/>
      <c r="B9" s="51" t="s">
        <v>91</v>
      </c>
      <c r="C9" s="51"/>
      <c r="D9" s="51"/>
      <c r="E9" s="52"/>
      <c r="F9" s="53"/>
      <c r="G9" s="54"/>
    </row>
    <row r="10" spans="1:10" s="20" customFormat="1" ht="30" hidden="1" customHeight="1" x14ac:dyDescent="0.25">
      <c r="A10" s="23"/>
      <c r="B10" s="51" t="s">
        <v>92</v>
      </c>
      <c r="C10" s="51"/>
      <c r="D10" s="51"/>
      <c r="E10" s="58"/>
      <c r="F10" s="59"/>
      <c r="G10" s="60"/>
      <c r="H10" s="21"/>
    </row>
    <row r="11" spans="1:10" s="20" customFormat="1" ht="30" hidden="1" customHeight="1" x14ac:dyDescent="0.25">
      <c r="A11" s="23"/>
      <c r="B11" s="51" t="s">
        <v>93</v>
      </c>
      <c r="C11" s="51"/>
      <c r="D11" s="51"/>
      <c r="E11" s="52"/>
      <c r="F11" s="53"/>
      <c r="G11" s="54"/>
    </row>
    <row r="12" spans="1:10" s="20" customFormat="1" ht="50.25" hidden="1" customHeight="1" x14ac:dyDescent="0.25">
      <c r="A12" s="23"/>
      <c r="B12" s="51" t="s">
        <v>94</v>
      </c>
      <c r="C12" s="51"/>
      <c r="D12" s="51"/>
      <c r="E12" s="61" t="s">
        <v>95</v>
      </c>
      <c r="F12" s="62"/>
      <c r="G12" s="63"/>
    </row>
    <row r="13" spans="1:10" s="20" customFormat="1" ht="50.25" hidden="1" customHeight="1" x14ac:dyDescent="0.25">
      <c r="A13" s="23"/>
      <c r="B13" s="51" t="s">
        <v>97</v>
      </c>
      <c r="C13" s="51"/>
      <c r="D13" s="51"/>
      <c r="E13" s="61" t="s">
        <v>96</v>
      </c>
      <c r="F13" s="62"/>
      <c r="G13" s="63"/>
    </row>
    <row r="14" spans="1:10" s="20" customFormat="1" ht="30" hidden="1" customHeight="1" x14ac:dyDescent="0.2">
      <c r="A14" s="23"/>
      <c r="B14" s="51" t="s">
        <v>87</v>
      </c>
      <c r="C14" s="51"/>
      <c r="D14" s="51"/>
      <c r="E14" s="55" t="s">
        <v>106</v>
      </c>
      <c r="F14" s="56"/>
      <c r="G14" s="57"/>
    </row>
    <row r="15" spans="1:10" s="20" customFormat="1" ht="42" hidden="1" customHeight="1" x14ac:dyDescent="0.2">
      <c r="A15" s="24"/>
      <c r="B15" s="51" t="s">
        <v>98</v>
      </c>
      <c r="C15" s="51"/>
      <c r="D15" s="51"/>
      <c r="E15" s="55" t="s">
        <v>105</v>
      </c>
      <c r="F15" s="56"/>
      <c r="G15" s="57"/>
      <c r="I15" s="22"/>
    </row>
    <row r="16" spans="1:10" s="20" customFormat="1" ht="48.75" hidden="1" customHeight="1" x14ac:dyDescent="0.2">
      <c r="A16" s="24"/>
      <c r="B16" s="51" t="s">
        <v>99</v>
      </c>
      <c r="C16" s="51"/>
      <c r="D16" s="51"/>
      <c r="E16" s="55" t="s">
        <v>104</v>
      </c>
      <c r="F16" s="56"/>
      <c r="G16" s="57"/>
      <c r="I16" s="22"/>
    </row>
    <row r="17" spans="1:9" s="20" customFormat="1" ht="30" hidden="1" customHeight="1" x14ac:dyDescent="0.2">
      <c r="A17" s="24"/>
      <c r="B17" s="51" t="s">
        <v>100</v>
      </c>
      <c r="C17" s="51"/>
      <c r="D17" s="51"/>
      <c r="E17" s="55" t="s">
        <v>108</v>
      </c>
      <c r="F17" s="56"/>
      <c r="G17" s="57"/>
      <c r="I17" s="22"/>
    </row>
    <row r="18" spans="1:9" s="20" customFormat="1" ht="30" hidden="1" customHeight="1" x14ac:dyDescent="0.25">
      <c r="A18" s="24"/>
      <c r="B18" s="51" t="s">
        <v>88</v>
      </c>
      <c r="C18" s="51"/>
      <c r="D18" s="51"/>
      <c r="E18" s="61" t="s">
        <v>109</v>
      </c>
      <c r="F18" s="62"/>
      <c r="G18" s="63"/>
    </row>
    <row r="19" spans="1:9" s="20" customFormat="1" ht="30" hidden="1" customHeight="1" x14ac:dyDescent="0.25">
      <c r="A19" s="24"/>
      <c r="B19" s="51" t="s">
        <v>101</v>
      </c>
      <c r="C19" s="51"/>
      <c r="D19" s="51"/>
      <c r="E19" s="61" t="s">
        <v>102</v>
      </c>
      <c r="F19" s="62"/>
      <c r="G19" s="63"/>
    </row>
    <row r="20" spans="1:9" s="20" customFormat="1" ht="30" hidden="1" customHeight="1" thickBot="1" x14ac:dyDescent="0.3">
      <c r="A20" s="27"/>
      <c r="B20" s="64" t="s">
        <v>89</v>
      </c>
      <c r="C20" s="64"/>
      <c r="D20" s="64"/>
      <c r="E20" s="65"/>
      <c r="F20" s="66"/>
      <c r="G20" s="67"/>
    </row>
    <row r="21" spans="1:9" ht="21" x14ac:dyDescent="0.35">
      <c r="G21" s="36">
        <f>G4+G6</f>
        <v>1762540445.7571886</v>
      </c>
      <c r="H21" s="34"/>
      <c r="I21" s="34"/>
    </row>
    <row r="22" spans="1:9" x14ac:dyDescent="0.25">
      <c r="G22" s="40">
        <f>'прил. 7.2'!E40</f>
        <v>1762540445.7571883</v>
      </c>
      <c r="H22" s="34"/>
    </row>
    <row r="23" spans="1:9" x14ac:dyDescent="0.25">
      <c r="G23" s="40">
        <f>G21-G22</f>
        <v>0</v>
      </c>
    </row>
    <row r="24" spans="1:9" x14ac:dyDescent="0.25">
      <c r="G24" s="40" cm="1">
        <f t="array" ref="G24:I24">'сравнит. с подрядчиками'!E37:G37</f>
        <v>1762540445.7560399</v>
      </c>
      <c r="H24">
        <v>0</v>
      </c>
      <c r="I24">
        <v>0</v>
      </c>
    </row>
    <row r="25" spans="1:9" x14ac:dyDescent="0.25">
      <c r="G25" s="40">
        <f>G21-G24</f>
        <v>1.1487007141113281E-3</v>
      </c>
    </row>
  </sheetData>
  <mergeCells count="30">
    <mergeCell ref="B19:D19"/>
    <mergeCell ref="E19:G19"/>
    <mergeCell ref="B20:D20"/>
    <mergeCell ref="E20:G20"/>
    <mergeCell ref="E2:G2"/>
    <mergeCell ref="B16:D16"/>
    <mergeCell ref="E16:G16"/>
    <mergeCell ref="B17:D17"/>
    <mergeCell ref="E17:G17"/>
    <mergeCell ref="B18:D18"/>
    <mergeCell ref="E18:G18"/>
    <mergeCell ref="B13:D13"/>
    <mergeCell ref="E13:G13"/>
    <mergeCell ref="B14:D14"/>
    <mergeCell ref="E14:G14"/>
    <mergeCell ref="B15:D15"/>
    <mergeCell ref="B9:D9"/>
    <mergeCell ref="E9:G9"/>
    <mergeCell ref="E15:G15"/>
    <mergeCell ref="B10:D10"/>
    <mergeCell ref="E10:G10"/>
    <mergeCell ref="B11:D11"/>
    <mergeCell ref="E11:G11"/>
    <mergeCell ref="B12:D12"/>
    <mergeCell ref="E12:G12"/>
    <mergeCell ref="B1:G1"/>
    <mergeCell ref="B7:D7"/>
    <mergeCell ref="E7:G7"/>
    <mergeCell ref="B8:D8"/>
    <mergeCell ref="E8:G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33" workbookViewId="0">
      <selection activeCell="H37" sqref="H37"/>
    </sheetView>
  </sheetViews>
  <sheetFormatPr defaultRowHeight="15.75" x14ac:dyDescent="0.25"/>
  <cols>
    <col min="1" max="1" width="4.7109375" customWidth="1"/>
    <col min="2" max="2" width="89.28515625" style="1" customWidth="1"/>
    <col min="3" max="3" width="40" style="6" customWidth="1"/>
    <col min="4" max="4" width="20.7109375" style="6" customWidth="1"/>
    <col min="5" max="6" width="20.7109375" style="30" customWidth="1"/>
    <col min="7" max="7" width="20.7109375" style="6" customWidth="1"/>
    <col min="8" max="8" width="15" bestFit="1" customWidth="1"/>
    <col min="9" max="9" width="14" customWidth="1"/>
    <col min="10" max="10" width="15" bestFit="1" customWidth="1"/>
  </cols>
  <sheetData>
    <row r="1" spans="2:10" x14ac:dyDescent="0.25">
      <c r="B1" s="47" t="s">
        <v>3</v>
      </c>
      <c r="C1" s="47"/>
      <c r="D1" s="47"/>
      <c r="E1" s="47"/>
      <c r="F1" s="47"/>
      <c r="G1" s="47"/>
    </row>
    <row r="2" spans="2:10" ht="16.5" thickBot="1" x14ac:dyDescent="0.3"/>
    <row r="3" spans="2:10" ht="32.25" thickBot="1" x14ac:dyDescent="0.3">
      <c r="B3" s="7" t="s">
        <v>4</v>
      </c>
      <c r="C3" s="37" t="s">
        <v>5</v>
      </c>
      <c r="D3" s="37" t="s">
        <v>6</v>
      </c>
      <c r="E3" s="8" t="s">
        <v>0</v>
      </c>
      <c r="F3" s="8" t="s">
        <v>1</v>
      </c>
      <c r="G3" s="9" t="s">
        <v>2</v>
      </c>
    </row>
    <row r="4" spans="2:10" ht="30.75" customHeight="1" thickBot="1" x14ac:dyDescent="0.3">
      <c r="B4" s="16" t="s">
        <v>7</v>
      </c>
      <c r="C4" s="14"/>
      <c r="D4" s="14"/>
      <c r="E4" s="14"/>
      <c r="F4" s="14"/>
      <c r="G4" s="29"/>
    </row>
    <row r="5" spans="2:10" ht="63.75" thickBot="1" x14ac:dyDescent="0.3">
      <c r="B5" s="2" t="s">
        <v>8</v>
      </c>
      <c r="C5" s="38" t="s">
        <v>9</v>
      </c>
      <c r="D5" s="38" t="s">
        <v>10</v>
      </c>
      <c r="E5" s="41">
        <v>5014606.7</v>
      </c>
      <c r="F5" s="41">
        <v>72993573.349999994</v>
      </c>
      <c r="G5" s="31">
        <f>E5+F5</f>
        <v>78008180.049999997</v>
      </c>
    </row>
    <row r="6" spans="2:10" ht="28.5" customHeight="1" thickBot="1" x14ac:dyDescent="0.3">
      <c r="B6" s="16" t="s">
        <v>11</v>
      </c>
      <c r="C6" s="15"/>
      <c r="D6" s="14"/>
      <c r="E6" s="42"/>
      <c r="F6" s="42"/>
      <c r="G6" s="32"/>
      <c r="J6" s="28"/>
    </row>
    <row r="7" spans="2:10" ht="45" customHeight="1" thickBot="1" x14ac:dyDescent="0.3">
      <c r="B7" s="3" t="s">
        <v>12</v>
      </c>
      <c r="C7" s="5" t="s">
        <v>60</v>
      </c>
      <c r="D7" s="10" t="s">
        <v>13</v>
      </c>
      <c r="E7" s="43">
        <v>4269775.1500000004</v>
      </c>
      <c r="F7" s="44">
        <v>2759955.51</v>
      </c>
      <c r="G7" s="33">
        <f>E7+F7</f>
        <v>7029730.6600000001</v>
      </c>
    </row>
    <row r="8" spans="2:10" x14ac:dyDescent="0.25">
      <c r="B8" s="97" t="s">
        <v>14</v>
      </c>
      <c r="C8" s="69" t="s">
        <v>63</v>
      </c>
      <c r="D8" s="11" t="s">
        <v>16</v>
      </c>
      <c r="E8" s="101">
        <v>118208169.97</v>
      </c>
      <c r="F8" s="74">
        <v>11023040.710000001</v>
      </c>
      <c r="G8" s="72">
        <f>E8+F8</f>
        <v>129231210.68000001</v>
      </c>
    </row>
    <row r="9" spans="2:10" x14ac:dyDescent="0.25">
      <c r="B9" s="104"/>
      <c r="C9" s="71"/>
      <c r="D9" s="12" t="s">
        <v>17</v>
      </c>
      <c r="E9" s="102"/>
      <c r="F9" s="100"/>
      <c r="G9" s="99"/>
    </row>
    <row r="10" spans="2:10" ht="16.5" thickBot="1" x14ac:dyDescent="0.3">
      <c r="B10" s="98"/>
      <c r="C10" s="70"/>
      <c r="D10" s="13" t="s">
        <v>15</v>
      </c>
      <c r="E10" s="103"/>
      <c r="F10" s="75"/>
      <c r="G10" s="73"/>
    </row>
    <row r="11" spans="2:10" ht="32.25" thickBot="1" x14ac:dyDescent="0.3">
      <c r="B11" s="3" t="s">
        <v>18</v>
      </c>
      <c r="C11" s="5" t="s">
        <v>61</v>
      </c>
      <c r="D11" s="10" t="s">
        <v>19</v>
      </c>
      <c r="E11" s="45">
        <v>12482067.029999999</v>
      </c>
      <c r="F11" s="44">
        <v>1436360.16</v>
      </c>
      <c r="G11" s="33">
        <f>E11+F11</f>
        <v>13918427.189999999</v>
      </c>
    </row>
    <row r="12" spans="2:10" x14ac:dyDescent="0.25">
      <c r="B12" s="97" t="s">
        <v>20</v>
      </c>
      <c r="C12" s="69" t="s">
        <v>62</v>
      </c>
      <c r="D12" s="11" t="s">
        <v>22</v>
      </c>
      <c r="E12" s="74">
        <v>49128831.229999997</v>
      </c>
      <c r="F12" s="74">
        <v>3692222.17</v>
      </c>
      <c r="G12" s="72">
        <f>E12+F12</f>
        <v>52821053.399999999</v>
      </c>
    </row>
    <row r="13" spans="2:10" ht="16.5" thickBot="1" x14ac:dyDescent="0.3">
      <c r="B13" s="98"/>
      <c r="C13" s="70"/>
      <c r="D13" s="13" t="s">
        <v>21</v>
      </c>
      <c r="E13" s="75"/>
      <c r="F13" s="75"/>
      <c r="G13" s="73"/>
    </row>
    <row r="14" spans="2:10" x14ac:dyDescent="0.25">
      <c r="B14" s="97" t="s">
        <v>23</v>
      </c>
      <c r="C14" s="69" t="s">
        <v>64</v>
      </c>
      <c r="D14" s="11" t="s">
        <v>25</v>
      </c>
      <c r="E14" s="74">
        <v>41124180.240000002</v>
      </c>
      <c r="F14" s="74">
        <v>2891974.13</v>
      </c>
      <c r="G14" s="72">
        <f>E14+F14</f>
        <v>44016154.370000005</v>
      </c>
    </row>
    <row r="15" spans="2:10" ht="16.5" thickBot="1" x14ac:dyDescent="0.3">
      <c r="B15" s="98"/>
      <c r="C15" s="70"/>
      <c r="D15" s="13" t="s">
        <v>24</v>
      </c>
      <c r="E15" s="75"/>
      <c r="F15" s="75"/>
      <c r="G15" s="73"/>
    </row>
    <row r="16" spans="2:10" ht="26.25" customHeight="1" x14ac:dyDescent="0.25">
      <c r="B16" s="97" t="s">
        <v>26</v>
      </c>
      <c r="C16" s="69" t="s">
        <v>65</v>
      </c>
      <c r="D16" s="11" t="s">
        <v>28</v>
      </c>
      <c r="E16" s="74">
        <v>45743922.75</v>
      </c>
      <c r="F16" s="74">
        <v>3336577.25</v>
      </c>
      <c r="G16" s="72">
        <f>E16+F16</f>
        <v>49080500</v>
      </c>
    </row>
    <row r="17" spans="2:7" ht="24.75" customHeight="1" thickBot="1" x14ac:dyDescent="0.3">
      <c r="B17" s="98"/>
      <c r="C17" s="70"/>
      <c r="D17" s="13" t="s">
        <v>27</v>
      </c>
      <c r="E17" s="75"/>
      <c r="F17" s="75"/>
      <c r="G17" s="73"/>
    </row>
    <row r="18" spans="2:7" ht="39.950000000000003" customHeight="1" thickBot="1" x14ac:dyDescent="0.3">
      <c r="B18" s="3" t="s">
        <v>58</v>
      </c>
      <c r="C18" s="5" t="s">
        <v>59</v>
      </c>
      <c r="D18" s="10" t="s">
        <v>29</v>
      </c>
      <c r="E18" s="43">
        <v>65612684.740000002</v>
      </c>
      <c r="F18" s="44">
        <v>6747835.6500000004</v>
      </c>
      <c r="G18" s="33">
        <f>E18+F18</f>
        <v>72360520.390000001</v>
      </c>
    </row>
    <row r="19" spans="2:7" ht="39.950000000000003" customHeight="1" thickBot="1" x14ac:dyDescent="0.3">
      <c r="B19" s="3" t="s">
        <v>67</v>
      </c>
      <c r="C19" s="5" t="s">
        <v>66</v>
      </c>
      <c r="D19" s="10" t="s">
        <v>30</v>
      </c>
      <c r="E19" s="43">
        <v>13631473.07</v>
      </c>
      <c r="F19" s="44">
        <v>1569862.72</v>
      </c>
      <c r="G19" s="33">
        <f>E19+F19</f>
        <v>15201335.790000001</v>
      </c>
    </row>
    <row r="20" spans="2:7" ht="39.950000000000003" customHeight="1" thickBot="1" x14ac:dyDescent="0.3">
      <c r="B20" s="3" t="s">
        <v>69</v>
      </c>
      <c r="C20" s="5" t="s">
        <v>68</v>
      </c>
      <c r="D20" s="10" t="s">
        <v>31</v>
      </c>
      <c r="E20" s="43">
        <v>13275544.98</v>
      </c>
      <c r="F20" s="44">
        <v>1374545.4</v>
      </c>
      <c r="G20" s="33">
        <f t="shared" ref="G20:G25" si="0">E20+F20</f>
        <v>14650090.380000001</v>
      </c>
    </row>
    <row r="21" spans="2:7" ht="39.950000000000003" customHeight="1" thickBot="1" x14ac:dyDescent="0.3">
      <c r="B21" s="3" t="s">
        <v>71</v>
      </c>
      <c r="C21" s="5" t="s">
        <v>70</v>
      </c>
      <c r="D21" s="10" t="s">
        <v>32</v>
      </c>
      <c r="E21" s="43">
        <v>13269878.32</v>
      </c>
      <c r="F21" s="44">
        <v>1503263.5909291431</v>
      </c>
      <c r="G21" s="33">
        <f t="shared" si="0"/>
        <v>14773141.910929143</v>
      </c>
    </row>
    <row r="22" spans="2:7" ht="39.950000000000003" customHeight="1" thickBot="1" x14ac:dyDescent="0.3">
      <c r="B22" s="3" t="s">
        <v>73</v>
      </c>
      <c r="C22" s="5" t="s">
        <v>72</v>
      </c>
      <c r="D22" s="10" t="s">
        <v>33</v>
      </c>
      <c r="E22" s="43">
        <v>11682164.23</v>
      </c>
      <c r="F22" s="44">
        <v>1251323.1499999999</v>
      </c>
      <c r="G22" s="33">
        <f t="shared" si="0"/>
        <v>12933487.380000001</v>
      </c>
    </row>
    <row r="23" spans="2:7" ht="39.950000000000003" customHeight="1" thickBot="1" x14ac:dyDescent="0.3">
      <c r="B23" s="4" t="s">
        <v>34</v>
      </c>
      <c r="C23" s="38" t="s">
        <v>74</v>
      </c>
      <c r="D23" s="39" t="s">
        <v>35</v>
      </c>
      <c r="E23" s="46">
        <v>37162467.560000002</v>
      </c>
      <c r="F23" s="41">
        <v>4110555.64</v>
      </c>
      <c r="G23" s="33">
        <f t="shared" si="0"/>
        <v>41273023.200000003</v>
      </c>
    </row>
    <row r="24" spans="2:7" ht="39.950000000000003" customHeight="1" thickBot="1" x14ac:dyDescent="0.3">
      <c r="B24" s="3" t="s">
        <v>36</v>
      </c>
      <c r="C24" s="5" t="s">
        <v>75</v>
      </c>
      <c r="D24" s="10" t="s">
        <v>37</v>
      </c>
      <c r="E24" s="43">
        <v>89612095.560000002</v>
      </c>
      <c r="F24" s="44">
        <v>6404760.3899999997</v>
      </c>
      <c r="G24" s="33">
        <f t="shared" si="0"/>
        <v>96016855.950000003</v>
      </c>
    </row>
    <row r="25" spans="2:7" ht="39.950000000000003" customHeight="1" thickBot="1" x14ac:dyDescent="0.3">
      <c r="B25" s="3" t="s">
        <v>38</v>
      </c>
      <c r="C25" s="5" t="s">
        <v>76</v>
      </c>
      <c r="D25" s="10" t="s">
        <v>39</v>
      </c>
      <c r="E25" s="43">
        <v>49740513.270000003</v>
      </c>
      <c r="F25" s="44">
        <v>3011287.27</v>
      </c>
      <c r="G25" s="33">
        <f t="shared" si="0"/>
        <v>52751800.540000007</v>
      </c>
    </row>
    <row r="26" spans="2:7" ht="39.950000000000003" customHeight="1" x14ac:dyDescent="0.25">
      <c r="B26" s="97" t="s">
        <v>40</v>
      </c>
      <c r="C26" s="69" t="s">
        <v>41</v>
      </c>
      <c r="D26" s="11" t="s">
        <v>42</v>
      </c>
      <c r="E26" s="74">
        <v>63929694.619999997</v>
      </c>
      <c r="F26" s="74">
        <v>4523458.78</v>
      </c>
      <c r="G26" s="72">
        <f>E26+F26</f>
        <v>68453153.399999991</v>
      </c>
    </row>
    <row r="27" spans="2:7" ht="39.950000000000003" customHeight="1" thickBot="1" x14ac:dyDescent="0.3">
      <c r="B27" s="98"/>
      <c r="C27" s="70"/>
      <c r="D27" s="13" t="s">
        <v>43</v>
      </c>
      <c r="E27" s="75"/>
      <c r="F27" s="75"/>
      <c r="G27" s="73"/>
    </row>
    <row r="28" spans="2:7" ht="39.950000000000003" customHeight="1" thickBot="1" x14ac:dyDescent="0.3">
      <c r="B28" s="3" t="s">
        <v>78</v>
      </c>
      <c r="C28" s="5" t="s">
        <v>77</v>
      </c>
      <c r="D28" s="10" t="s">
        <v>44</v>
      </c>
      <c r="E28" s="43">
        <v>71447397.409999996</v>
      </c>
      <c r="F28" s="44">
        <v>4862606.67</v>
      </c>
      <c r="G28" s="33">
        <f>E28+F28</f>
        <v>76310004.079999998</v>
      </c>
    </row>
    <row r="29" spans="2:7" ht="39.950000000000003" customHeight="1" thickBot="1" x14ac:dyDescent="0.3">
      <c r="B29" s="3" t="s">
        <v>57</v>
      </c>
      <c r="C29" s="5" t="s">
        <v>86</v>
      </c>
      <c r="D29" s="10" t="s">
        <v>45</v>
      </c>
      <c r="E29" s="43">
        <v>17623437.02</v>
      </c>
      <c r="F29" s="44">
        <v>1483843.63</v>
      </c>
      <c r="G29" s="33">
        <f t="shared" ref="G29:G35" si="1">E29+F29</f>
        <v>19107280.649999999</v>
      </c>
    </row>
    <row r="30" spans="2:7" ht="39.950000000000003" customHeight="1" thickBot="1" x14ac:dyDescent="0.3">
      <c r="B30" s="3" t="s">
        <v>46</v>
      </c>
      <c r="C30" s="5" t="s">
        <v>79</v>
      </c>
      <c r="D30" s="10" t="s">
        <v>47</v>
      </c>
      <c r="E30" s="43">
        <v>13022939.550000001</v>
      </c>
      <c r="F30" s="44">
        <v>1289171.25</v>
      </c>
      <c r="G30" s="33">
        <f t="shared" si="1"/>
        <v>14312110.800000001</v>
      </c>
    </row>
    <row r="31" spans="2:7" ht="39.950000000000003" customHeight="1" thickBot="1" x14ac:dyDescent="0.3">
      <c r="B31" s="3" t="s">
        <v>48</v>
      </c>
      <c r="C31" s="5" t="s">
        <v>80</v>
      </c>
      <c r="D31" s="10" t="s">
        <v>49</v>
      </c>
      <c r="E31" s="43">
        <v>211787394.00999999</v>
      </c>
      <c r="F31" s="44">
        <v>14634907.970000001</v>
      </c>
      <c r="G31" s="33">
        <f t="shared" si="1"/>
        <v>226422301.97999999</v>
      </c>
    </row>
    <row r="32" spans="2:7" ht="39.950000000000003" customHeight="1" thickBot="1" x14ac:dyDescent="0.3">
      <c r="B32" s="3" t="s">
        <v>50</v>
      </c>
      <c r="C32" s="5" t="s">
        <v>81</v>
      </c>
      <c r="D32" s="10" t="s">
        <v>51</v>
      </c>
      <c r="E32" s="43">
        <v>5562138.2199999997</v>
      </c>
      <c r="F32" s="44">
        <v>2372402.5499999998</v>
      </c>
      <c r="G32" s="33">
        <f t="shared" si="1"/>
        <v>7934540.7699999996</v>
      </c>
    </row>
    <row r="33" spans="1:10" ht="39.950000000000003" customHeight="1" thickBot="1" x14ac:dyDescent="0.3">
      <c r="B33" s="3" t="s">
        <v>52</v>
      </c>
      <c r="C33" s="5" t="s">
        <v>82</v>
      </c>
      <c r="D33" s="10" t="s">
        <v>53</v>
      </c>
      <c r="E33" s="43">
        <v>274898438.25999999</v>
      </c>
      <c r="F33" s="44">
        <v>20403543.640000001</v>
      </c>
      <c r="G33" s="33">
        <f t="shared" si="1"/>
        <v>295301981.89999998</v>
      </c>
    </row>
    <row r="34" spans="1:10" ht="39.950000000000003" customHeight="1" thickBot="1" x14ac:dyDescent="0.3">
      <c r="B34" s="4" t="s">
        <v>54</v>
      </c>
      <c r="C34" s="38" t="s">
        <v>83</v>
      </c>
      <c r="D34" s="39" t="s">
        <v>55</v>
      </c>
      <c r="E34" s="46">
        <v>2551658.7200000002</v>
      </c>
      <c r="F34" s="41">
        <v>341952.23</v>
      </c>
      <c r="G34" s="33">
        <f t="shared" si="1"/>
        <v>2893610.95</v>
      </c>
    </row>
    <row r="35" spans="1:10" ht="39.950000000000003" customHeight="1" thickBot="1" x14ac:dyDescent="0.3">
      <c r="A35" s="25"/>
      <c r="B35" s="3" t="s">
        <v>84</v>
      </c>
      <c r="C35" s="5" t="s">
        <v>85</v>
      </c>
      <c r="D35" s="10" t="s">
        <v>56</v>
      </c>
      <c r="E35" s="43">
        <v>12440633.08</v>
      </c>
      <c r="F35" s="44">
        <v>8762467.3900000006</v>
      </c>
      <c r="G35" s="33">
        <f t="shared" si="1"/>
        <v>21203100.469999999</v>
      </c>
      <c r="H35" s="34">
        <f>SUM(E7:E35)</f>
        <v>1238207498.99</v>
      </c>
      <c r="I35" s="34">
        <f>SUM(F7:F35)</f>
        <v>109787917.85092916</v>
      </c>
      <c r="J35" s="34">
        <f>H35+I35</f>
        <v>1347995416.8409293</v>
      </c>
    </row>
    <row r="36" spans="1:10" ht="30" customHeight="1" x14ac:dyDescent="0.25">
      <c r="A36" s="26"/>
      <c r="B36" s="79" t="s">
        <v>90</v>
      </c>
      <c r="C36" s="80"/>
      <c r="D36" s="81"/>
      <c r="E36" s="85" t="s">
        <v>116</v>
      </c>
      <c r="F36" s="86"/>
      <c r="G36" s="87"/>
    </row>
    <row r="37" spans="1:10" s="20" customFormat="1" ht="30" customHeight="1" x14ac:dyDescent="0.2">
      <c r="A37" s="23"/>
      <c r="B37" s="82" t="s">
        <v>103</v>
      </c>
      <c r="C37" s="83"/>
      <c r="D37" s="84"/>
      <c r="E37" s="94">
        <f>G5+G7+G8+G11+G12+G14+G16+G18+G19+G20+G21+G22+G23+G24+G25+G26+G28+G29+G30+G31+G32+G33+G34+G35</f>
        <v>1426003596.8909292</v>
      </c>
      <c r="F37" s="95"/>
      <c r="G37" s="96"/>
    </row>
    <row r="38" spans="1:10" s="20" customFormat="1" ht="30" customHeight="1" x14ac:dyDescent="0.2">
      <c r="A38" s="23"/>
      <c r="B38" s="82" t="s">
        <v>91</v>
      </c>
      <c r="C38" s="83"/>
      <c r="D38" s="84"/>
      <c r="E38" s="94">
        <f>E37*0.03</f>
        <v>42780107.906727873</v>
      </c>
      <c r="F38" s="95"/>
      <c r="G38" s="96"/>
    </row>
    <row r="39" spans="1:10" s="20" customFormat="1" ht="30" customHeight="1" x14ac:dyDescent="0.2">
      <c r="A39" s="23"/>
      <c r="B39" s="82" t="s">
        <v>92</v>
      </c>
      <c r="C39" s="83"/>
      <c r="D39" s="84"/>
      <c r="E39" s="91">
        <f>E37+E38</f>
        <v>1468783704.797657</v>
      </c>
      <c r="F39" s="92"/>
      <c r="G39" s="93"/>
      <c r="H39" s="21"/>
    </row>
    <row r="40" spans="1:10" s="20" customFormat="1" ht="30" customHeight="1" x14ac:dyDescent="0.2">
      <c r="A40" s="23"/>
      <c r="B40" s="82" t="s">
        <v>93</v>
      </c>
      <c r="C40" s="83"/>
      <c r="D40" s="84"/>
      <c r="E40" s="91">
        <f>E39*1.2</f>
        <v>1762540445.7571883</v>
      </c>
      <c r="F40" s="92"/>
      <c r="G40" s="93"/>
    </row>
    <row r="41" spans="1:10" s="20" customFormat="1" ht="50.25" customHeight="1" x14ac:dyDescent="0.25">
      <c r="A41" s="23"/>
      <c r="B41" s="82" t="s">
        <v>94</v>
      </c>
      <c r="C41" s="83"/>
      <c r="D41" s="84"/>
      <c r="E41" s="88" t="s">
        <v>95</v>
      </c>
      <c r="F41" s="89"/>
      <c r="G41" s="90"/>
    </row>
    <row r="42" spans="1:10" s="20" customFormat="1" ht="50.25" customHeight="1" x14ac:dyDescent="0.25">
      <c r="A42" s="23"/>
      <c r="B42" s="82" t="s">
        <v>97</v>
      </c>
      <c r="C42" s="83"/>
      <c r="D42" s="84"/>
      <c r="E42" s="61" t="s">
        <v>96</v>
      </c>
      <c r="F42" s="62"/>
      <c r="G42" s="63"/>
    </row>
    <row r="43" spans="1:10" s="20" customFormat="1" ht="30" customHeight="1" x14ac:dyDescent="0.2">
      <c r="A43" s="23"/>
      <c r="B43" s="82" t="s">
        <v>87</v>
      </c>
      <c r="C43" s="83"/>
      <c r="D43" s="84"/>
      <c r="E43" s="55" t="s">
        <v>106</v>
      </c>
      <c r="F43" s="56"/>
      <c r="G43" s="57"/>
    </row>
    <row r="44" spans="1:10" s="20" customFormat="1" ht="42" customHeight="1" x14ac:dyDescent="0.2">
      <c r="A44" s="24"/>
      <c r="B44" s="82" t="s">
        <v>98</v>
      </c>
      <c r="C44" s="83"/>
      <c r="D44" s="84"/>
      <c r="E44" s="55" t="s">
        <v>105</v>
      </c>
      <c r="F44" s="56"/>
      <c r="G44" s="57"/>
      <c r="I44" s="22"/>
    </row>
    <row r="45" spans="1:10" s="20" customFormat="1" ht="48.75" customHeight="1" x14ac:dyDescent="0.2">
      <c r="A45" s="24"/>
      <c r="B45" s="82" t="s">
        <v>99</v>
      </c>
      <c r="C45" s="83"/>
      <c r="D45" s="84"/>
      <c r="E45" s="55" t="s">
        <v>104</v>
      </c>
      <c r="F45" s="56"/>
      <c r="G45" s="57"/>
      <c r="I45" s="22"/>
    </row>
    <row r="46" spans="1:10" s="20" customFormat="1" ht="30" customHeight="1" x14ac:dyDescent="0.2">
      <c r="A46" s="24"/>
      <c r="B46" s="82" t="s">
        <v>100</v>
      </c>
      <c r="C46" s="83"/>
      <c r="D46" s="84"/>
      <c r="E46" s="55" t="s">
        <v>108</v>
      </c>
      <c r="F46" s="56"/>
      <c r="G46" s="57"/>
      <c r="I46" s="22"/>
    </row>
    <row r="47" spans="1:10" s="20" customFormat="1" ht="30" customHeight="1" x14ac:dyDescent="0.25">
      <c r="A47" s="24"/>
      <c r="B47" s="82" t="s">
        <v>88</v>
      </c>
      <c r="C47" s="83"/>
      <c r="D47" s="84"/>
      <c r="E47" s="61" t="s">
        <v>109</v>
      </c>
      <c r="F47" s="62"/>
      <c r="G47" s="63"/>
    </row>
    <row r="48" spans="1:10" s="20" customFormat="1" ht="30" customHeight="1" x14ac:dyDescent="0.25">
      <c r="A48" s="24"/>
      <c r="B48" s="82" t="s">
        <v>101</v>
      </c>
      <c r="C48" s="83"/>
      <c r="D48" s="84"/>
      <c r="E48" s="61" t="s">
        <v>102</v>
      </c>
      <c r="F48" s="62"/>
      <c r="G48" s="63"/>
    </row>
    <row r="49" spans="1:7" s="20" customFormat="1" ht="30" customHeight="1" thickBot="1" x14ac:dyDescent="0.3">
      <c r="A49" s="27"/>
      <c r="B49" s="76" t="s">
        <v>89</v>
      </c>
      <c r="C49" s="77"/>
      <c r="D49" s="78"/>
      <c r="E49" s="65"/>
      <c r="F49" s="66"/>
      <c r="G49" s="67"/>
    </row>
  </sheetData>
  <mergeCells count="54">
    <mergeCell ref="B1:G1"/>
    <mergeCell ref="F16:F17"/>
    <mergeCell ref="G16:G17"/>
    <mergeCell ref="E26:E27"/>
    <mergeCell ref="F26:F27"/>
    <mergeCell ref="G26:G27"/>
    <mergeCell ref="E16:E17"/>
    <mergeCell ref="B26:B27"/>
    <mergeCell ref="C26:C27"/>
    <mergeCell ref="B14:B15"/>
    <mergeCell ref="B16:B17"/>
    <mergeCell ref="B12:B13"/>
    <mergeCell ref="G8:G10"/>
    <mergeCell ref="F8:F10"/>
    <mergeCell ref="E8:E10"/>
    <mergeCell ref="B8:B10"/>
    <mergeCell ref="B48:D48"/>
    <mergeCell ref="E36:G36"/>
    <mergeCell ref="E41:G41"/>
    <mergeCell ref="E40:G40"/>
    <mergeCell ref="E39:G39"/>
    <mergeCell ref="E38:G38"/>
    <mergeCell ref="E37:G37"/>
    <mergeCell ref="E44:G44"/>
    <mergeCell ref="E45:G45"/>
    <mergeCell ref="E46:G46"/>
    <mergeCell ref="E42:G42"/>
    <mergeCell ref="E43:G43"/>
    <mergeCell ref="B49:D49"/>
    <mergeCell ref="E47:G47"/>
    <mergeCell ref="E48:G48"/>
    <mergeCell ref="E49:G49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C16:C17"/>
    <mergeCell ref="C14:C15"/>
    <mergeCell ref="C8:C10"/>
    <mergeCell ref="C12:C13"/>
    <mergeCell ref="G14:G15"/>
    <mergeCell ref="F14:F15"/>
    <mergeCell ref="E14:E15"/>
    <mergeCell ref="G12:G13"/>
    <mergeCell ref="F12:F13"/>
    <mergeCell ref="E12:E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41"/>
  <sheetViews>
    <sheetView tabSelected="1" zoomScale="55" zoomScaleNormal="55" workbookViewId="0">
      <selection activeCell="F42" sqref="F42"/>
    </sheetView>
  </sheetViews>
  <sheetFormatPr defaultRowHeight="15.75" x14ac:dyDescent="0.25"/>
  <cols>
    <col min="1" max="1" width="4.7109375" customWidth="1"/>
    <col min="2" max="2" width="73.140625" style="1" customWidth="1"/>
    <col min="3" max="3" width="31.28515625" style="6" customWidth="1"/>
    <col min="4" max="4" width="20.7109375" style="6" customWidth="1"/>
    <col min="5" max="6" width="20.7109375" style="30" customWidth="1"/>
    <col min="7" max="7" width="20.7109375" style="6" customWidth="1"/>
    <col min="8" max="8" width="20.7109375" style="30" customWidth="1"/>
    <col min="9" max="9" width="20.7109375" style="30" hidden="1" customWidth="1"/>
    <col min="10" max="10" width="20.7109375" style="6" hidden="1" customWidth="1"/>
    <col min="11" max="12" width="20.7109375" style="30" customWidth="1"/>
    <col min="13" max="13" width="20.7109375" style="6" customWidth="1"/>
    <col min="14" max="14" width="21.7109375" customWidth="1"/>
    <col min="15" max="15" width="14" customWidth="1"/>
    <col min="16" max="16" width="32" style="105" hidden="1" customWidth="1"/>
    <col min="17" max="17" width="12.85546875" style="105" hidden="1" customWidth="1"/>
  </cols>
  <sheetData>
    <row r="1" spans="2:17" x14ac:dyDescent="0.25">
      <c r="B1" s="121"/>
      <c r="C1" s="121"/>
      <c r="D1" s="121"/>
      <c r="E1" s="121"/>
      <c r="F1" s="121"/>
      <c r="G1" s="121"/>
      <c r="H1" s="122"/>
      <c r="I1" s="122"/>
      <c r="J1" s="122"/>
      <c r="K1" s="122"/>
      <c r="L1" s="122"/>
      <c r="M1" s="122"/>
      <c r="N1" s="123"/>
      <c r="O1" s="123"/>
    </row>
    <row r="2" spans="2:17" x14ac:dyDescent="0.25">
      <c r="B2" s="124"/>
      <c r="C2" s="125"/>
      <c r="D2" s="125"/>
      <c r="E2" s="126" t="s">
        <v>120</v>
      </c>
      <c r="F2" s="126"/>
      <c r="G2" s="126"/>
      <c r="H2" s="127" t="s">
        <v>130</v>
      </c>
      <c r="I2" s="127"/>
      <c r="J2" s="127"/>
      <c r="K2" s="128" t="s">
        <v>121</v>
      </c>
      <c r="L2" s="128"/>
      <c r="M2" s="128"/>
      <c r="N2" s="123"/>
      <c r="O2" s="123"/>
    </row>
    <row r="3" spans="2:17" ht="31.5" x14ac:dyDescent="0.25">
      <c r="B3" s="129" t="s">
        <v>4</v>
      </c>
      <c r="C3" s="130" t="s">
        <v>5</v>
      </c>
      <c r="D3" s="130" t="s">
        <v>6</v>
      </c>
      <c r="E3" s="131" t="s">
        <v>117</v>
      </c>
      <c r="F3" s="131" t="s">
        <v>118</v>
      </c>
      <c r="G3" s="131" t="s">
        <v>113</v>
      </c>
      <c r="H3" s="132" t="s">
        <v>117</v>
      </c>
      <c r="I3" s="132" t="s">
        <v>118</v>
      </c>
      <c r="J3" s="132" t="s">
        <v>113</v>
      </c>
      <c r="K3" s="133" t="s">
        <v>117</v>
      </c>
      <c r="L3" s="133" t="s">
        <v>118</v>
      </c>
      <c r="M3" s="133" t="s">
        <v>113</v>
      </c>
      <c r="N3" s="123"/>
      <c r="O3" s="123"/>
    </row>
    <row r="4" spans="2:17" ht="30.75" customHeight="1" x14ac:dyDescent="0.25">
      <c r="B4" s="134" t="s">
        <v>7</v>
      </c>
      <c r="C4" s="135"/>
      <c r="D4" s="135"/>
      <c r="E4" s="136"/>
      <c r="F4" s="136"/>
      <c r="G4" s="137"/>
      <c r="H4" s="138"/>
      <c r="I4" s="138"/>
      <c r="J4" s="139"/>
      <c r="K4" s="140"/>
      <c r="L4" s="140"/>
      <c r="M4" s="141"/>
      <c r="N4" s="123"/>
      <c r="O4" s="123"/>
    </row>
    <row r="5" spans="2:17" ht="68.25" customHeight="1" x14ac:dyDescent="0.25">
      <c r="B5" s="142" t="s">
        <v>8</v>
      </c>
      <c r="C5" s="130" t="s">
        <v>9</v>
      </c>
      <c r="D5" s="130" t="s">
        <v>10</v>
      </c>
      <c r="E5" s="143">
        <f>5014606.7*1.03*1.2</f>
        <v>6198053.8812000006</v>
      </c>
      <c r="F5" s="143">
        <f>72993573.35*1.03*1.2</f>
        <v>90220056.660599992</v>
      </c>
      <c r="G5" s="144">
        <f>E5+F5</f>
        <v>96418110.541799992</v>
      </c>
      <c r="H5" s="145"/>
      <c r="I5" s="145">
        <f>72993573.35*1.03*1.2</f>
        <v>90220056.660599992</v>
      </c>
      <c r="J5" s="146">
        <f>H5+I5</f>
        <v>90220056.660599992</v>
      </c>
      <c r="K5" s="147">
        <v>2041672.853694</v>
      </c>
      <c r="L5" s="147">
        <v>374409739.19</v>
      </c>
      <c r="M5" s="148">
        <f>K5+L5</f>
        <v>376451412.04369402</v>
      </c>
      <c r="N5" s="113" t="s">
        <v>122</v>
      </c>
      <c r="O5" s="107" t="s">
        <v>124</v>
      </c>
      <c r="P5" s="119">
        <f>F5-L5</f>
        <v>-284189682.52939999</v>
      </c>
      <c r="Q5" s="108">
        <f>L5/F5</f>
        <v>4.1499612508391222</v>
      </c>
    </row>
    <row r="6" spans="2:17" ht="28.5" customHeight="1" x14ac:dyDescent="0.25">
      <c r="B6" s="134" t="s">
        <v>11</v>
      </c>
      <c r="C6" s="149"/>
      <c r="D6" s="135"/>
      <c r="E6" s="150"/>
      <c r="F6" s="150"/>
      <c r="G6" s="151"/>
      <c r="H6" s="152"/>
      <c r="I6" s="153"/>
      <c r="J6" s="154"/>
      <c r="K6" s="155"/>
      <c r="L6" s="155"/>
      <c r="M6" s="156"/>
      <c r="N6" s="107"/>
      <c r="O6" s="107"/>
      <c r="P6" s="119">
        <f t="shared" ref="P6:P35" si="0">F6-L6</f>
        <v>0</v>
      </c>
      <c r="Q6" s="108"/>
    </row>
    <row r="7" spans="2:17" ht="45" customHeight="1" x14ac:dyDescent="0.25">
      <c r="B7" s="157" t="s">
        <v>12</v>
      </c>
      <c r="C7" s="130" t="s">
        <v>60</v>
      </c>
      <c r="D7" s="12" t="s">
        <v>13</v>
      </c>
      <c r="E7" s="158">
        <f>4269775.15*1.03*1.2</f>
        <v>5277442.0854000002</v>
      </c>
      <c r="F7" s="143">
        <f>2759955.51*1.03*1.2</f>
        <v>3411305.0103599997</v>
      </c>
      <c r="G7" s="144">
        <f>E7+F7</f>
        <v>8688747.095759999</v>
      </c>
      <c r="H7" s="159">
        <v>5169727.9000000004</v>
      </c>
      <c r="I7" s="145">
        <f>2759955.51*1.03*1.2</f>
        <v>3411305.0103599997</v>
      </c>
      <c r="J7" s="146">
        <f>H7+I7</f>
        <v>8581032.910360001</v>
      </c>
      <c r="K7" s="160">
        <f>H7</f>
        <v>5169727.9000000004</v>
      </c>
      <c r="L7" s="147">
        <v>9814017.6569999997</v>
      </c>
      <c r="M7" s="148">
        <f>K7+L7</f>
        <v>14983745.557</v>
      </c>
      <c r="N7" s="113" t="s">
        <v>122</v>
      </c>
      <c r="O7" s="107" t="s">
        <v>123</v>
      </c>
      <c r="P7" s="119">
        <f t="shared" si="0"/>
        <v>-6402712.6466399999</v>
      </c>
      <c r="Q7" s="108">
        <f t="shared" ref="Q6:Q35" si="1">L7/F7</f>
        <v>2.876910046798868</v>
      </c>
    </row>
    <row r="8" spans="2:17" x14ac:dyDescent="0.25">
      <c r="B8" s="161" t="s">
        <v>14</v>
      </c>
      <c r="C8" s="162" t="s">
        <v>63</v>
      </c>
      <c r="D8" s="12" t="s">
        <v>16</v>
      </c>
      <c r="E8" s="163">
        <f>118208169.97*1.03*1.2</f>
        <v>146105298.08292001</v>
      </c>
      <c r="F8" s="163">
        <f>11023040.71*1.03*1.2</f>
        <v>13624478.31756</v>
      </c>
      <c r="G8" s="163">
        <f>E8+F8</f>
        <v>159729776.40048</v>
      </c>
      <c r="H8" s="164">
        <v>121766834.40000001</v>
      </c>
      <c r="I8" s="164">
        <f>11023040.71*1.03*1.2</f>
        <v>13624478.31756</v>
      </c>
      <c r="J8" s="164">
        <f>H8+I8</f>
        <v>135391312.71755999</v>
      </c>
      <c r="K8" s="165">
        <f>H8</f>
        <v>121766834.40000001</v>
      </c>
      <c r="L8" s="165">
        <v>39085675.18</v>
      </c>
      <c r="M8" s="166">
        <f>K8+L8</f>
        <v>160852509.58000001</v>
      </c>
      <c r="N8" s="114" t="s">
        <v>122</v>
      </c>
      <c r="O8" s="109" t="s">
        <v>125</v>
      </c>
      <c r="P8" s="120">
        <f t="shared" si="0"/>
        <v>-25461196.862439997</v>
      </c>
      <c r="Q8" s="110">
        <f t="shared" si="1"/>
        <v>2.8687832494565435</v>
      </c>
    </row>
    <row r="9" spans="2:17" x14ac:dyDescent="0.25">
      <c r="B9" s="161"/>
      <c r="C9" s="162"/>
      <c r="D9" s="12" t="s">
        <v>17</v>
      </c>
      <c r="E9" s="163"/>
      <c r="F9" s="163"/>
      <c r="G9" s="163"/>
      <c r="H9" s="164"/>
      <c r="I9" s="164"/>
      <c r="J9" s="164"/>
      <c r="K9" s="165"/>
      <c r="L9" s="165"/>
      <c r="M9" s="166"/>
      <c r="N9" s="114"/>
      <c r="O9" s="109"/>
      <c r="P9" s="120"/>
      <c r="Q9" s="110"/>
    </row>
    <row r="10" spans="2:17" x14ac:dyDescent="0.25">
      <c r="B10" s="161"/>
      <c r="C10" s="162"/>
      <c r="D10" s="12" t="s">
        <v>15</v>
      </c>
      <c r="E10" s="163"/>
      <c r="F10" s="163"/>
      <c r="G10" s="163"/>
      <c r="H10" s="164"/>
      <c r="I10" s="164"/>
      <c r="J10" s="164"/>
      <c r="K10" s="165"/>
      <c r="L10" s="165"/>
      <c r="M10" s="166"/>
      <c r="N10" s="114"/>
      <c r="O10" s="109"/>
      <c r="P10" s="120"/>
      <c r="Q10" s="110"/>
    </row>
    <row r="11" spans="2:17" ht="31.5" x14ac:dyDescent="0.25">
      <c r="B11" s="167" t="s">
        <v>18</v>
      </c>
      <c r="C11" s="130" t="s">
        <v>61</v>
      </c>
      <c r="D11" s="12" t="s">
        <v>19</v>
      </c>
      <c r="E11" s="158">
        <f>12482067.03*1.03*1.2</f>
        <v>15427834.849079998</v>
      </c>
      <c r="F11" s="143">
        <f>1436360.16*1.03*1.2</f>
        <v>1775341.1577599999</v>
      </c>
      <c r="G11" s="144">
        <f>E11+F11</f>
        <v>17203176.006839998</v>
      </c>
      <c r="H11" s="159">
        <v>12210741.689999999</v>
      </c>
      <c r="I11" s="145">
        <f>1436360.16*1.03*1.2</f>
        <v>1775341.1577599999</v>
      </c>
      <c r="J11" s="146">
        <f>H11+I11</f>
        <v>13986082.847759999</v>
      </c>
      <c r="K11" s="160">
        <f>H11</f>
        <v>12210741.689999999</v>
      </c>
      <c r="L11" s="147">
        <v>5487781.4500000002</v>
      </c>
      <c r="M11" s="168">
        <f>K11+L11</f>
        <v>17698523.140000001</v>
      </c>
      <c r="N11" s="115" t="s">
        <v>127</v>
      </c>
      <c r="O11" s="107" t="s">
        <v>128</v>
      </c>
      <c r="P11" s="119">
        <f t="shared" si="0"/>
        <v>-3712440.2922400003</v>
      </c>
      <c r="Q11" s="108">
        <f t="shared" si="1"/>
        <v>3.0911137422871979</v>
      </c>
    </row>
    <row r="12" spans="2:17" x14ac:dyDescent="0.25">
      <c r="B12" s="161" t="s">
        <v>20</v>
      </c>
      <c r="C12" s="162" t="s">
        <v>62</v>
      </c>
      <c r="D12" s="12" t="s">
        <v>22</v>
      </c>
      <c r="E12" s="163">
        <f>49128831.23*1.03*1.2</f>
        <v>60723235.400279999</v>
      </c>
      <c r="F12" s="163">
        <f>3692222.17*1.03*1.2</f>
        <v>4563586.6021199999</v>
      </c>
      <c r="G12" s="163">
        <f>E12+F12</f>
        <v>65286822.002399996</v>
      </c>
      <c r="H12" s="164">
        <v>46715954.340000004</v>
      </c>
      <c r="I12" s="164">
        <f>3692222.17*1.03*1.2</f>
        <v>4563586.6021199999</v>
      </c>
      <c r="J12" s="164">
        <f>H12+I12</f>
        <v>51279540.942120001</v>
      </c>
      <c r="K12" s="165">
        <f>H12</f>
        <v>46715954.340000004</v>
      </c>
      <c r="L12" s="165">
        <v>24571196.82</v>
      </c>
      <c r="M12" s="169">
        <f>K12+L12</f>
        <v>71287151.159999996</v>
      </c>
      <c r="N12" s="116" t="s">
        <v>129</v>
      </c>
      <c r="O12" s="109" t="s">
        <v>126</v>
      </c>
      <c r="P12" s="120">
        <f t="shared" si="0"/>
        <v>-20007610.217879999</v>
      </c>
      <c r="Q12" s="110">
        <f t="shared" si="1"/>
        <v>5.3841855019439153</v>
      </c>
    </row>
    <row r="13" spans="2:17" x14ac:dyDescent="0.25">
      <c r="B13" s="161"/>
      <c r="C13" s="162"/>
      <c r="D13" s="12" t="s">
        <v>21</v>
      </c>
      <c r="E13" s="163"/>
      <c r="F13" s="163"/>
      <c r="G13" s="163"/>
      <c r="H13" s="164"/>
      <c r="I13" s="164"/>
      <c r="J13" s="164"/>
      <c r="K13" s="165"/>
      <c r="L13" s="165"/>
      <c r="M13" s="169"/>
      <c r="N13" s="116"/>
      <c r="O13" s="109"/>
      <c r="P13" s="120"/>
      <c r="Q13" s="110"/>
    </row>
    <row r="14" spans="2:17" x14ac:dyDescent="0.25">
      <c r="B14" s="161" t="s">
        <v>23</v>
      </c>
      <c r="C14" s="162" t="s">
        <v>64</v>
      </c>
      <c r="D14" s="12" t="s">
        <v>25</v>
      </c>
      <c r="E14" s="163">
        <f>41124180.24*1.03*1.2</f>
        <v>50829486.776640005</v>
      </c>
      <c r="F14" s="163">
        <f>2891974.13*1.03*1.2</f>
        <v>3574480.0246799998</v>
      </c>
      <c r="G14" s="163">
        <f>E14+F14</f>
        <v>54403966.801320001</v>
      </c>
      <c r="H14" s="164">
        <v>34715421.759999998</v>
      </c>
      <c r="I14" s="164">
        <f>2891974.13*1.03*1.2</f>
        <v>3574480.0246799998</v>
      </c>
      <c r="J14" s="164">
        <f>H14+I14</f>
        <v>38289901.784679994</v>
      </c>
      <c r="K14" s="165">
        <f>H14</f>
        <v>34715421.759999998</v>
      </c>
      <c r="L14" s="165">
        <v>17720593.050000001</v>
      </c>
      <c r="M14" s="169">
        <f>K14+L14</f>
        <v>52436014.810000002</v>
      </c>
      <c r="N14" s="116" t="s">
        <v>129</v>
      </c>
      <c r="O14" s="109" t="s">
        <v>126</v>
      </c>
      <c r="P14" s="120">
        <f t="shared" si="0"/>
        <v>-14146113.025320001</v>
      </c>
      <c r="Q14" s="110">
        <f t="shared" si="1"/>
        <v>4.9575303058481666</v>
      </c>
    </row>
    <row r="15" spans="2:17" x14ac:dyDescent="0.25">
      <c r="B15" s="161"/>
      <c r="C15" s="162"/>
      <c r="D15" s="12" t="s">
        <v>24</v>
      </c>
      <c r="E15" s="163"/>
      <c r="F15" s="163"/>
      <c r="G15" s="163"/>
      <c r="H15" s="164"/>
      <c r="I15" s="164"/>
      <c r="J15" s="164"/>
      <c r="K15" s="165"/>
      <c r="L15" s="165"/>
      <c r="M15" s="169"/>
      <c r="N15" s="116"/>
      <c r="O15" s="109"/>
      <c r="P15" s="120"/>
      <c r="Q15" s="110"/>
    </row>
    <row r="16" spans="2:17" ht="26.25" customHeight="1" x14ac:dyDescent="0.25">
      <c r="B16" s="161" t="s">
        <v>26</v>
      </c>
      <c r="C16" s="162" t="s">
        <v>65</v>
      </c>
      <c r="D16" s="12" t="s">
        <v>28</v>
      </c>
      <c r="E16" s="163">
        <f>45743922.75*1.03*1.2</f>
        <v>56539488.519000001</v>
      </c>
      <c r="F16" s="163">
        <f>3336577.25*1.03*1.2</f>
        <v>4124009.4809999997</v>
      </c>
      <c r="G16" s="163">
        <f>E16+F16</f>
        <v>60663498</v>
      </c>
      <c r="H16" s="164">
        <v>42497387.020000003</v>
      </c>
      <c r="I16" s="164">
        <f>3336577.25*1.03*1.2</f>
        <v>4124009.4809999997</v>
      </c>
      <c r="J16" s="164">
        <f>H16+I16</f>
        <v>46621396.501000002</v>
      </c>
      <c r="K16" s="165">
        <f>H16</f>
        <v>42497387.020000003</v>
      </c>
      <c r="L16" s="165">
        <v>20789384.91</v>
      </c>
      <c r="M16" s="169">
        <f>K16+L16</f>
        <v>63286771.930000007</v>
      </c>
      <c r="N16" s="116" t="s">
        <v>129</v>
      </c>
      <c r="O16" s="109" t="s">
        <v>126</v>
      </c>
      <c r="P16" s="120">
        <f t="shared" si="0"/>
        <v>-16665375.429000001</v>
      </c>
      <c r="Q16" s="110">
        <f t="shared" si="1"/>
        <v>5.041061376260207</v>
      </c>
    </row>
    <row r="17" spans="2:17" ht="24.75" customHeight="1" x14ac:dyDescent="0.25">
      <c r="B17" s="161"/>
      <c r="C17" s="162"/>
      <c r="D17" s="12" t="s">
        <v>27</v>
      </c>
      <c r="E17" s="163"/>
      <c r="F17" s="163"/>
      <c r="G17" s="163"/>
      <c r="H17" s="164"/>
      <c r="I17" s="164"/>
      <c r="J17" s="164"/>
      <c r="K17" s="165"/>
      <c r="L17" s="165"/>
      <c r="M17" s="169"/>
      <c r="N17" s="116"/>
      <c r="O17" s="109"/>
      <c r="P17" s="120"/>
      <c r="Q17" s="110"/>
    </row>
    <row r="18" spans="2:17" ht="39.950000000000003" customHeight="1" x14ac:dyDescent="0.25">
      <c r="B18" s="157" t="s">
        <v>58</v>
      </c>
      <c r="C18" s="130" t="s">
        <v>59</v>
      </c>
      <c r="D18" s="12" t="s">
        <v>29</v>
      </c>
      <c r="E18" s="158">
        <f>65612684.74*1.03*1.2</f>
        <v>81097278.338640004</v>
      </c>
      <c r="F18" s="143">
        <f>6747835.65*1.03*1.2</f>
        <v>8340324.8634000001</v>
      </c>
      <c r="G18" s="144">
        <f>E18+F18</f>
        <v>89437603.202040002</v>
      </c>
      <c r="H18" s="159">
        <v>66501986.960000001</v>
      </c>
      <c r="I18" s="145">
        <f>6747835.65*1.03*1.2</f>
        <v>8340324.8634000001</v>
      </c>
      <c r="J18" s="146">
        <f>H18+I18</f>
        <v>74842311.823400006</v>
      </c>
      <c r="K18" s="160">
        <f>H18</f>
        <v>66501986.960000001</v>
      </c>
      <c r="L18" s="147">
        <v>40504216.719999999</v>
      </c>
      <c r="M18" s="170">
        <f>K18+L18</f>
        <v>107006203.68000001</v>
      </c>
      <c r="N18" s="117" t="s">
        <v>129</v>
      </c>
      <c r="O18" s="107" t="s">
        <v>126</v>
      </c>
      <c r="P18" s="119">
        <f t="shared" si="0"/>
        <v>-32163891.856599998</v>
      </c>
      <c r="Q18" s="108">
        <f t="shared" si="1"/>
        <v>4.8564315399446123</v>
      </c>
    </row>
    <row r="19" spans="2:17" ht="39.950000000000003" customHeight="1" x14ac:dyDescent="0.25">
      <c r="B19" s="157" t="s">
        <v>67</v>
      </c>
      <c r="C19" s="130" t="s">
        <v>66</v>
      </c>
      <c r="D19" s="12" t="s">
        <v>30</v>
      </c>
      <c r="E19" s="158">
        <f>13631473.07*1.03*1.2</f>
        <v>16848500.71452</v>
      </c>
      <c r="F19" s="143">
        <f>1569862.72*1.03*1.2</f>
        <v>1940350.3219199998</v>
      </c>
      <c r="G19" s="144">
        <f>E19+F19</f>
        <v>18788851.03644</v>
      </c>
      <c r="H19" s="159">
        <v>13336832.369999999</v>
      </c>
      <c r="I19" s="145">
        <f>1569862.72*1.03*1.2</f>
        <v>1940350.3219199998</v>
      </c>
      <c r="J19" s="146">
        <f>H19+I19</f>
        <v>15277182.691919999</v>
      </c>
      <c r="K19" s="160">
        <f>H19</f>
        <v>13336832.369999999</v>
      </c>
      <c r="L19" s="147">
        <v>8035603.4299999997</v>
      </c>
      <c r="M19" s="170">
        <f>K19+L19</f>
        <v>21372435.799999997</v>
      </c>
      <c r="N19" s="117" t="s">
        <v>129</v>
      </c>
      <c r="O19" s="107" t="s">
        <v>126</v>
      </c>
      <c r="P19" s="119">
        <f t="shared" si="0"/>
        <v>-6095253.1080799997</v>
      </c>
      <c r="Q19" s="108">
        <f t="shared" si="1"/>
        <v>4.1413157919074504</v>
      </c>
    </row>
    <row r="20" spans="2:17" ht="39.950000000000003" customHeight="1" x14ac:dyDescent="0.25">
      <c r="B20" s="157" t="s">
        <v>69</v>
      </c>
      <c r="C20" s="130" t="s">
        <v>68</v>
      </c>
      <c r="D20" s="12" t="s">
        <v>31</v>
      </c>
      <c r="E20" s="158">
        <f>13275544.98*1.03*1.2</f>
        <v>16408573.595280001</v>
      </c>
      <c r="F20" s="143">
        <f>1374545.4*1.03*1.2</f>
        <v>1698938.1143999998</v>
      </c>
      <c r="G20" s="144">
        <f t="shared" ref="G20:G25" si="2">E20+F20</f>
        <v>18107511.709680002</v>
      </c>
      <c r="H20" s="159">
        <v>12670198.960000001</v>
      </c>
      <c r="I20" s="145">
        <f>1374545.4*1.03*1.2</f>
        <v>1698938.1143999998</v>
      </c>
      <c r="J20" s="146">
        <f t="shared" ref="J20:J25" si="3">H20+I20</f>
        <v>14369137.0744</v>
      </c>
      <c r="K20" s="160">
        <f>H20</f>
        <v>12670198.960000001</v>
      </c>
      <c r="L20" s="147">
        <v>7126097.5899999999</v>
      </c>
      <c r="M20" s="170">
        <f t="shared" ref="M20:M25" si="4">K20+L20</f>
        <v>19796296.550000001</v>
      </c>
      <c r="N20" s="117" t="s">
        <v>129</v>
      </c>
      <c r="O20" s="107" t="s">
        <v>126</v>
      </c>
      <c r="P20" s="119">
        <f t="shared" si="0"/>
        <v>-5427159.4756000005</v>
      </c>
      <c r="Q20" s="108">
        <f t="shared" si="1"/>
        <v>4.194442122170333</v>
      </c>
    </row>
    <row r="21" spans="2:17" ht="39.950000000000003" customHeight="1" x14ac:dyDescent="0.25">
      <c r="B21" s="167" t="s">
        <v>71</v>
      </c>
      <c r="C21" s="130" t="s">
        <v>70</v>
      </c>
      <c r="D21" s="12" t="s">
        <v>32</v>
      </c>
      <c r="E21" s="158">
        <f>13269878.32*1.03*1.2</f>
        <v>16401569.60352</v>
      </c>
      <c r="F21" s="143">
        <f>1503263.59*1.03*1.2</f>
        <v>1858033.7972400002</v>
      </c>
      <c r="G21" s="144">
        <f t="shared" si="2"/>
        <v>18259603.400760002</v>
      </c>
      <c r="H21" s="159">
        <v>11058386.07</v>
      </c>
      <c r="I21" s="145">
        <f>1503263.59*1.03*1.2</f>
        <v>1858033.7972400002</v>
      </c>
      <c r="J21" s="146">
        <f t="shared" si="3"/>
        <v>12916419.867240001</v>
      </c>
      <c r="K21" s="160">
        <f>H21</f>
        <v>11058386.07</v>
      </c>
      <c r="L21" s="147">
        <v>5652719.0899999999</v>
      </c>
      <c r="M21" s="168">
        <f t="shared" si="4"/>
        <v>16711105.16</v>
      </c>
      <c r="N21" s="115" t="s">
        <v>127</v>
      </c>
      <c r="O21" s="107" t="s">
        <v>128</v>
      </c>
      <c r="P21" s="119">
        <f t="shared" si="0"/>
        <v>-3794685.2927599996</v>
      </c>
      <c r="Q21" s="108">
        <f t="shared" si="1"/>
        <v>3.0423123079874981</v>
      </c>
    </row>
    <row r="22" spans="2:17" ht="39.950000000000003" customHeight="1" x14ac:dyDescent="0.25">
      <c r="B22" s="167" t="s">
        <v>73</v>
      </c>
      <c r="C22" s="130" t="s">
        <v>72</v>
      </c>
      <c r="D22" s="12" t="s">
        <v>33</v>
      </c>
      <c r="E22" s="158">
        <f>11682164.23*1.03*1.2</f>
        <v>14439154.988280002</v>
      </c>
      <c r="F22" s="143">
        <f>1251323.15*1.03*1.2</f>
        <v>1546635.4133999997</v>
      </c>
      <c r="G22" s="144">
        <f t="shared" si="2"/>
        <v>15985790.401680002</v>
      </c>
      <c r="H22" s="159">
        <v>11350798.98</v>
      </c>
      <c r="I22" s="145">
        <f>1251323.15*1.03*1.2</f>
        <v>1546635.4133999997</v>
      </c>
      <c r="J22" s="146">
        <f t="shared" si="3"/>
        <v>12897434.3934</v>
      </c>
      <c r="K22" s="160">
        <f>H22</f>
        <v>11350798.98</v>
      </c>
      <c r="L22" s="147">
        <v>4554697.5599999996</v>
      </c>
      <c r="M22" s="168">
        <f t="shared" si="4"/>
        <v>15905496.539999999</v>
      </c>
      <c r="N22" s="115" t="s">
        <v>127</v>
      </c>
      <c r="O22" s="107" t="s">
        <v>128</v>
      </c>
      <c r="P22" s="119">
        <f t="shared" si="0"/>
        <v>-3008062.1465999996</v>
      </c>
      <c r="Q22" s="108">
        <f t="shared" si="1"/>
        <v>2.9449070676503628</v>
      </c>
    </row>
    <row r="23" spans="2:17" ht="39.950000000000003" customHeight="1" x14ac:dyDescent="0.25">
      <c r="B23" s="157" t="s">
        <v>34</v>
      </c>
      <c r="C23" s="130" t="s">
        <v>74</v>
      </c>
      <c r="D23" s="12" t="s">
        <v>35</v>
      </c>
      <c r="E23" s="158">
        <f>37162467.56*1.03*1.2</f>
        <v>45932809.90416</v>
      </c>
      <c r="F23" s="143">
        <f>4110555.64*1.03*1.2</f>
        <v>5080646.77104</v>
      </c>
      <c r="G23" s="144">
        <f t="shared" si="2"/>
        <v>51013456.6752</v>
      </c>
      <c r="H23" s="159">
        <v>43501852</v>
      </c>
      <c r="I23" s="145">
        <f>4110555.64*1.03*1.2</f>
        <v>5080646.77104</v>
      </c>
      <c r="J23" s="146">
        <f t="shared" si="3"/>
        <v>48582498.77104</v>
      </c>
      <c r="K23" s="160">
        <f>H23</f>
        <v>43501852</v>
      </c>
      <c r="L23" s="147">
        <v>22593095.59</v>
      </c>
      <c r="M23" s="170">
        <f t="shared" si="4"/>
        <v>66094947.590000004</v>
      </c>
      <c r="N23" s="117" t="s">
        <v>129</v>
      </c>
      <c r="O23" s="107" t="s">
        <v>126</v>
      </c>
      <c r="P23" s="119">
        <f t="shared" si="0"/>
        <v>-17512448.81896</v>
      </c>
      <c r="Q23" s="108">
        <f t="shared" si="1"/>
        <v>4.4468935960638003</v>
      </c>
    </row>
    <row r="24" spans="2:17" ht="39.950000000000003" customHeight="1" x14ac:dyDescent="0.25">
      <c r="B24" s="157" t="s">
        <v>36</v>
      </c>
      <c r="C24" s="130" t="s">
        <v>75</v>
      </c>
      <c r="D24" s="12" t="s">
        <v>37</v>
      </c>
      <c r="E24" s="158">
        <f>89612095.56*1.03*1.2</f>
        <v>110760550.11216</v>
      </c>
      <c r="F24" s="143">
        <f>6404760.39*1.03*1.2</f>
        <v>7916283.8420399996</v>
      </c>
      <c r="G24" s="144">
        <f t="shared" si="2"/>
        <v>118676833.9542</v>
      </c>
      <c r="H24" s="159">
        <v>112600192.12</v>
      </c>
      <c r="I24" s="145">
        <f>6404760.39*1.03*1.2</f>
        <v>7916283.8420399996</v>
      </c>
      <c r="J24" s="146">
        <f t="shared" si="3"/>
        <v>120516475.96204001</v>
      </c>
      <c r="K24" s="160">
        <f>H24</f>
        <v>112600192.12</v>
      </c>
      <c r="L24" s="147">
        <v>27045582.998925701</v>
      </c>
      <c r="M24" s="148">
        <f t="shared" si="4"/>
        <v>139645775.11892569</v>
      </c>
      <c r="N24" s="113" t="s">
        <v>122</v>
      </c>
      <c r="O24" s="107" t="s">
        <v>123</v>
      </c>
      <c r="P24" s="119">
        <f t="shared" si="0"/>
        <v>-19129299.156885702</v>
      </c>
      <c r="Q24" s="108">
        <f t="shared" si="1"/>
        <v>3.4164493768273152</v>
      </c>
    </row>
    <row r="25" spans="2:17" ht="39.950000000000003" customHeight="1" x14ac:dyDescent="0.25">
      <c r="B25" s="157" t="s">
        <v>38</v>
      </c>
      <c r="C25" s="130" t="s">
        <v>76</v>
      </c>
      <c r="D25" s="12" t="s">
        <v>39</v>
      </c>
      <c r="E25" s="158">
        <f>49740513.27*1.03*1.2</f>
        <v>61479274.401720002</v>
      </c>
      <c r="F25" s="143">
        <f>3011287.27*1.03*1.2</f>
        <v>3721951.0657199998</v>
      </c>
      <c r="G25" s="144">
        <f t="shared" si="2"/>
        <v>65201225.467440002</v>
      </c>
      <c r="H25" s="159">
        <v>54875672.939999998</v>
      </c>
      <c r="I25" s="145">
        <f>3011287.27*1.03*1.2</f>
        <v>3721951.0657199998</v>
      </c>
      <c r="J25" s="146">
        <f t="shared" si="3"/>
        <v>58597624.005719997</v>
      </c>
      <c r="K25" s="160">
        <f>H25</f>
        <v>54875672.939999998</v>
      </c>
      <c r="L25" s="147">
        <v>13440777.10952037</v>
      </c>
      <c r="M25" s="148">
        <f t="shared" si="4"/>
        <v>68316450.049520373</v>
      </c>
      <c r="N25" s="113" t="s">
        <v>122</v>
      </c>
      <c r="O25" s="107" t="s">
        <v>123</v>
      </c>
      <c r="P25" s="119">
        <f t="shared" si="0"/>
        <v>-9718826.0438003708</v>
      </c>
      <c r="Q25" s="108">
        <f t="shared" si="1"/>
        <v>3.6112181144220106</v>
      </c>
    </row>
    <row r="26" spans="2:17" ht="39.950000000000003" customHeight="1" x14ac:dyDescent="0.25">
      <c r="B26" s="161" t="s">
        <v>40</v>
      </c>
      <c r="C26" s="162" t="s">
        <v>41</v>
      </c>
      <c r="D26" s="12" t="s">
        <v>42</v>
      </c>
      <c r="E26" s="163">
        <f>63929694.62*1.03*1.2</f>
        <v>79017102.550319999</v>
      </c>
      <c r="F26" s="163">
        <f>4523458.78*1.03*1.2</f>
        <v>5590995.0520800008</v>
      </c>
      <c r="G26" s="163">
        <f>E26+F26</f>
        <v>84608097.602400005</v>
      </c>
      <c r="H26" s="164">
        <v>49327205.909999996</v>
      </c>
      <c r="I26" s="164">
        <f>4523458.78*1.03*1.2</f>
        <v>5590995.0520800008</v>
      </c>
      <c r="J26" s="164">
        <f>H26+I26</f>
        <v>54918200.962079994</v>
      </c>
      <c r="K26" s="165">
        <f>H26</f>
        <v>49327205.909999996</v>
      </c>
      <c r="L26" s="165">
        <v>25176856.170000002</v>
      </c>
      <c r="M26" s="169">
        <f>K26+L26</f>
        <v>74504062.079999998</v>
      </c>
      <c r="N26" s="116" t="s">
        <v>129</v>
      </c>
      <c r="O26" s="109" t="s">
        <v>126</v>
      </c>
      <c r="P26" s="120">
        <f t="shared" si="0"/>
        <v>-19585861.11792</v>
      </c>
      <c r="Q26" s="110">
        <f t="shared" si="1"/>
        <v>4.503108290291463</v>
      </c>
    </row>
    <row r="27" spans="2:17" ht="39.950000000000003" customHeight="1" x14ac:dyDescent="0.25">
      <c r="B27" s="161"/>
      <c r="C27" s="162"/>
      <c r="D27" s="12" t="s">
        <v>43</v>
      </c>
      <c r="E27" s="163"/>
      <c r="F27" s="163"/>
      <c r="G27" s="163"/>
      <c r="H27" s="164"/>
      <c r="I27" s="164"/>
      <c r="J27" s="164"/>
      <c r="K27" s="165"/>
      <c r="L27" s="165"/>
      <c r="M27" s="169"/>
      <c r="N27" s="116"/>
      <c r="O27" s="109"/>
      <c r="P27" s="120"/>
      <c r="Q27" s="110"/>
    </row>
    <row r="28" spans="2:17" ht="39.950000000000003" customHeight="1" x14ac:dyDescent="0.25">
      <c r="B28" s="157" t="s">
        <v>78</v>
      </c>
      <c r="C28" s="130" t="s">
        <v>77</v>
      </c>
      <c r="D28" s="12" t="s">
        <v>44</v>
      </c>
      <c r="E28" s="158">
        <f>71447397.41*1.03*1.2</f>
        <v>88308983.198759988</v>
      </c>
      <c r="F28" s="143">
        <f>4862606.67*1.03*1.2</f>
        <v>6010181.8441199996</v>
      </c>
      <c r="G28" s="144">
        <f>E28+F28</f>
        <v>94319165.042879984</v>
      </c>
      <c r="H28" s="159">
        <v>72898829.450000003</v>
      </c>
      <c r="I28" s="145">
        <f>4862606.67*1.03*1.2</f>
        <v>6010181.8441199996</v>
      </c>
      <c r="J28" s="146">
        <f>H28+I28</f>
        <v>78909011.294119999</v>
      </c>
      <c r="K28" s="160">
        <f>H28</f>
        <v>72898829.450000003</v>
      </c>
      <c r="L28" s="147">
        <v>20506266.685228683</v>
      </c>
      <c r="M28" s="148">
        <f>K28+L28</f>
        <v>93405096.135228693</v>
      </c>
      <c r="N28" s="113" t="s">
        <v>122</v>
      </c>
      <c r="O28" s="107" t="s">
        <v>123</v>
      </c>
      <c r="P28" s="119">
        <f t="shared" si="0"/>
        <v>-14496084.841108683</v>
      </c>
      <c r="Q28" s="108">
        <f t="shared" si="1"/>
        <v>3.4119211726165624</v>
      </c>
    </row>
    <row r="29" spans="2:17" ht="39.950000000000003" customHeight="1" x14ac:dyDescent="0.25">
      <c r="B29" s="157" t="s">
        <v>57</v>
      </c>
      <c r="C29" s="130" t="s">
        <v>86</v>
      </c>
      <c r="D29" s="12" t="s">
        <v>45</v>
      </c>
      <c r="E29" s="158">
        <f>17623437.02*1.03*1.2</f>
        <v>21782568.156720001</v>
      </c>
      <c r="F29" s="143">
        <f>1483843.63*1.03*1.2</f>
        <v>1834030.7266799998</v>
      </c>
      <c r="G29" s="144">
        <f t="shared" ref="G29:G35" si="5">E29+F29</f>
        <v>23616598.883400001</v>
      </c>
      <c r="H29" s="159">
        <v>17945905.98</v>
      </c>
      <c r="I29" s="145">
        <f>1483843.63*1.03*1.2</f>
        <v>1834030.7266799998</v>
      </c>
      <c r="J29" s="146">
        <f t="shared" ref="J29:J35" si="6">H29+I29</f>
        <v>19779936.70668</v>
      </c>
      <c r="K29" s="160">
        <f>H29</f>
        <v>17945905.98</v>
      </c>
      <c r="L29" s="147">
        <v>6178927.7100485796</v>
      </c>
      <c r="M29" s="148">
        <f t="shared" ref="M29:M35" si="7">K29+L29</f>
        <v>24124833.690048579</v>
      </c>
      <c r="N29" s="113" t="s">
        <v>122</v>
      </c>
      <c r="O29" s="107" t="s">
        <v>123</v>
      </c>
      <c r="P29" s="119">
        <f t="shared" si="0"/>
        <v>-4344896.9833685793</v>
      </c>
      <c r="Q29" s="108">
        <f t="shared" si="1"/>
        <v>3.369042633889674</v>
      </c>
    </row>
    <row r="30" spans="2:17" ht="39.950000000000003" customHeight="1" x14ac:dyDescent="0.25">
      <c r="B30" s="157" t="s">
        <v>46</v>
      </c>
      <c r="C30" s="130" t="s">
        <v>79</v>
      </c>
      <c r="D30" s="12" t="s">
        <v>47</v>
      </c>
      <c r="E30" s="158">
        <f>13022939.55*1.03*1.2</f>
        <v>16096353.2838</v>
      </c>
      <c r="F30" s="143">
        <f>1289171.25*1.03*1.2</f>
        <v>1593415.6649999998</v>
      </c>
      <c r="G30" s="144">
        <f t="shared" si="5"/>
        <v>17689768.948800001</v>
      </c>
      <c r="H30" s="159">
        <v>14962171.16</v>
      </c>
      <c r="I30" s="145">
        <f>1289171.25*1.03*1.2</f>
        <v>1593415.6649999998</v>
      </c>
      <c r="J30" s="146">
        <f t="shared" si="6"/>
        <v>16555586.824999999</v>
      </c>
      <c r="K30" s="160">
        <f>H30</f>
        <v>14962171.16</v>
      </c>
      <c r="L30" s="147">
        <v>5965974.7340064887</v>
      </c>
      <c r="M30" s="148">
        <f t="shared" si="7"/>
        <v>20928145.894006491</v>
      </c>
      <c r="N30" s="113" t="s">
        <v>122</v>
      </c>
      <c r="O30" s="107" t="s">
        <v>123</v>
      </c>
      <c r="P30" s="119">
        <f t="shared" si="0"/>
        <v>-4372559.0690064887</v>
      </c>
      <c r="Q30" s="108">
        <f t="shared" si="1"/>
        <v>3.7441421375799573</v>
      </c>
    </row>
    <row r="31" spans="2:17" ht="39.950000000000003" customHeight="1" x14ac:dyDescent="0.25">
      <c r="B31" s="157" t="s">
        <v>48</v>
      </c>
      <c r="C31" s="130" t="s">
        <v>80</v>
      </c>
      <c r="D31" s="12" t="s">
        <v>49</v>
      </c>
      <c r="E31" s="158">
        <f>211787394.01*1.03*1.2</f>
        <v>261769218.99636</v>
      </c>
      <c r="F31" s="143">
        <f>14634907.97*1.03*1.2</f>
        <v>18088746.250920001</v>
      </c>
      <c r="G31" s="144">
        <f t="shared" si="5"/>
        <v>279857965.24728</v>
      </c>
      <c r="H31" s="159">
        <v>168506924.09999999</v>
      </c>
      <c r="I31" s="145">
        <f>14634907.97*1.03*1.2</f>
        <v>18088746.250920001</v>
      </c>
      <c r="J31" s="146">
        <f t="shared" si="6"/>
        <v>186595670.35091999</v>
      </c>
      <c r="K31" s="160">
        <f>H31</f>
        <v>168506924.09999999</v>
      </c>
      <c r="L31" s="147">
        <v>50989183.609999999</v>
      </c>
      <c r="M31" s="148">
        <f>L31+K31</f>
        <v>219496107.70999998</v>
      </c>
      <c r="N31" s="113" t="s">
        <v>122</v>
      </c>
      <c r="O31" s="107" t="s">
        <v>125</v>
      </c>
      <c r="P31" s="119">
        <f t="shared" si="0"/>
        <v>-32900437.359079998</v>
      </c>
      <c r="Q31" s="108">
        <f t="shared" si="1"/>
        <v>2.8188345893462166</v>
      </c>
    </row>
    <row r="32" spans="2:17" ht="39.950000000000003" customHeight="1" x14ac:dyDescent="0.25">
      <c r="B32" s="157" t="s">
        <v>50</v>
      </c>
      <c r="C32" s="130" t="s">
        <v>81</v>
      </c>
      <c r="D32" s="12" t="s">
        <v>51</v>
      </c>
      <c r="E32" s="158">
        <f>5562138.22*1.03*1.2</f>
        <v>6874802.8399200002</v>
      </c>
      <c r="F32" s="143">
        <f>2372402.55*1.03*1.2</f>
        <v>2932289.5517999995</v>
      </c>
      <c r="G32" s="144">
        <f t="shared" si="5"/>
        <v>9807092.3917200007</v>
      </c>
      <c r="H32" s="159">
        <v>14338288.560000001</v>
      </c>
      <c r="I32" s="145">
        <f>2372402.55*1.03*1.2</f>
        <v>2932289.5517999995</v>
      </c>
      <c r="J32" s="146">
        <f t="shared" si="6"/>
        <v>17270578.1118</v>
      </c>
      <c r="K32" s="160">
        <f>H32</f>
        <v>14338288.560000001</v>
      </c>
      <c r="L32" s="147">
        <v>7524725.7400000002</v>
      </c>
      <c r="M32" s="148">
        <f t="shared" si="7"/>
        <v>21863014.300000001</v>
      </c>
      <c r="N32" s="113" t="s">
        <v>122</v>
      </c>
      <c r="O32" s="107" t="s">
        <v>125</v>
      </c>
      <c r="P32" s="119">
        <f t="shared" si="0"/>
        <v>-4592436.1882000007</v>
      </c>
      <c r="Q32" s="108">
        <f t="shared" si="1"/>
        <v>2.5661605401079552</v>
      </c>
    </row>
    <row r="33" spans="1:17" ht="39.950000000000003" customHeight="1" x14ac:dyDescent="0.25">
      <c r="B33" s="167" t="s">
        <v>52</v>
      </c>
      <c r="C33" s="130" t="s">
        <v>82</v>
      </c>
      <c r="D33" s="12" t="s">
        <v>53</v>
      </c>
      <c r="E33" s="158">
        <f>274898438.26*1.03*1.2</f>
        <v>339774469.68936002</v>
      </c>
      <c r="F33" s="143">
        <f>20403543.64*1.03*1.2</f>
        <v>25218779.939040001</v>
      </c>
      <c r="G33" s="144">
        <f t="shared" si="5"/>
        <v>364993249.62840003</v>
      </c>
      <c r="H33" s="159">
        <v>205032038.66999999</v>
      </c>
      <c r="I33" s="145">
        <f>20403543.64*1.03*1.2</f>
        <v>25218779.939040001</v>
      </c>
      <c r="J33" s="146">
        <f t="shared" si="6"/>
        <v>230250818.60903999</v>
      </c>
      <c r="K33" s="160">
        <f>H33</f>
        <v>205032038.66999999</v>
      </c>
      <c r="L33" s="147">
        <v>44957618.619999997</v>
      </c>
      <c r="M33" s="168">
        <f t="shared" si="7"/>
        <v>249989657.28999999</v>
      </c>
      <c r="N33" s="115" t="s">
        <v>127</v>
      </c>
      <c r="O33" s="107" t="s">
        <v>128</v>
      </c>
      <c r="P33" s="119">
        <f t="shared" si="0"/>
        <v>-19738838.680959996</v>
      </c>
      <c r="Q33" s="108">
        <f t="shared" si="1"/>
        <v>1.7827039503367581</v>
      </c>
    </row>
    <row r="34" spans="1:17" ht="39.950000000000003" customHeight="1" thickBot="1" x14ac:dyDescent="0.3">
      <c r="B34" s="167" t="s">
        <v>54</v>
      </c>
      <c r="C34" s="130" t="s">
        <v>83</v>
      </c>
      <c r="D34" s="12" t="s">
        <v>55</v>
      </c>
      <c r="E34" s="158">
        <f>2551658.72*1.03*1.2</f>
        <v>3153850.1779200002</v>
      </c>
      <c r="F34" s="143">
        <f>341952.23*1.03*1.2</f>
        <v>422652.95627999998</v>
      </c>
      <c r="G34" s="144">
        <f t="shared" si="5"/>
        <v>3576503.1342000002</v>
      </c>
      <c r="H34" s="159">
        <v>2936417.53</v>
      </c>
      <c r="I34" s="145">
        <f>341952.23*1.03*1.2</f>
        <v>422652.95627999998</v>
      </c>
      <c r="J34" s="146">
        <f t="shared" si="6"/>
        <v>3359070.4862799998</v>
      </c>
      <c r="K34" s="160">
        <f>H34</f>
        <v>2936417.53</v>
      </c>
      <c r="L34" s="147">
        <v>1983741.3</v>
      </c>
      <c r="M34" s="168">
        <f t="shared" si="7"/>
        <v>4920158.83</v>
      </c>
      <c r="N34" s="115" t="s">
        <v>127</v>
      </c>
      <c r="O34" s="107" t="s">
        <v>128</v>
      </c>
      <c r="P34" s="119">
        <f t="shared" si="0"/>
        <v>-1561088.34372</v>
      </c>
      <c r="Q34" s="108">
        <f t="shared" si="1"/>
        <v>4.6935464913341507</v>
      </c>
    </row>
    <row r="35" spans="1:17" ht="39.950000000000003" customHeight="1" thickBot="1" x14ac:dyDescent="0.3">
      <c r="A35" s="25"/>
      <c r="B35" s="167" t="s">
        <v>84</v>
      </c>
      <c r="C35" s="130" t="s">
        <v>85</v>
      </c>
      <c r="D35" s="12" t="s">
        <v>56</v>
      </c>
      <c r="E35" s="158">
        <f>12440633.08*1.03*1.2</f>
        <v>15376622.486879999</v>
      </c>
      <c r="F35" s="143">
        <f>8762467.39*1.03*1.2</f>
        <v>10830409.69404</v>
      </c>
      <c r="G35" s="144">
        <f t="shared" si="5"/>
        <v>26207032.180919997</v>
      </c>
      <c r="H35" s="159">
        <v>14131183.49</v>
      </c>
      <c r="I35" s="145">
        <f>8762467.39*1.03*1.2</f>
        <v>10830409.69404</v>
      </c>
      <c r="J35" s="146">
        <f t="shared" si="6"/>
        <v>24961593.184040003</v>
      </c>
      <c r="K35" s="160">
        <f>H35</f>
        <v>14131183.49</v>
      </c>
      <c r="L35" s="147">
        <v>30962665.48</v>
      </c>
      <c r="M35" s="168">
        <f t="shared" si="7"/>
        <v>45093848.969999999</v>
      </c>
      <c r="N35" s="115" t="s">
        <v>127</v>
      </c>
      <c r="O35" s="107" t="s">
        <v>128</v>
      </c>
      <c r="P35" s="119">
        <f t="shared" si="0"/>
        <v>-20132255.78596</v>
      </c>
      <c r="Q35" s="108">
        <f t="shared" si="1"/>
        <v>2.8588637322777206</v>
      </c>
    </row>
    <row r="36" spans="1:17" ht="39.950000000000003" customHeight="1" x14ac:dyDescent="0.25">
      <c r="A36" s="111"/>
      <c r="B36" s="167"/>
      <c r="C36" s="130"/>
      <c r="D36" s="12"/>
      <c r="E36" s="158">
        <f>SUM(E5:E35)</f>
        <v>1536622522.6328406</v>
      </c>
      <c r="F36" s="143">
        <f t="shared" ref="F36:J36" si="8">SUM(F5:F35)</f>
        <v>225917923.12319997</v>
      </c>
      <c r="G36" s="144">
        <f t="shared" si="8"/>
        <v>1762540445.7560399</v>
      </c>
      <c r="H36" s="159">
        <f t="shared" si="8"/>
        <v>1149050952.3599999</v>
      </c>
      <c r="I36" s="145">
        <f t="shared" si="8"/>
        <v>225917923.12319997</v>
      </c>
      <c r="J36" s="146">
        <f t="shared" si="8"/>
        <v>1374968875.4832001</v>
      </c>
      <c r="K36" s="160">
        <f>SUM(K5:K35)</f>
        <v>1151092625.2136939</v>
      </c>
      <c r="L36" s="147">
        <f>SUM(L5:L35)</f>
        <v>815077138.39472973</v>
      </c>
      <c r="M36" s="168">
        <f>SUM(M5:M35)</f>
        <v>1966169763.6084239</v>
      </c>
      <c r="N36" s="115"/>
      <c r="O36" s="107"/>
      <c r="P36" s="112"/>
      <c r="Q36" s="112"/>
    </row>
    <row r="37" spans="1:17" s="20" customFormat="1" ht="30" customHeight="1" x14ac:dyDescent="0.2">
      <c r="A37" s="118"/>
      <c r="B37" s="51" t="s">
        <v>119</v>
      </c>
      <c r="C37" s="51"/>
      <c r="D37" s="51"/>
      <c r="E37" s="171">
        <f>G5+G7+G8+G11+G12+G14+G16+G18+G19+G20+G21+G22+G23+G24+G25+G26+G28+G29+G30+G31+G32+G33+G34+G35</f>
        <v>1762540445.7560399</v>
      </c>
      <c r="F37" s="171"/>
      <c r="G37" s="171"/>
      <c r="H37" s="171">
        <f>J5+J7+J8+J11+J12+J14+J16+J18+J19+J20+J21+J22+J23+J24+J25+J26+J28+J29+J30+J31+J32+J33+J34+J35</f>
        <v>1374968875.4832001</v>
      </c>
      <c r="I37" s="171"/>
      <c r="J37" s="171"/>
      <c r="K37" s="171">
        <f>K36+L36</f>
        <v>1966169763.6084237</v>
      </c>
      <c r="L37" s="171"/>
      <c r="M37" s="171"/>
      <c r="N37" s="172"/>
      <c r="O37" s="172"/>
      <c r="P37" s="106">
        <f>SUM(P5:P35)</f>
        <v>-589159215.27152967</v>
      </c>
      <c r="Q37" s="106"/>
    </row>
    <row r="40" spans="1:17" x14ac:dyDescent="0.25">
      <c r="D40" s="174" t="s">
        <v>131</v>
      </c>
      <c r="E40" s="174"/>
      <c r="F40" s="173">
        <f>E36-H36</f>
        <v>387571570.27284074</v>
      </c>
    </row>
    <row r="41" spans="1:17" x14ac:dyDescent="0.25">
      <c r="D41" s="175" t="s">
        <v>132</v>
      </c>
      <c r="E41" s="175"/>
      <c r="F41" s="173">
        <f>L36-F36</f>
        <v>589159215.27152979</v>
      </c>
    </row>
  </sheetData>
  <autoFilter ref="B3:M37"/>
  <mergeCells count="85">
    <mergeCell ref="P26:P27"/>
    <mergeCell ref="Q26:Q27"/>
    <mergeCell ref="D40:E40"/>
    <mergeCell ref="D41:E41"/>
    <mergeCell ref="P8:P10"/>
    <mergeCell ref="P12:P13"/>
    <mergeCell ref="P14:P15"/>
    <mergeCell ref="P16:P17"/>
    <mergeCell ref="Q16:Q17"/>
    <mergeCell ref="Q14:Q15"/>
    <mergeCell ref="Q12:Q13"/>
    <mergeCell ref="Q8:Q10"/>
    <mergeCell ref="B1:G1"/>
    <mergeCell ref="B8:B10"/>
    <mergeCell ref="C8:C10"/>
    <mergeCell ref="E8:E10"/>
    <mergeCell ref="F8:F10"/>
    <mergeCell ref="G8:G10"/>
    <mergeCell ref="B14:B15"/>
    <mergeCell ref="C14:C15"/>
    <mergeCell ref="E14:E15"/>
    <mergeCell ref="F14:F15"/>
    <mergeCell ref="G14:G15"/>
    <mergeCell ref="B12:B13"/>
    <mergeCell ref="C12:C13"/>
    <mergeCell ref="E12:E13"/>
    <mergeCell ref="F12:F13"/>
    <mergeCell ref="G12:G13"/>
    <mergeCell ref="B37:D37"/>
    <mergeCell ref="E37:G37"/>
    <mergeCell ref="B16:B17"/>
    <mergeCell ref="C16:C17"/>
    <mergeCell ref="E16:E17"/>
    <mergeCell ref="F16:F17"/>
    <mergeCell ref="G16:G17"/>
    <mergeCell ref="B26:B27"/>
    <mergeCell ref="C26:C27"/>
    <mergeCell ref="E26:E27"/>
    <mergeCell ref="F26:F27"/>
    <mergeCell ref="G26:G27"/>
    <mergeCell ref="I16:I17"/>
    <mergeCell ref="J16:J17"/>
    <mergeCell ref="E2:G2"/>
    <mergeCell ref="H2:J2"/>
    <mergeCell ref="H8:H10"/>
    <mergeCell ref="I8:I10"/>
    <mergeCell ref="J8:J10"/>
    <mergeCell ref="H12:H13"/>
    <mergeCell ref="H26:H27"/>
    <mergeCell ref="I26:I27"/>
    <mergeCell ref="J26:J27"/>
    <mergeCell ref="H37:J37"/>
    <mergeCell ref="K2:M2"/>
    <mergeCell ref="K8:K10"/>
    <mergeCell ref="L8:L10"/>
    <mergeCell ref="M8:M10"/>
    <mergeCell ref="K12:K13"/>
    <mergeCell ref="L12:L13"/>
    <mergeCell ref="I12:I13"/>
    <mergeCell ref="J12:J13"/>
    <mergeCell ref="H14:H15"/>
    <mergeCell ref="I14:I15"/>
    <mergeCell ref="J14:J15"/>
    <mergeCell ref="H16:H17"/>
    <mergeCell ref="K26:K27"/>
    <mergeCell ref="L26:L27"/>
    <mergeCell ref="M26:M27"/>
    <mergeCell ref="K37:M37"/>
    <mergeCell ref="M12:M13"/>
    <mergeCell ref="K14:K15"/>
    <mergeCell ref="L14:L15"/>
    <mergeCell ref="M14:M15"/>
    <mergeCell ref="K16:K17"/>
    <mergeCell ref="L16:L17"/>
    <mergeCell ref="M16:M17"/>
    <mergeCell ref="N8:N10"/>
    <mergeCell ref="O8:O10"/>
    <mergeCell ref="N26:N27"/>
    <mergeCell ref="O26:O27"/>
    <mergeCell ref="N12:N13"/>
    <mergeCell ref="O12:O13"/>
    <mergeCell ref="N14:N15"/>
    <mergeCell ref="O14:O15"/>
    <mergeCell ref="N16:N17"/>
    <mergeCell ref="O16:O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u W y 3 W s s y x J e k A A A A 9 Q A A A B I A H A B D b 2 5 m a W c v U G F j a 2 F n Z S 5 4 b W w g o h g A K K A U A A A A A A A A A A A A A A A A A A A A A A A A A A A A h Y 8 9 D o I w A I W v Q r r T 1 m o M k l I G V 0 m M R u P a l A q N U E x / L H d z 8 E h e Q Y y i b o 7 v e 9 / w 3 v 1 6 o 3 n f N t F F G q s 6 n Y E J x C C S W n S l 0 l U G v D v G C c g Z X X N x 4 p W M B l n b t L d l B m r n z i l C I Q Q Y p r A z F S I Y T 9 C h W G 1 F L V s O P r L 6 L 8 d K W 8 e 1 k I D R / W s M I 3 A x h 8 m M Q E z R y G i h 9 L c n w 9 x n + w P p 0 j f O G 8 m M j z c 7 i s Z I 0 f s C e w B Q S w M E F A A C A A g A u W y 3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l s t 1 o o i k e 4 D g A A A B E A A A A T A B w A R m 9 y b X V s Y X M v U 2 V j d G l v b j E u b S C i G A A o o B Q A A A A A A A A A A A A A A A A A A A A A A A A A A A A r T k 0 u y c z P U w i G 0 I b W A F B L A Q I t A B Q A A g A I A L l s t 1 r L M s S X p A A A A P U A A A A S A A A A A A A A A A A A A A A A A A A A A A B D b 2 5 m a W c v U G F j a 2 F n Z S 5 4 b W x Q S w E C L Q A U A A I A C A C 5 b L d a D 8 r p q 6 Q A A A D p A A A A E w A A A A A A A A A A A A A A A A D w A A A A W 0 N v b n R l b n R f V H l w Z X N d L n h t b F B L A Q I t A B Q A A g A I A L l s t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q 6 1 T v u + s z Q 6 h s z g E q d D b w A A A A A A I A A A A A A B B m A A A A A Q A A I A A A A G K T W p V g x g k k 7 R G 9 I 5 J o H g d o w O q X / C C T 4 F x Y I 1 u o m v T W A A A A A A 6 A A A A A A g A A I A A A A B g 1 2 o x 0 B 1 8 M h o K 2 E T c l U n L A q + b s X / R s Y 1 v 5 b d v F r a C 5 U A A A A O V T x w v J q v i W E Z L z P + w 5 C d d S 7 0 I r T M 6 H h l B n / Z w f + q H i Z r 1 y D p S 2 1 z / u y j U u G t W m U C w i k B Z a 5 g e + k z Z b n S Z M K T C S U A N A V F j o i 9 I c / O 1 u F Z j r Q A A A A A K D i L D D R e N T W Q Z R m h b e r 4 k l g q 8 C y l W k i P j 5 b 9 X o y D 5 P J O K p T t S U i L r h y 3 S J y 0 Z N k Z P T b g d U u A e c 6 1 K 8 B v m K 3 P E = < / D a t a M a s h u p > 
</file>

<file path=customXml/itemProps1.xml><?xml version="1.0" encoding="utf-8"?>
<ds:datastoreItem xmlns:ds="http://schemas.openxmlformats.org/officeDocument/2006/customXml" ds:itemID="{22CAEF70-C379-404C-A367-66AB3C18873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кратко</vt:lpstr>
      <vt:lpstr>прил. 7.2</vt:lpstr>
      <vt:lpstr>сравнит. с подрядчиками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2025-05-21T07:04:59Z</dcterms:created>
  <dcterms:modified xsi:type="dcterms:W3CDTF">2025-05-29T16:03:02Z</dcterms:modified>
</cp:coreProperties>
</file>