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9D23EB4-4FEB-4175-98AB-400FC5BFDF92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Металл" sheetId="2" r:id="rId1"/>
    <sheet name="ТЗ" sheetId="1" r:id="rId2"/>
    <sheet name="Маша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" l="1"/>
  <c r="H25" i="2"/>
  <c r="I25" i="2"/>
  <c r="J25" i="2"/>
  <c r="Q25" i="2"/>
  <c r="S25" i="2"/>
  <c r="T25" i="2"/>
  <c r="V25" i="2"/>
  <c r="X25" i="2"/>
  <c r="Z25" i="2"/>
  <c r="AA25" i="2"/>
  <c r="AC25" i="2"/>
  <c r="AD25" i="2"/>
  <c r="AE25" i="2"/>
  <c r="AF25" i="2"/>
  <c r="AG25" i="2"/>
  <c r="AH25" i="2"/>
  <c r="AK25" i="2"/>
  <c r="AL25" i="2"/>
  <c r="AQ25" i="2"/>
  <c r="E6" i="2"/>
  <c r="E7" i="2"/>
  <c r="E18" i="2"/>
  <c r="E20" i="2"/>
  <c r="Y16" i="2"/>
  <c r="Y25" i="2" s="1"/>
  <c r="AR16" i="2"/>
  <c r="AR25" i="2" s="1"/>
  <c r="M16" i="2"/>
  <c r="M25" i="2" s="1"/>
  <c r="N16" i="2"/>
  <c r="N25" i="2" s="1"/>
  <c r="L16" i="2"/>
  <c r="L25" i="2" s="1"/>
  <c r="K16" i="2"/>
  <c r="K25" i="2" s="1"/>
  <c r="AQ15" i="2"/>
  <c r="AO15" i="2"/>
  <c r="AN15" i="2"/>
  <c r="AM15" i="2"/>
  <c r="AM25" i="2" s="1"/>
  <c r="AJ14" i="2"/>
  <c r="AJ25" i="2" s="1"/>
  <c r="P14" i="2"/>
  <c r="F14" i="2"/>
  <c r="U14" i="2"/>
  <c r="AI14" i="2"/>
  <c r="AI25" i="2" s="1"/>
  <c r="AS17" i="2"/>
  <c r="AS25" i="2" s="1"/>
  <c r="AR17" i="2"/>
  <c r="W17" i="2"/>
  <c r="W25" i="2" s="1"/>
  <c r="P17" i="2"/>
  <c r="P25" i="2" s="1"/>
  <c r="R17" i="2"/>
  <c r="R25" i="2" s="1"/>
  <c r="F17" i="2"/>
  <c r="O19" i="2"/>
  <c r="O25" i="2" s="1"/>
  <c r="P19" i="2"/>
  <c r="F19" i="2"/>
  <c r="U19" i="2"/>
  <c r="AI19" i="2"/>
  <c r="AP21" i="2"/>
  <c r="AP25" i="2" s="1"/>
  <c r="AO21" i="2"/>
  <c r="AN21" i="2"/>
  <c r="AM21" i="2"/>
  <c r="AB8" i="2"/>
  <c r="AB25" i="2" s="1"/>
  <c r="F25" i="2" l="1"/>
  <c r="U25" i="2"/>
  <c r="AN25" i="2"/>
  <c r="AO25" i="2"/>
  <c r="E21" i="2"/>
  <c r="C23" i="3"/>
  <c r="C21" i="3"/>
  <c r="C20" i="3"/>
  <c r="C18" i="3"/>
  <c r="C17" i="3"/>
  <c r="C16" i="3"/>
  <c r="C15" i="3"/>
  <c r="C14" i="3"/>
  <c r="C13" i="3"/>
  <c r="C12" i="3"/>
  <c r="C9" i="3"/>
  <c r="C8" i="3"/>
  <c r="C7" i="3"/>
  <c r="C6" i="3"/>
  <c r="F26" i="3" s="1"/>
  <c r="C26" i="3" l="1"/>
  <c r="D19" i="2" l="1"/>
  <c r="E19" i="2" s="1"/>
  <c r="D17" i="2"/>
  <c r="E17" i="2" s="1"/>
  <c r="D16" i="2"/>
  <c r="E16" i="2" s="1"/>
  <c r="D15" i="2"/>
  <c r="E15" i="2" s="1"/>
  <c r="D14" i="2"/>
  <c r="E14" i="2" s="1"/>
  <c r="D13" i="2"/>
  <c r="E13" i="2" s="1"/>
  <c r="D12" i="2"/>
  <c r="E12" i="2" s="1"/>
  <c r="D11" i="2"/>
  <c r="E11" i="2" s="1"/>
  <c r="D10" i="2"/>
  <c r="E10" i="2" s="1"/>
  <c r="D9" i="2"/>
  <c r="E9" i="2" s="1"/>
  <c r="D8" i="2"/>
  <c r="E8" i="2" s="1"/>
  <c r="D5" i="2"/>
  <c r="E5" i="2" s="1"/>
  <c r="D4" i="2"/>
  <c r="E4" i="2" s="1"/>
  <c r="D3" i="2"/>
  <c r="E3" i="2" s="1"/>
  <c r="D2" i="2"/>
  <c r="E2" i="2" s="1"/>
  <c r="C17" i="1"/>
  <c r="D22" i="2" l="1"/>
  <c r="C6" i="1"/>
  <c r="C7" i="1"/>
  <c r="C8" i="1"/>
  <c r="C9" i="1"/>
  <c r="C12" i="1"/>
  <c r="C13" i="1"/>
  <c r="C14" i="1"/>
  <c r="C15" i="1"/>
  <c r="C16" i="1"/>
  <c r="C18" i="1"/>
  <c r="C19" i="1"/>
  <c r="C20" i="1"/>
  <c r="C21" i="1"/>
  <c r="C23" i="1"/>
  <c r="C26" i="1" l="1"/>
</calcChain>
</file>

<file path=xl/sharedStrings.xml><?xml version="1.0" encoding="utf-8"?>
<sst xmlns="http://schemas.openxmlformats.org/spreadsheetml/2006/main" count="212" uniqueCount="137">
  <si>
    <t>ИТОГИ:</t>
  </si>
  <si>
    <t>НДС 20%</t>
  </si>
  <si>
    <t>Всего с НДС</t>
  </si>
  <si>
    <t xml:space="preserve">Объект строительства
</t>
  </si>
  <si>
    <t>Приложение №1 к Техническому заданию</t>
  </si>
  <si>
    <r>
      <rPr>
        <b/>
        <sz val="12"/>
        <color theme="1"/>
        <rFont val="Times New Roman"/>
        <family val="1"/>
        <charset val="204"/>
      </rPr>
      <t xml:space="preserve">Пересыпная станция №1 </t>
    </r>
    <r>
      <rPr>
        <sz val="12"/>
        <color theme="1"/>
        <rFont val="Times New Roman"/>
        <family val="1"/>
        <charset val="204"/>
      </rPr>
      <t xml:space="preserve">
1632-2021-2.2.1-КМ </t>
    </r>
  </si>
  <si>
    <r>
      <rPr>
        <b/>
        <sz val="12"/>
        <color theme="1"/>
        <rFont val="Times New Roman"/>
        <family val="1"/>
        <charset val="204"/>
      </rPr>
      <t>Пересыпная станция №5</t>
    </r>
    <r>
      <rPr>
        <sz val="12"/>
        <color theme="1"/>
        <rFont val="Times New Roman"/>
        <family val="1"/>
        <charset val="204"/>
      </rPr>
      <t xml:space="preserve">
1632-2021-2.2.5,2.1.6,2.1.13-КМ</t>
    </r>
  </si>
  <si>
    <r>
      <rPr>
        <b/>
        <sz val="12"/>
        <color theme="1"/>
        <rFont val="Times New Roman"/>
        <family val="1"/>
        <charset val="204"/>
      </rPr>
      <t>Пересыпная станция №6</t>
    </r>
    <r>
      <rPr>
        <sz val="12"/>
        <color theme="1"/>
        <rFont val="Times New Roman"/>
        <family val="1"/>
        <charset val="204"/>
      </rPr>
      <t xml:space="preserve">
1632-2021-2.2.6-КМ </t>
    </r>
  </si>
  <si>
    <r>
      <rPr>
        <b/>
        <sz val="12"/>
        <color theme="1"/>
        <rFont val="Times New Roman"/>
        <family val="1"/>
        <charset val="204"/>
      </rPr>
      <t>Станция разгрузки вагонов.  Здание трансбордера. Основные конструкции.</t>
    </r>
    <r>
      <rPr>
        <sz val="12"/>
        <color theme="1"/>
        <rFont val="Times New Roman"/>
        <family val="1"/>
        <charset val="204"/>
      </rPr>
      <t xml:space="preserve">
1632-2021-1.1, 1.2-КМ1 </t>
    </r>
  </si>
  <si>
    <r>
      <rPr>
        <b/>
        <sz val="12"/>
        <color theme="1"/>
        <rFont val="Times New Roman"/>
        <family val="1"/>
        <charset val="204"/>
      </rPr>
      <t>Станция разгрузки вагонов.  Здание трансбордера. Второстепенные конструкции</t>
    </r>
    <r>
      <rPr>
        <sz val="12"/>
        <color theme="1"/>
        <rFont val="Times New Roman"/>
        <family val="1"/>
        <charset val="204"/>
      </rPr>
      <t xml:space="preserve">
1632-2021-1.1, 1.2-КМ2 </t>
    </r>
  </si>
  <si>
    <r>
      <rPr>
        <b/>
        <sz val="12"/>
        <color theme="1"/>
        <rFont val="Times New Roman"/>
        <family val="1"/>
        <charset val="204"/>
      </rPr>
      <t xml:space="preserve">Станция разгрузки вагонов. Здание трансбордера.  Этажерка аспирационной установки </t>
    </r>
    <r>
      <rPr>
        <sz val="12"/>
        <color theme="1"/>
        <rFont val="Times New Roman"/>
        <family val="1"/>
        <charset val="204"/>
      </rPr>
      <t xml:space="preserve">
1632-2021-1.1, 1.2-КМ3 </t>
    </r>
  </si>
  <si>
    <r>
      <rPr>
        <b/>
        <sz val="12"/>
        <color theme="1"/>
        <rFont val="Times New Roman"/>
        <family val="1"/>
        <charset val="204"/>
      </rPr>
      <t>Конвейерная галерея 6</t>
    </r>
    <r>
      <rPr>
        <sz val="12"/>
        <color theme="1"/>
        <rFont val="Times New Roman"/>
        <family val="1"/>
        <charset val="204"/>
      </rPr>
      <t xml:space="preserve">
1632-2021-2.2.5,2.1.6,2.1.13-КМ изм.3
1632-2021-2.2.4,2.1.6-КМ </t>
    </r>
  </si>
  <si>
    <r>
      <rPr>
        <b/>
        <sz val="12"/>
        <color theme="1"/>
        <rFont val="Times New Roman"/>
        <family val="1"/>
        <charset val="204"/>
      </rPr>
      <t>Конвейерная галерея №11</t>
    </r>
    <r>
      <rPr>
        <sz val="12"/>
        <color theme="1"/>
        <rFont val="Times New Roman"/>
        <family val="1"/>
        <charset val="204"/>
      </rPr>
      <t xml:space="preserve">
1632-2021-2.1.11</t>
    </r>
  </si>
  <si>
    <r>
      <rPr>
        <b/>
        <sz val="12"/>
        <color theme="1"/>
        <rFont val="Times New Roman"/>
        <family val="1"/>
        <charset val="204"/>
      </rPr>
      <t>Конвейерная галерея №12</t>
    </r>
    <r>
      <rPr>
        <sz val="12"/>
        <color theme="1"/>
        <rFont val="Times New Roman"/>
        <family val="1"/>
        <charset val="204"/>
      </rPr>
      <t xml:space="preserve">
1632-2021-2.1.12 </t>
    </r>
  </si>
  <si>
    <r>
      <rPr>
        <b/>
        <sz val="12"/>
        <color theme="1"/>
        <rFont val="Times New Roman"/>
        <family val="1"/>
        <charset val="204"/>
      </rPr>
      <t>Конвейерная галерея №13</t>
    </r>
    <r>
      <rPr>
        <sz val="12"/>
        <color theme="1"/>
        <rFont val="Times New Roman"/>
        <family val="1"/>
        <charset val="204"/>
      </rPr>
      <t xml:space="preserve">
1632-2021-2.2.5,2.1.6,2.1.13-КМ </t>
    </r>
  </si>
  <si>
    <r>
      <rPr>
        <b/>
        <sz val="12"/>
        <color theme="1"/>
        <rFont val="Times New Roman"/>
        <family val="1"/>
        <charset val="204"/>
      </rPr>
      <t xml:space="preserve">Приводная станция </t>
    </r>
    <r>
      <rPr>
        <sz val="12"/>
        <color theme="1"/>
        <rFont val="Times New Roman"/>
        <family val="1"/>
        <charset val="204"/>
      </rPr>
      <t xml:space="preserve">
1632-2021-2.2.7-КМ</t>
    </r>
  </si>
  <si>
    <r>
      <rPr>
        <b/>
        <sz val="12"/>
        <color theme="1"/>
        <rFont val="Times New Roman"/>
        <family val="1"/>
        <charset val="204"/>
      </rPr>
      <t xml:space="preserve">Кр.склад №1. Приводная башня </t>
    </r>
    <r>
      <rPr>
        <sz val="12"/>
        <color theme="1"/>
        <rFont val="Times New Roman"/>
        <family val="1"/>
        <charset val="204"/>
      </rPr>
      <t xml:space="preserve">
1632-2021-3.1-КМ1 </t>
    </r>
  </si>
  <si>
    <r>
      <rPr>
        <b/>
        <sz val="12"/>
        <color theme="1"/>
        <rFont val="Times New Roman"/>
        <family val="1"/>
        <charset val="204"/>
      </rPr>
      <t>Кр.склад №1. Приемная башня</t>
    </r>
    <r>
      <rPr>
        <sz val="12"/>
        <color theme="1"/>
        <rFont val="Times New Roman"/>
        <family val="1"/>
        <charset val="204"/>
      </rPr>
      <t xml:space="preserve">
1632-2021-3.1-КМ2 </t>
    </r>
  </si>
  <si>
    <r>
      <rPr>
        <b/>
        <sz val="12"/>
        <color theme="1"/>
        <rFont val="Times New Roman"/>
        <family val="1"/>
        <charset val="204"/>
      </rPr>
      <t xml:space="preserve">Кр.склад №1. Пристроенные помещения </t>
    </r>
    <r>
      <rPr>
        <sz val="12"/>
        <color theme="1"/>
        <rFont val="Times New Roman"/>
        <family val="1"/>
        <charset val="204"/>
      </rPr>
      <t xml:space="preserve">
1632-2021-3.1-КМ3</t>
    </r>
  </si>
  <si>
    <r>
      <rPr>
        <b/>
        <sz val="12"/>
        <color theme="1"/>
        <rFont val="Times New Roman"/>
        <family val="1"/>
        <charset val="204"/>
      </rPr>
      <t>Кр.склад №1. Пожарные лестницы</t>
    </r>
    <r>
      <rPr>
        <sz val="12"/>
        <color theme="1"/>
        <rFont val="Times New Roman"/>
        <family val="1"/>
        <charset val="204"/>
      </rPr>
      <t xml:space="preserve">
1632-2021-3.1-КМ4 </t>
    </r>
  </si>
  <si>
    <r>
      <rPr>
        <b/>
        <sz val="12"/>
        <color theme="1"/>
        <rFont val="Times New Roman"/>
        <family val="1"/>
        <charset val="204"/>
      </rPr>
      <t xml:space="preserve">Кр.склад №1. Площадки и лестница кливленд-каскада </t>
    </r>
    <r>
      <rPr>
        <sz val="12"/>
        <color theme="1"/>
        <rFont val="Times New Roman"/>
        <family val="1"/>
        <charset val="204"/>
      </rPr>
      <t xml:space="preserve">
1632-2021-3.1-КМ6 </t>
    </r>
  </si>
  <si>
    <r>
      <rPr>
        <b/>
        <sz val="12"/>
        <color theme="1"/>
        <rFont val="Times New Roman"/>
        <family val="1"/>
        <charset val="204"/>
      </rPr>
      <t>Кр.склад №2. Приводная башня</t>
    </r>
    <r>
      <rPr>
        <sz val="12"/>
        <color theme="1"/>
        <rFont val="Times New Roman"/>
        <family val="1"/>
        <charset val="204"/>
      </rPr>
      <t xml:space="preserve">
1632-2021-3.2-КМ1 </t>
    </r>
  </si>
  <si>
    <r>
      <rPr>
        <b/>
        <sz val="12"/>
        <color theme="1"/>
        <rFont val="Times New Roman"/>
        <family val="1"/>
        <charset val="204"/>
      </rPr>
      <t>Кр.склад №2. Приемная башня</t>
    </r>
    <r>
      <rPr>
        <sz val="12"/>
        <color theme="1"/>
        <rFont val="Times New Roman"/>
        <family val="1"/>
        <charset val="204"/>
      </rPr>
      <t xml:space="preserve">
1632-2021-3.2-КМ2 </t>
    </r>
  </si>
  <si>
    <r>
      <rPr>
        <b/>
        <sz val="12"/>
        <color theme="1"/>
        <rFont val="Times New Roman"/>
        <family val="1"/>
        <charset val="204"/>
      </rPr>
      <t>Кр.склад №2. Пристроенные помещения</t>
    </r>
    <r>
      <rPr>
        <sz val="12"/>
        <color theme="1"/>
        <rFont val="Times New Roman"/>
        <family val="1"/>
        <charset val="204"/>
      </rPr>
      <t xml:space="preserve">
1632-2021-3.2-КМ3 </t>
    </r>
  </si>
  <si>
    <t>Масса, в т</t>
  </si>
  <si>
    <t>Ориентировочный график выполнения работ</t>
  </si>
  <si>
    <t>Дата начала работ</t>
  </si>
  <si>
    <t>не более 60 календарных дней</t>
  </si>
  <si>
    <t>Срок выполнения работ</t>
  </si>
  <si>
    <t>не более 45 календарных дней</t>
  </si>
  <si>
    <t>не более 30 календарных дней</t>
  </si>
  <si>
    <t xml:space="preserve">с 01.10.25 </t>
  </si>
  <si>
    <t>не более 20 календарных дней</t>
  </si>
  <si>
    <t>не более 15 календарных дней</t>
  </si>
  <si>
    <t>не более 10 календарных дней</t>
  </si>
  <si>
    <t xml:space="preserve">с 01.11.25 </t>
  </si>
  <si>
    <t>с 01.09.2025</t>
  </si>
  <si>
    <t>с 01.08.2025</t>
  </si>
  <si>
    <t>с 01.07.2025</t>
  </si>
  <si>
    <t>с 15.08.2025</t>
  </si>
  <si>
    <t>№№</t>
  </si>
  <si>
    <r>
      <rPr>
        <b/>
        <sz val="12"/>
        <color rgb="FFFF0000"/>
        <rFont val="Times New Roman"/>
        <family val="1"/>
        <charset val="204"/>
      </rPr>
      <t>Купольный склад. Электропомещение</t>
    </r>
    <r>
      <rPr>
        <sz val="12"/>
        <color rgb="FFFF0000"/>
        <rFont val="Times New Roman"/>
        <family val="1"/>
        <charset val="204"/>
      </rPr>
      <t xml:space="preserve">. 
1632-2021-3.3.9-КМ </t>
    </r>
  </si>
  <si>
    <r>
      <rPr>
        <b/>
        <sz val="12"/>
        <color rgb="FFFF0000"/>
        <rFont val="Cambria"/>
        <family val="1"/>
        <charset val="204"/>
      </rPr>
      <t>Купольный склад. Электропомещение</t>
    </r>
    <r>
      <rPr>
        <sz val="12"/>
        <color rgb="FFFF0000"/>
        <rFont val="Cambria"/>
        <family val="1"/>
        <charset val="204"/>
      </rPr>
      <t xml:space="preserve">. 
1632-2021-3.3.9-КМ </t>
    </r>
  </si>
  <si>
    <t>№</t>
  </si>
  <si>
    <t>Объект строительства</t>
  </si>
  <si>
    <t>ИТОГО:</t>
  </si>
  <si>
    <t>Колонны</t>
  </si>
  <si>
    <t>Лестницы, площадки, ограждения</t>
  </si>
  <si>
    <t>Фахверк</t>
  </si>
  <si>
    <t>Настил</t>
  </si>
  <si>
    <t>Балки и прогоны</t>
  </si>
  <si>
    <t>Пристройка</t>
  </si>
  <si>
    <t>Монорельс и оборудование</t>
  </si>
  <si>
    <t>Примечание</t>
  </si>
  <si>
    <r>
      <rPr>
        <b/>
        <sz val="11"/>
        <color theme="1"/>
        <rFont val="Calibri"/>
        <family val="2"/>
        <charset val="204"/>
        <scheme val="minor"/>
      </rPr>
      <t xml:space="preserve">Пересыпная станция №1 </t>
    </r>
    <r>
      <rPr>
        <sz val="11"/>
        <color theme="1"/>
        <rFont val="Calibri"/>
        <family val="2"/>
        <charset val="204"/>
        <scheme val="minor"/>
      </rPr>
      <t xml:space="preserve">
1632-2021-2.2.1-КМ </t>
    </r>
  </si>
  <si>
    <r>
      <rPr>
        <b/>
        <sz val="11"/>
        <color theme="1"/>
        <rFont val="Calibri"/>
        <family val="2"/>
        <charset val="204"/>
        <scheme val="minor"/>
      </rPr>
      <t>Пересыпная станция №5</t>
    </r>
    <r>
      <rPr>
        <sz val="11"/>
        <color theme="1"/>
        <rFont val="Calibri"/>
        <family val="2"/>
        <charset val="204"/>
        <scheme val="minor"/>
      </rPr>
      <t xml:space="preserve">
1632-2021-2.2.5,2.1.6,2.1.13-КМ</t>
    </r>
  </si>
  <si>
    <r>
      <rPr>
        <b/>
        <sz val="11"/>
        <color theme="1"/>
        <rFont val="Calibri"/>
        <family val="2"/>
        <charset val="204"/>
        <scheme val="minor"/>
      </rPr>
      <t>Пересыпная станция №6</t>
    </r>
    <r>
      <rPr>
        <sz val="11"/>
        <color theme="1"/>
        <rFont val="Calibri"/>
        <family val="2"/>
        <charset val="204"/>
        <scheme val="minor"/>
      </rPr>
      <t xml:space="preserve">
1632-2021-2.2.6-КМ </t>
    </r>
  </si>
  <si>
    <r>
      <rPr>
        <b/>
        <sz val="11"/>
        <color theme="1"/>
        <rFont val="Calibri"/>
        <family val="2"/>
        <charset val="204"/>
        <scheme val="minor"/>
      </rPr>
      <t>Станция разгрузки вагонов.  Здание трансбордера. Основные конструкции.</t>
    </r>
    <r>
      <rPr>
        <sz val="11"/>
        <color theme="1"/>
        <rFont val="Calibri"/>
        <family val="2"/>
        <charset val="204"/>
        <scheme val="minor"/>
      </rPr>
      <t xml:space="preserve">
1632-2021-1.1, 1.2-КМ1 </t>
    </r>
  </si>
  <si>
    <t>Трансбордер - 255,7тн</t>
  </si>
  <si>
    <r>
      <rPr>
        <b/>
        <sz val="11"/>
        <color theme="1"/>
        <rFont val="Calibri"/>
        <family val="2"/>
        <charset val="204"/>
        <scheme val="minor"/>
      </rPr>
      <t>Станция разгрузки вагонов.  Здание трансбордера. Второстепенные конструкции</t>
    </r>
    <r>
      <rPr>
        <sz val="11"/>
        <color theme="1"/>
        <rFont val="Calibri"/>
        <family val="2"/>
        <charset val="204"/>
        <scheme val="minor"/>
      </rPr>
      <t xml:space="preserve">
1632-2021-1.1, 1.2-КМ2 </t>
    </r>
  </si>
  <si>
    <r>
      <rPr>
        <b/>
        <sz val="11"/>
        <color theme="1"/>
        <rFont val="Calibri"/>
        <family val="2"/>
        <charset val="204"/>
        <scheme val="minor"/>
      </rPr>
      <t xml:space="preserve">Станция разгрузки вагонов. Здание трансбордера.  Этажерка аспирационной установки </t>
    </r>
    <r>
      <rPr>
        <sz val="11"/>
        <color theme="1"/>
        <rFont val="Calibri"/>
        <family val="2"/>
        <charset val="204"/>
        <scheme val="minor"/>
      </rPr>
      <t xml:space="preserve">
1632-2021-1.1, 1.2-КМ3 </t>
    </r>
  </si>
  <si>
    <r>
      <rPr>
        <b/>
        <sz val="11"/>
        <color theme="1"/>
        <rFont val="Calibri"/>
        <family val="2"/>
        <charset val="204"/>
        <scheme val="minor"/>
      </rPr>
      <t>Конвейерная галерея 6</t>
    </r>
    <r>
      <rPr>
        <sz val="11"/>
        <color theme="1"/>
        <rFont val="Calibri"/>
        <family val="2"/>
        <charset val="204"/>
        <scheme val="minor"/>
      </rPr>
      <t xml:space="preserve">
1632-2021-2.2.5,2.1.6,2.1.13-КМ изм.3
1632-2021-2.2.4,2.1.6-КМ </t>
    </r>
  </si>
  <si>
    <t>ПС№4 -130,7.  КГ№6-157,8. Еще сидит КГ№6 в проекте п.2- 54,2тн</t>
  </si>
  <si>
    <r>
      <rPr>
        <b/>
        <sz val="11"/>
        <color theme="1"/>
        <rFont val="Calibri"/>
        <family val="2"/>
        <charset val="204"/>
        <scheme val="minor"/>
      </rPr>
      <t>Конвейерная галерея №11</t>
    </r>
    <r>
      <rPr>
        <sz val="11"/>
        <color theme="1"/>
        <rFont val="Calibri"/>
        <family val="2"/>
        <charset val="204"/>
        <scheme val="minor"/>
      </rPr>
      <t xml:space="preserve">
1632-2021-2.1.11</t>
    </r>
  </si>
  <si>
    <r>
      <rPr>
        <b/>
        <sz val="11"/>
        <color theme="1"/>
        <rFont val="Calibri"/>
        <family val="2"/>
        <charset val="204"/>
        <scheme val="minor"/>
      </rPr>
      <t>Конвейерная галерея №12</t>
    </r>
    <r>
      <rPr>
        <sz val="11"/>
        <color theme="1"/>
        <rFont val="Calibri"/>
        <family val="2"/>
        <charset val="204"/>
        <scheme val="minor"/>
      </rPr>
      <t xml:space="preserve">
1632-2021-2.1.12 </t>
    </r>
  </si>
  <si>
    <r>
      <rPr>
        <b/>
        <sz val="11"/>
        <color theme="1"/>
        <rFont val="Calibri"/>
        <family val="2"/>
        <charset val="204"/>
        <scheme val="minor"/>
      </rPr>
      <t>Конвейерная галерея №13</t>
    </r>
    <r>
      <rPr>
        <sz val="11"/>
        <color theme="1"/>
        <rFont val="Calibri"/>
        <family val="2"/>
        <charset val="204"/>
        <scheme val="minor"/>
      </rPr>
      <t xml:space="preserve">
1632-2021-2.2.5,2.1.6,2.1.13-КМ </t>
    </r>
  </si>
  <si>
    <t>Сидит в проекте п. 2 КГ№13</t>
  </si>
  <si>
    <r>
      <rPr>
        <b/>
        <sz val="11"/>
        <color theme="1"/>
        <rFont val="Calibri"/>
        <family val="2"/>
        <charset val="204"/>
        <scheme val="minor"/>
      </rPr>
      <t xml:space="preserve">Приводная станция </t>
    </r>
    <r>
      <rPr>
        <sz val="11"/>
        <color theme="1"/>
        <rFont val="Calibri"/>
        <family val="2"/>
        <charset val="204"/>
        <scheme val="minor"/>
      </rPr>
      <t xml:space="preserve">
1632-2021-2.2.7-КМ</t>
    </r>
  </si>
  <si>
    <r>
      <rPr>
        <b/>
        <sz val="11"/>
        <color theme="1"/>
        <rFont val="Calibri"/>
        <family val="2"/>
        <charset val="204"/>
        <scheme val="minor"/>
      </rPr>
      <t xml:space="preserve">Кр.склад №1. Приводная башня </t>
    </r>
    <r>
      <rPr>
        <sz val="11"/>
        <color theme="1"/>
        <rFont val="Calibri"/>
        <family val="2"/>
        <charset val="204"/>
        <scheme val="minor"/>
      </rPr>
      <t xml:space="preserve">
1632-2021-3.1-КМ1 </t>
    </r>
  </si>
  <si>
    <r>
      <rPr>
        <b/>
        <sz val="11"/>
        <color theme="1"/>
        <rFont val="Calibri"/>
        <family val="2"/>
        <charset val="204"/>
        <scheme val="minor"/>
      </rPr>
      <t>Кр.склад №1. Приемная башня</t>
    </r>
    <r>
      <rPr>
        <sz val="11"/>
        <color theme="1"/>
        <rFont val="Calibri"/>
        <family val="2"/>
        <charset val="204"/>
        <scheme val="minor"/>
      </rPr>
      <t xml:space="preserve">
1632-2021-3.1-КМ2 </t>
    </r>
  </si>
  <si>
    <r>
      <rPr>
        <b/>
        <sz val="11"/>
        <color theme="1"/>
        <rFont val="Calibri"/>
        <family val="2"/>
        <charset val="204"/>
        <scheme val="minor"/>
      </rPr>
      <t xml:space="preserve">Кр.склад №1. Пристроенные помещения </t>
    </r>
    <r>
      <rPr>
        <sz val="11"/>
        <color theme="1"/>
        <rFont val="Calibri"/>
        <family val="2"/>
        <charset val="204"/>
        <scheme val="minor"/>
      </rPr>
      <t xml:space="preserve">
1632-2021-3.1-КМ3</t>
    </r>
  </si>
  <si>
    <r>
      <rPr>
        <b/>
        <sz val="11"/>
        <color theme="1"/>
        <rFont val="Calibri"/>
        <family val="2"/>
        <charset val="204"/>
        <scheme val="minor"/>
      </rPr>
      <t>Кр.склад №1. Пожарные лестницы</t>
    </r>
    <r>
      <rPr>
        <sz val="11"/>
        <color theme="1"/>
        <rFont val="Calibri"/>
        <family val="2"/>
        <charset val="204"/>
        <scheme val="minor"/>
      </rPr>
      <t xml:space="preserve">
1632-2021-3.1-КМ4 </t>
    </r>
  </si>
  <si>
    <r>
      <rPr>
        <b/>
        <sz val="11"/>
        <color theme="1"/>
        <rFont val="Calibri"/>
        <family val="2"/>
        <charset val="204"/>
        <scheme val="minor"/>
      </rPr>
      <t xml:space="preserve">Кр.склад №1. Площадки и лестница кливленд-каскада </t>
    </r>
    <r>
      <rPr>
        <sz val="11"/>
        <color theme="1"/>
        <rFont val="Calibri"/>
        <family val="2"/>
        <charset val="204"/>
        <scheme val="minor"/>
      </rPr>
      <t xml:space="preserve">
1632-2021-3.1-КМ6 </t>
    </r>
  </si>
  <si>
    <r>
      <rPr>
        <b/>
        <sz val="11"/>
        <color theme="1"/>
        <rFont val="Calibri"/>
        <family val="2"/>
        <charset val="204"/>
        <scheme val="minor"/>
      </rPr>
      <t>Кр.склад №2. Приводная башня</t>
    </r>
    <r>
      <rPr>
        <sz val="11"/>
        <color theme="1"/>
        <rFont val="Calibri"/>
        <family val="2"/>
        <charset val="204"/>
        <scheme val="minor"/>
      </rPr>
      <t xml:space="preserve">
1632-2021-3.2-КМ1 </t>
    </r>
  </si>
  <si>
    <r>
      <rPr>
        <b/>
        <sz val="11"/>
        <color theme="1"/>
        <rFont val="Calibri"/>
        <family val="2"/>
        <charset val="204"/>
        <scheme val="minor"/>
      </rPr>
      <t>Кр.склад №2. Приемная башня</t>
    </r>
    <r>
      <rPr>
        <sz val="11"/>
        <color theme="1"/>
        <rFont val="Calibri"/>
        <family val="2"/>
        <charset val="204"/>
        <scheme val="minor"/>
      </rPr>
      <t xml:space="preserve">
1632-2021-3.2-КМ2 </t>
    </r>
  </si>
  <si>
    <r>
      <rPr>
        <b/>
        <sz val="11"/>
        <color theme="1"/>
        <rFont val="Calibri"/>
        <family val="2"/>
        <charset val="204"/>
        <scheme val="minor"/>
      </rPr>
      <t>Купольный склад. Электропомещение</t>
    </r>
    <r>
      <rPr>
        <sz val="11"/>
        <color theme="1"/>
        <rFont val="Calibri"/>
        <family val="2"/>
        <charset val="204"/>
        <scheme val="minor"/>
      </rPr>
      <t xml:space="preserve">. 
1632-2021-3.3.9-КМ </t>
    </r>
  </si>
  <si>
    <t>не нашла!</t>
  </si>
  <si>
    <r>
      <rPr>
        <b/>
        <sz val="11"/>
        <color theme="1"/>
        <rFont val="Calibri"/>
        <family val="2"/>
        <charset val="204"/>
        <scheme val="minor"/>
      </rPr>
      <t>Кр.склад №2. Пристроенные помещения</t>
    </r>
    <r>
      <rPr>
        <sz val="11"/>
        <color theme="1"/>
        <rFont val="Calibri"/>
        <family val="2"/>
        <charset val="204"/>
        <scheme val="minor"/>
      </rPr>
      <t xml:space="preserve">
1632-2021-3.2-КМ3 </t>
    </r>
  </si>
  <si>
    <t>Разница в 380,38тн</t>
  </si>
  <si>
    <t>Масса из ТЗ, т</t>
  </si>
  <si>
    <t>Площадки настилы ограждения</t>
  </si>
  <si>
    <t>Подвесные пути</t>
  </si>
  <si>
    <r>
      <rPr>
        <b/>
        <sz val="12"/>
        <rFont val="Cambria"/>
        <family val="1"/>
        <charset val="204"/>
      </rPr>
      <t xml:space="preserve">Пересыпная станция №1 </t>
    </r>
    <r>
      <rPr>
        <sz val="12"/>
        <rFont val="Cambria"/>
        <family val="1"/>
        <charset val="204"/>
      </rPr>
      <t xml:space="preserve">
1632-2021-2.2.1-КМ </t>
    </r>
  </si>
  <si>
    <r>
      <rPr>
        <b/>
        <sz val="12"/>
        <rFont val="Cambria"/>
        <family val="1"/>
        <charset val="204"/>
      </rPr>
      <t>Пересыпная станция №5</t>
    </r>
    <r>
      <rPr>
        <sz val="12"/>
        <rFont val="Cambria"/>
        <family val="1"/>
        <charset val="204"/>
      </rPr>
      <t xml:space="preserve">
1632-2021-2.2.5,2.1.6,2.1.13-КМ</t>
    </r>
  </si>
  <si>
    <r>
      <rPr>
        <b/>
        <sz val="12"/>
        <rFont val="Cambria"/>
        <family val="1"/>
        <charset val="204"/>
      </rPr>
      <t>Пересыпная станция №6</t>
    </r>
    <r>
      <rPr>
        <sz val="12"/>
        <rFont val="Cambria"/>
        <family val="1"/>
        <charset val="204"/>
      </rPr>
      <t xml:space="preserve">
1632-2021-2.2.6-КМ </t>
    </r>
  </si>
  <si>
    <r>
      <rPr>
        <b/>
        <sz val="12"/>
        <rFont val="Cambria"/>
        <family val="1"/>
        <charset val="204"/>
      </rPr>
      <t>Станция разгрузки вагонов.  Здание трансбордера. Основные конструкции.</t>
    </r>
    <r>
      <rPr>
        <sz val="12"/>
        <rFont val="Cambria"/>
        <family val="1"/>
        <charset val="204"/>
      </rPr>
      <t xml:space="preserve">
1632-2021-1.1, 1.2-КМ1 </t>
    </r>
  </si>
  <si>
    <r>
      <rPr>
        <b/>
        <sz val="12"/>
        <rFont val="Cambria"/>
        <family val="1"/>
        <charset val="204"/>
      </rPr>
      <t>Станция разгрузки вагонов.  Здание трансбордера. Второстепенные конструкции</t>
    </r>
    <r>
      <rPr>
        <sz val="12"/>
        <rFont val="Cambria"/>
        <family val="1"/>
        <charset val="204"/>
      </rPr>
      <t xml:space="preserve">
1632-2021-1.1, 1.2-КМ2 </t>
    </r>
  </si>
  <si>
    <r>
      <rPr>
        <b/>
        <sz val="12"/>
        <rFont val="Cambria"/>
        <family val="1"/>
        <charset val="204"/>
      </rPr>
      <t xml:space="preserve">Станция разгрузки вагонов. Здание трансбордера.  Этажерка аспирационной установки </t>
    </r>
    <r>
      <rPr>
        <sz val="12"/>
        <rFont val="Cambria"/>
        <family val="1"/>
        <charset val="204"/>
      </rPr>
      <t xml:space="preserve">
1632-2021-1.1, 1.2-КМ3 </t>
    </r>
  </si>
  <si>
    <r>
      <rPr>
        <b/>
        <sz val="12"/>
        <rFont val="Cambria"/>
        <family val="1"/>
        <charset val="204"/>
      </rPr>
      <t>Конвейерная галерея 6</t>
    </r>
    <r>
      <rPr>
        <sz val="12"/>
        <rFont val="Cambria"/>
        <family val="1"/>
        <charset val="204"/>
      </rPr>
      <t xml:space="preserve">
1632-2021-2.2.5,2.1.6,2.1.13-КМ изм.3
1632-2021-2.2.4,2.1.6-КМ </t>
    </r>
  </si>
  <si>
    <r>
      <rPr>
        <b/>
        <sz val="12"/>
        <rFont val="Cambria"/>
        <family val="1"/>
        <charset val="204"/>
      </rPr>
      <t>Конвейерная галерея №11</t>
    </r>
    <r>
      <rPr>
        <sz val="12"/>
        <rFont val="Cambria"/>
        <family val="1"/>
        <charset val="204"/>
      </rPr>
      <t xml:space="preserve">
1632-2021-2.1.11</t>
    </r>
  </si>
  <si>
    <r>
      <rPr>
        <b/>
        <sz val="12"/>
        <rFont val="Cambria"/>
        <family val="1"/>
        <charset val="204"/>
      </rPr>
      <t>Конвейерная галерея №12</t>
    </r>
    <r>
      <rPr>
        <sz val="12"/>
        <rFont val="Cambria"/>
        <family val="1"/>
        <charset val="204"/>
      </rPr>
      <t xml:space="preserve">
1632-2021-2.1.12 </t>
    </r>
  </si>
  <si>
    <r>
      <rPr>
        <b/>
        <sz val="12"/>
        <rFont val="Cambria"/>
        <family val="1"/>
        <charset val="204"/>
      </rPr>
      <t>Конвейерная галерея №13</t>
    </r>
    <r>
      <rPr>
        <sz val="12"/>
        <rFont val="Cambria"/>
        <family val="1"/>
        <charset val="204"/>
      </rPr>
      <t xml:space="preserve">
1632-2021-2.2.5,2.1.6,2.1.13-КМ </t>
    </r>
  </si>
  <si>
    <r>
      <rPr>
        <b/>
        <sz val="12"/>
        <rFont val="Cambria"/>
        <family val="1"/>
        <charset val="204"/>
      </rPr>
      <t xml:space="preserve">Приводная станция </t>
    </r>
    <r>
      <rPr>
        <sz val="12"/>
        <rFont val="Cambria"/>
        <family val="1"/>
        <charset val="204"/>
      </rPr>
      <t xml:space="preserve">
1632-2021-2.2.7-КМ</t>
    </r>
  </si>
  <si>
    <r>
      <rPr>
        <b/>
        <sz val="12"/>
        <rFont val="Cambria"/>
        <family val="1"/>
        <charset val="204"/>
      </rPr>
      <t xml:space="preserve">Кр.склад №1. Приводная башня </t>
    </r>
    <r>
      <rPr>
        <sz val="12"/>
        <rFont val="Cambria"/>
        <family val="1"/>
        <charset val="204"/>
      </rPr>
      <t xml:space="preserve">
1632-2021-3.1-КМ1 </t>
    </r>
  </si>
  <si>
    <r>
      <rPr>
        <b/>
        <sz val="12"/>
        <rFont val="Cambria"/>
        <family val="1"/>
        <charset val="204"/>
      </rPr>
      <t>Кр.склад №1. Приемная башня</t>
    </r>
    <r>
      <rPr>
        <sz val="12"/>
        <rFont val="Cambria"/>
        <family val="1"/>
        <charset val="204"/>
      </rPr>
      <t xml:space="preserve">
1632-2021-3.1-КМ2 </t>
    </r>
  </si>
  <si>
    <r>
      <rPr>
        <b/>
        <sz val="12"/>
        <rFont val="Cambria"/>
        <family val="1"/>
        <charset val="204"/>
      </rPr>
      <t xml:space="preserve">Кр.склад №1. Пристроенные помещения </t>
    </r>
    <r>
      <rPr>
        <sz val="12"/>
        <rFont val="Cambria"/>
        <family val="1"/>
        <charset val="204"/>
      </rPr>
      <t xml:space="preserve">
1632-2021-3.1-КМ3</t>
    </r>
  </si>
  <si>
    <r>
      <rPr>
        <b/>
        <sz val="12"/>
        <rFont val="Cambria"/>
        <family val="1"/>
        <charset val="204"/>
      </rPr>
      <t>Кр.склад №1. Пожарные лестницы</t>
    </r>
    <r>
      <rPr>
        <sz val="12"/>
        <rFont val="Cambria"/>
        <family val="1"/>
        <charset val="204"/>
      </rPr>
      <t xml:space="preserve">
1632-2021-3.1-КМ4 </t>
    </r>
  </si>
  <si>
    <r>
      <rPr>
        <b/>
        <sz val="12"/>
        <rFont val="Cambria"/>
        <family val="1"/>
        <charset val="204"/>
      </rPr>
      <t xml:space="preserve">Кр.склад №1. Площадки и лестница кливленд-каскада </t>
    </r>
    <r>
      <rPr>
        <sz val="12"/>
        <rFont val="Cambria"/>
        <family val="1"/>
        <charset val="204"/>
      </rPr>
      <t xml:space="preserve">
1632-2021-3.1-КМ6 </t>
    </r>
  </si>
  <si>
    <r>
      <rPr>
        <b/>
        <sz val="12"/>
        <rFont val="Cambria"/>
        <family val="1"/>
        <charset val="204"/>
      </rPr>
      <t>Кр.склад №2. Приводная башня</t>
    </r>
    <r>
      <rPr>
        <sz val="12"/>
        <rFont val="Cambria"/>
        <family val="1"/>
        <charset val="204"/>
      </rPr>
      <t xml:space="preserve">
1632-2021-3.2-КМ1 </t>
    </r>
  </si>
  <si>
    <r>
      <rPr>
        <b/>
        <sz val="12"/>
        <rFont val="Cambria"/>
        <family val="1"/>
        <charset val="204"/>
      </rPr>
      <t>Кр.склад №2. Приемная башня</t>
    </r>
    <r>
      <rPr>
        <sz val="12"/>
        <rFont val="Cambria"/>
        <family val="1"/>
        <charset val="204"/>
      </rPr>
      <t xml:space="preserve">
1632-2021-3.2-КМ2 </t>
    </r>
  </si>
  <si>
    <r>
      <rPr>
        <b/>
        <sz val="12"/>
        <rFont val="Cambria"/>
        <family val="1"/>
        <charset val="204"/>
      </rPr>
      <t>Кр.склад №2. Пристроенные помещения</t>
    </r>
    <r>
      <rPr>
        <sz val="12"/>
        <rFont val="Cambria"/>
        <family val="1"/>
        <charset val="204"/>
      </rPr>
      <t xml:space="preserve">
1632-2021-3.2-КМ3</t>
    </r>
  </si>
  <si>
    <t>Связи горизонт. и вертик.</t>
  </si>
  <si>
    <t>Лестницы, щиты и перех. площадки</t>
  </si>
  <si>
    <t>Балки</t>
  </si>
  <si>
    <t>Прогоны</t>
  </si>
  <si>
    <t>Связи, распорки</t>
  </si>
  <si>
    <t>Балки крановые, рельсы, элементы крепления</t>
  </si>
  <si>
    <t>Закладные технологического оборудования</t>
  </si>
  <si>
    <t>Закладные детали</t>
  </si>
  <si>
    <t>Связи, распорки, ригели</t>
  </si>
  <si>
    <t>255,7т. Трансбордер не включен</t>
  </si>
  <si>
    <t>Колонны и вертикальные связи</t>
  </si>
  <si>
    <t>Конструкции перекрытий</t>
  </si>
  <si>
    <t>Конструкции покрытий</t>
  </si>
  <si>
    <t>Конструкции фахверка</t>
  </si>
  <si>
    <t>Кабеленесущие конструкции</t>
  </si>
  <si>
    <t>Балки и рамы</t>
  </si>
  <si>
    <t>Фермы</t>
  </si>
  <si>
    <t>Монорельсы</t>
  </si>
  <si>
    <t>Пом мобильного бункера</t>
  </si>
  <si>
    <t>АУПТ</t>
  </si>
  <si>
    <t>Элктрощитовая</t>
  </si>
  <si>
    <t>Пом натяжного устройства КЛ15</t>
  </si>
  <si>
    <t>нет разбивки</t>
  </si>
  <si>
    <t>Связи</t>
  </si>
  <si>
    <t>Площадки, настилы, ограждения</t>
  </si>
  <si>
    <t>Балки и косоуры</t>
  </si>
  <si>
    <t>Настил и ступени</t>
  </si>
  <si>
    <t>Ограждения</t>
  </si>
  <si>
    <t>Пом концевого барабана КЛ9</t>
  </si>
  <si>
    <t>Стойки</t>
  </si>
  <si>
    <t>Балки лестниц</t>
  </si>
  <si>
    <t>Ходовые мостики</t>
  </si>
  <si>
    <t>Лестничные марши</t>
  </si>
  <si>
    <t>Масса из ТЗ - Масса по СО</t>
  </si>
  <si>
    <t>Комментарии</t>
  </si>
  <si>
    <t>нет 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</si>
</sst>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Arial"/>
      <family val="2"/>
      <charset val="204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2"/>
      <color rgb="FFFF0000"/>
      <name val="Cambria"/>
      <family val="1"/>
      <charset val="204"/>
    </font>
    <font>
      <b/>
      <sz val="12"/>
      <color rgb="FFFF0000"/>
      <name val="Cambria"/>
      <family val="1"/>
      <charset val="204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name val="Cambria"/>
      <family val="1"/>
      <charset val="204"/>
    </font>
    <font>
      <b/>
      <sz val="10"/>
      <name val="Cambria"/>
      <family val="1"/>
      <charset val="204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13" xfId="0" applyFill="1" applyBorder="1"/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/>
    <xf numFmtId="0" fontId="0" fillId="0" borderId="15" xfId="0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" fontId="0" fillId="0" borderId="0" xfId="0" applyNumberFormat="1" applyFill="1"/>
    <xf numFmtId="0" fontId="14" fillId="0" borderId="3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4" fontId="16" fillId="0" borderId="3" xfId="0" applyNumberFormat="1" applyFont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4" fontId="18" fillId="0" borderId="0" xfId="0" applyNumberFormat="1" applyFont="1" applyFill="1" applyAlignment="1">
      <alignment horizontal="center" vertical="center" wrapText="1"/>
    </xf>
    <xf numFmtId="4" fontId="13" fillId="0" borderId="0" xfId="0" applyNumberFormat="1" applyFont="1" applyFill="1" applyAlignment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4" fontId="19" fillId="0" borderId="3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" fontId="19" fillId="5" borderId="3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righ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BD719-8E87-4828-800E-806D6C6D6E46}">
  <sheetPr>
    <tabColor rgb="FF00B0F0"/>
    <pageSetUpPr fitToPage="1"/>
  </sheetPr>
  <dimension ref="A1:AT2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W28" sqref="W28"/>
    </sheetView>
  </sheetViews>
  <sheetFormatPr defaultRowHeight="15.75" x14ac:dyDescent="0.25"/>
  <cols>
    <col min="1" max="1" width="3.85546875" style="62" customWidth="1"/>
    <col min="2" max="2" width="51.28515625" style="64" customWidth="1"/>
    <col min="3" max="3" width="17.7109375" style="64" customWidth="1"/>
    <col min="4" max="5" width="13.85546875" style="65" customWidth="1"/>
    <col min="6" max="45" width="13.7109375" style="66" customWidth="1"/>
    <col min="46" max="16384" width="9.140625" style="62"/>
  </cols>
  <sheetData>
    <row r="1" spans="1:46" s="70" customFormat="1" ht="63.75" x14ac:dyDescent="0.25">
      <c r="A1" s="68" t="s">
        <v>43</v>
      </c>
      <c r="B1" s="68" t="s">
        <v>44</v>
      </c>
      <c r="C1" s="68" t="s">
        <v>135</v>
      </c>
      <c r="D1" s="69" t="s">
        <v>79</v>
      </c>
      <c r="E1" s="69" t="s">
        <v>134</v>
      </c>
      <c r="F1" s="71" t="s">
        <v>46</v>
      </c>
      <c r="G1" s="71" t="s">
        <v>111</v>
      </c>
      <c r="H1" s="71" t="s">
        <v>112</v>
      </c>
      <c r="I1" s="71" t="s">
        <v>113</v>
      </c>
      <c r="J1" s="71" t="s">
        <v>114</v>
      </c>
      <c r="K1" s="71" t="s">
        <v>130</v>
      </c>
      <c r="L1" s="71" t="s">
        <v>131</v>
      </c>
      <c r="M1" s="71" t="s">
        <v>133</v>
      </c>
      <c r="N1" s="71" t="s">
        <v>132</v>
      </c>
      <c r="O1" s="71" t="s">
        <v>125</v>
      </c>
      <c r="P1" s="71" t="s">
        <v>124</v>
      </c>
      <c r="Q1" s="71" t="s">
        <v>117</v>
      </c>
      <c r="R1" s="71" t="s">
        <v>126</v>
      </c>
      <c r="S1" s="71" t="s">
        <v>116</v>
      </c>
      <c r="T1" s="71" t="s">
        <v>50</v>
      </c>
      <c r="U1" s="71" t="s">
        <v>103</v>
      </c>
      <c r="V1" s="71" t="s">
        <v>104</v>
      </c>
      <c r="W1" s="71" t="s">
        <v>127</v>
      </c>
      <c r="X1" s="71" t="s">
        <v>101</v>
      </c>
      <c r="Y1" s="71" t="s">
        <v>105</v>
      </c>
      <c r="Z1" s="71" t="s">
        <v>109</v>
      </c>
      <c r="AA1" s="71" t="s">
        <v>102</v>
      </c>
      <c r="AB1" s="71" t="s">
        <v>47</v>
      </c>
      <c r="AC1" s="71" t="s">
        <v>51</v>
      </c>
      <c r="AD1" s="71" t="s">
        <v>48</v>
      </c>
      <c r="AE1" s="71" t="s">
        <v>49</v>
      </c>
      <c r="AF1" s="71" t="s">
        <v>52</v>
      </c>
      <c r="AG1" s="71" t="s">
        <v>106</v>
      </c>
      <c r="AH1" s="71" t="s">
        <v>107</v>
      </c>
      <c r="AI1" s="71" t="s">
        <v>108</v>
      </c>
      <c r="AJ1" s="71" t="s">
        <v>80</v>
      </c>
      <c r="AK1" s="71" t="s">
        <v>118</v>
      </c>
      <c r="AL1" s="71" t="s">
        <v>115</v>
      </c>
      <c r="AM1" s="71" t="s">
        <v>119</v>
      </c>
      <c r="AN1" s="71" t="s">
        <v>120</v>
      </c>
      <c r="AO1" s="71" t="s">
        <v>121</v>
      </c>
      <c r="AP1" s="71" t="s">
        <v>122</v>
      </c>
      <c r="AQ1" s="71" t="s">
        <v>129</v>
      </c>
      <c r="AR1" s="71" t="s">
        <v>128</v>
      </c>
      <c r="AS1" s="71" t="s">
        <v>81</v>
      </c>
    </row>
    <row r="2" spans="1:46" ht="31.5" x14ac:dyDescent="0.25">
      <c r="A2" s="58">
        <v>1</v>
      </c>
      <c r="B2" s="59" t="s">
        <v>82</v>
      </c>
      <c r="C2" s="59"/>
      <c r="D2" s="60">
        <f>133.3</f>
        <v>133.30000000000001</v>
      </c>
      <c r="E2" s="60">
        <f t="shared" ref="E2:E21" si="0">D2-SUM(F2:AS2)</f>
        <v>0</v>
      </c>
      <c r="F2" s="61">
        <v>17.7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>
        <v>45.2</v>
      </c>
      <c r="U2" s="61"/>
      <c r="V2" s="61"/>
      <c r="W2" s="61"/>
      <c r="X2" s="61">
        <v>8.5</v>
      </c>
      <c r="Y2" s="61"/>
      <c r="Z2" s="61"/>
      <c r="AA2" s="61">
        <v>18.399999999999999</v>
      </c>
      <c r="AB2" s="61"/>
      <c r="AC2" s="61">
        <v>7</v>
      </c>
      <c r="AD2" s="61">
        <v>14.4</v>
      </c>
      <c r="AE2" s="61">
        <v>14.4</v>
      </c>
      <c r="AF2" s="61">
        <v>7.7</v>
      </c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</row>
    <row r="3" spans="1:46" ht="31.5" x14ac:dyDescent="0.25">
      <c r="A3" s="58">
        <v>2</v>
      </c>
      <c r="B3" s="59" t="s">
        <v>83</v>
      </c>
      <c r="C3" s="59"/>
      <c r="D3" s="60">
        <f>219.8</f>
        <v>219.8</v>
      </c>
      <c r="E3" s="60">
        <f t="shared" si="0"/>
        <v>0</v>
      </c>
      <c r="F3" s="61">
        <v>45.2</v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>
        <v>66.099999999999994</v>
      </c>
      <c r="V3" s="61">
        <v>5.5</v>
      </c>
      <c r="W3" s="61"/>
      <c r="X3" s="61"/>
      <c r="Y3" s="61">
        <v>12.1</v>
      </c>
      <c r="Z3" s="61"/>
      <c r="AA3" s="61"/>
      <c r="AB3" s="61">
        <v>47.2</v>
      </c>
      <c r="AC3" s="61"/>
      <c r="AD3" s="61">
        <v>18.899999999999999</v>
      </c>
      <c r="AE3" s="61">
        <v>16</v>
      </c>
      <c r="AF3" s="61"/>
      <c r="AG3" s="61">
        <v>8.1999999999999993</v>
      </c>
      <c r="AH3" s="61">
        <v>0.6</v>
      </c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7"/>
    </row>
    <row r="4" spans="1:46" ht="31.5" x14ac:dyDescent="0.25">
      <c r="A4" s="58">
        <v>3</v>
      </c>
      <c r="B4" s="59" t="s">
        <v>84</v>
      </c>
      <c r="C4" s="59"/>
      <c r="D4" s="60">
        <f>77.8</f>
        <v>77.8</v>
      </c>
      <c r="E4" s="60">
        <f t="shared" si="0"/>
        <v>0</v>
      </c>
      <c r="F4" s="61">
        <v>16.899999999999999</v>
      </c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>
        <v>16.399999999999999</v>
      </c>
      <c r="V4" s="61">
        <v>1.9</v>
      </c>
      <c r="W4" s="61"/>
      <c r="X4" s="61"/>
      <c r="Y4" s="61">
        <v>6.2</v>
      </c>
      <c r="Z4" s="61"/>
      <c r="AA4" s="61">
        <v>12.6</v>
      </c>
      <c r="AB4" s="61"/>
      <c r="AC4" s="61"/>
      <c r="AD4" s="61">
        <v>9.3000000000000007</v>
      </c>
      <c r="AE4" s="61">
        <v>8.3000000000000007</v>
      </c>
      <c r="AF4" s="61"/>
      <c r="AG4" s="61">
        <v>4.0999999999999996</v>
      </c>
      <c r="AH4" s="61"/>
      <c r="AI4" s="61">
        <v>2.1</v>
      </c>
      <c r="AJ4" s="61"/>
      <c r="AK4" s="61"/>
      <c r="AL4" s="61"/>
      <c r="AM4" s="61"/>
      <c r="AN4" s="61"/>
      <c r="AO4" s="61"/>
      <c r="AP4" s="61"/>
      <c r="AQ4" s="61"/>
      <c r="AR4" s="61"/>
      <c r="AS4" s="61"/>
    </row>
    <row r="5" spans="1:46" ht="47.25" x14ac:dyDescent="0.25">
      <c r="A5" s="58">
        <v>4</v>
      </c>
      <c r="B5" s="59" t="s">
        <v>85</v>
      </c>
      <c r="C5" s="59" t="s">
        <v>110</v>
      </c>
      <c r="D5" s="60">
        <f>375.4</f>
        <v>375.4</v>
      </c>
      <c r="E5" s="56">
        <f t="shared" si="0"/>
        <v>7.5</v>
      </c>
      <c r="F5" s="61">
        <v>98.8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>
        <v>100.3</v>
      </c>
      <c r="V5" s="61">
        <v>19.8</v>
      </c>
      <c r="W5" s="61"/>
      <c r="X5" s="61"/>
      <c r="Y5" s="61"/>
      <c r="Z5" s="61">
        <v>38.299999999999997</v>
      </c>
      <c r="AA5" s="61"/>
      <c r="AB5" s="61">
        <v>19</v>
      </c>
      <c r="AC5" s="61"/>
      <c r="AD5" s="61">
        <v>30.2</v>
      </c>
      <c r="AE5" s="61">
        <v>61.5</v>
      </c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</row>
    <row r="6" spans="1:46" ht="63" x14ac:dyDescent="0.25">
      <c r="A6" s="58">
        <v>5</v>
      </c>
      <c r="B6" s="59" t="s">
        <v>86</v>
      </c>
      <c r="C6" s="59"/>
      <c r="D6" s="60">
        <v>42.8</v>
      </c>
      <c r="E6" s="60">
        <f t="shared" si="0"/>
        <v>0</v>
      </c>
      <c r="F6" s="61">
        <v>15.8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>
        <v>18.3</v>
      </c>
      <c r="V6" s="61"/>
      <c r="W6" s="61"/>
      <c r="X6" s="61"/>
      <c r="Y6" s="61"/>
      <c r="Z6" s="61">
        <v>1.7</v>
      </c>
      <c r="AA6" s="61"/>
      <c r="AB6" s="61">
        <v>3.5</v>
      </c>
      <c r="AC6" s="61"/>
      <c r="AD6" s="61">
        <v>3.1</v>
      </c>
      <c r="AE6" s="61">
        <v>0.4</v>
      </c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</row>
    <row r="7" spans="1:46" ht="63" x14ac:dyDescent="0.25">
      <c r="A7" s="58">
        <v>6</v>
      </c>
      <c r="B7" s="59" t="s">
        <v>87</v>
      </c>
      <c r="C7" s="59"/>
      <c r="D7" s="60">
        <v>94.4</v>
      </c>
      <c r="E7" s="60">
        <f t="shared" si="0"/>
        <v>0</v>
      </c>
      <c r="F7" s="61">
        <v>26.9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>
        <v>40.4</v>
      </c>
      <c r="V7" s="61"/>
      <c r="W7" s="61"/>
      <c r="X7" s="61"/>
      <c r="Y7" s="61">
        <v>7.8</v>
      </c>
      <c r="Z7" s="61"/>
      <c r="AA7" s="61"/>
      <c r="AB7" s="61">
        <v>5.0999999999999996</v>
      </c>
      <c r="AC7" s="61"/>
      <c r="AD7" s="61"/>
      <c r="AE7" s="61">
        <v>14.2</v>
      </c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</row>
    <row r="8" spans="1:46" ht="47.25" x14ac:dyDescent="0.25">
      <c r="A8" s="58">
        <v>7</v>
      </c>
      <c r="B8" s="59" t="s">
        <v>88</v>
      </c>
      <c r="C8" s="59"/>
      <c r="D8" s="60">
        <f>54.2+157.8</f>
        <v>212</v>
      </c>
      <c r="E8" s="60">
        <f t="shared" si="0"/>
        <v>0</v>
      </c>
      <c r="F8" s="61">
        <v>12.3</v>
      </c>
      <c r="G8" s="61">
        <v>51.3</v>
      </c>
      <c r="H8" s="61">
        <v>62.9</v>
      </c>
      <c r="I8" s="61">
        <v>27</v>
      </c>
      <c r="J8" s="61">
        <v>4.0999999999999996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>
        <v>26.1</v>
      </c>
      <c r="V8" s="61">
        <v>2</v>
      </c>
      <c r="W8" s="61"/>
      <c r="X8" s="61"/>
      <c r="Y8" s="61">
        <v>4.5</v>
      </c>
      <c r="Z8" s="61"/>
      <c r="AA8" s="61"/>
      <c r="AB8" s="61">
        <f>2.8+11.5</f>
        <v>14.3</v>
      </c>
      <c r="AC8" s="61"/>
      <c r="AD8" s="61">
        <v>1.8</v>
      </c>
      <c r="AE8" s="61">
        <v>4.7</v>
      </c>
      <c r="AF8" s="61"/>
      <c r="AG8" s="61"/>
      <c r="AH8" s="61"/>
      <c r="AI8" s="61"/>
      <c r="AJ8" s="61"/>
      <c r="AK8" s="61"/>
      <c r="AL8" s="61">
        <v>1</v>
      </c>
      <c r="AM8" s="61"/>
      <c r="AN8" s="61"/>
      <c r="AO8" s="61"/>
      <c r="AP8" s="61"/>
      <c r="AQ8" s="61"/>
      <c r="AR8" s="61"/>
      <c r="AS8" s="61"/>
    </row>
    <row r="9" spans="1:46" ht="31.5" x14ac:dyDescent="0.25">
      <c r="A9" s="58">
        <v>8</v>
      </c>
      <c r="B9" s="59" t="s">
        <v>89</v>
      </c>
      <c r="C9" s="59"/>
      <c r="D9" s="60">
        <f>144.8</f>
        <v>144.80000000000001</v>
      </c>
      <c r="E9" s="60">
        <f t="shared" si="0"/>
        <v>0</v>
      </c>
      <c r="F9" s="61">
        <v>20</v>
      </c>
      <c r="G9" s="61"/>
      <c r="H9" s="61"/>
      <c r="I9" s="61"/>
      <c r="J9" s="61"/>
      <c r="K9" s="61"/>
      <c r="L9" s="61"/>
      <c r="M9" s="61"/>
      <c r="N9" s="61"/>
      <c r="O9" s="61"/>
      <c r="P9" s="61"/>
      <c r="Q9" s="61">
        <v>22.1</v>
      </c>
      <c r="R9" s="61"/>
      <c r="S9" s="61">
        <v>28.7</v>
      </c>
      <c r="T9" s="61"/>
      <c r="U9" s="61"/>
      <c r="V9" s="61">
        <v>8.6</v>
      </c>
      <c r="W9" s="61"/>
      <c r="X9" s="61"/>
      <c r="Y9" s="61">
        <v>15.1</v>
      </c>
      <c r="Z9" s="61"/>
      <c r="AA9" s="61"/>
      <c r="AB9" s="61">
        <v>14.5</v>
      </c>
      <c r="AC9" s="61"/>
      <c r="AD9" s="61">
        <v>5.8</v>
      </c>
      <c r="AE9" s="61">
        <v>29.7</v>
      </c>
      <c r="AF9" s="61"/>
      <c r="AG9" s="61"/>
      <c r="AH9" s="61"/>
      <c r="AI9" s="61">
        <v>0.3</v>
      </c>
      <c r="AJ9" s="61"/>
      <c r="AK9" s="61"/>
      <c r="AL9" s="61"/>
      <c r="AM9" s="61"/>
      <c r="AN9" s="61"/>
      <c r="AO9" s="61"/>
      <c r="AP9" s="61"/>
      <c r="AQ9" s="61"/>
      <c r="AR9" s="61"/>
      <c r="AS9" s="61"/>
    </row>
    <row r="10" spans="1:46" ht="31.5" x14ac:dyDescent="0.25">
      <c r="A10" s="58">
        <v>9</v>
      </c>
      <c r="B10" s="59" t="s">
        <v>90</v>
      </c>
      <c r="C10" s="59"/>
      <c r="D10" s="60">
        <f>89.4</f>
        <v>89.4</v>
      </c>
      <c r="E10" s="60">
        <f t="shared" si="0"/>
        <v>0</v>
      </c>
      <c r="F10" s="61">
        <v>7.2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>
        <v>34</v>
      </c>
      <c r="V10" s="61">
        <v>8.1</v>
      </c>
      <c r="W10" s="61"/>
      <c r="X10" s="61"/>
      <c r="Y10" s="61">
        <v>3.9</v>
      </c>
      <c r="Z10" s="61"/>
      <c r="AA10" s="61"/>
      <c r="AB10" s="61">
        <v>5.0999999999999996</v>
      </c>
      <c r="AC10" s="61"/>
      <c r="AD10" s="61">
        <v>10.1</v>
      </c>
      <c r="AE10" s="61">
        <v>21</v>
      </c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</row>
    <row r="11" spans="1:46" ht="31.5" x14ac:dyDescent="0.25">
      <c r="A11" s="58">
        <v>10</v>
      </c>
      <c r="B11" s="59" t="s">
        <v>91</v>
      </c>
      <c r="C11" s="59"/>
      <c r="D11" s="60">
        <f>25.6</f>
        <v>25.6</v>
      </c>
      <c r="E11" s="60">
        <f t="shared" si="0"/>
        <v>0</v>
      </c>
      <c r="F11" s="61">
        <v>7.5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>
        <v>10.8</v>
      </c>
      <c r="V11" s="61">
        <v>1.2</v>
      </c>
      <c r="W11" s="61"/>
      <c r="X11" s="61"/>
      <c r="Y11" s="61">
        <v>1.5</v>
      </c>
      <c r="Z11" s="61"/>
      <c r="AA11" s="61"/>
      <c r="AB11" s="61">
        <v>0.1</v>
      </c>
      <c r="AC11" s="61"/>
      <c r="AD11" s="61">
        <v>2.4</v>
      </c>
      <c r="AE11" s="61">
        <v>2.1</v>
      </c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7"/>
    </row>
    <row r="12" spans="1:46" ht="31.5" x14ac:dyDescent="0.25">
      <c r="A12" s="58">
        <v>11</v>
      </c>
      <c r="B12" s="59" t="s">
        <v>92</v>
      </c>
      <c r="C12" s="59"/>
      <c r="D12" s="60">
        <f>87.1</f>
        <v>87.1</v>
      </c>
      <c r="E12" s="60">
        <f t="shared" si="0"/>
        <v>0</v>
      </c>
      <c r="F12" s="61">
        <v>17.3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>
        <v>29.5</v>
      </c>
      <c r="U12" s="61"/>
      <c r="V12" s="61"/>
      <c r="W12" s="61"/>
      <c r="X12" s="61"/>
      <c r="Y12" s="61">
        <v>11</v>
      </c>
      <c r="Z12" s="61"/>
      <c r="AA12" s="61"/>
      <c r="AB12" s="61">
        <v>10.7</v>
      </c>
      <c r="AC12" s="61"/>
      <c r="AD12" s="61">
        <v>8.1</v>
      </c>
      <c r="AE12" s="61">
        <v>7</v>
      </c>
      <c r="AF12" s="61"/>
      <c r="AG12" s="61"/>
      <c r="AH12" s="61"/>
      <c r="AI12" s="61"/>
      <c r="AJ12" s="61"/>
      <c r="AK12" s="61">
        <v>3.5</v>
      </c>
      <c r="AL12" s="61"/>
      <c r="AM12" s="61"/>
      <c r="AN12" s="61"/>
      <c r="AO12" s="61"/>
      <c r="AP12" s="61"/>
      <c r="AQ12" s="61"/>
      <c r="AR12" s="61"/>
      <c r="AS12" s="61"/>
    </row>
    <row r="13" spans="1:46" ht="31.5" x14ac:dyDescent="0.25">
      <c r="A13" s="58">
        <v>12</v>
      </c>
      <c r="B13" s="59" t="s">
        <v>93</v>
      </c>
      <c r="C13" s="59" t="s">
        <v>123</v>
      </c>
      <c r="D13" s="60">
        <f>122.44</f>
        <v>122.44</v>
      </c>
      <c r="E13" s="60">
        <f t="shared" si="0"/>
        <v>122.44</v>
      </c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</row>
    <row r="14" spans="1:46" ht="31.5" x14ac:dyDescent="0.25">
      <c r="A14" s="58">
        <v>13</v>
      </c>
      <c r="B14" s="59" t="s">
        <v>94</v>
      </c>
      <c r="C14" s="59"/>
      <c r="D14" s="60">
        <f>102.01</f>
        <v>102.01</v>
      </c>
      <c r="E14" s="60">
        <f t="shared" si="0"/>
        <v>1.2200000000035516E-3</v>
      </c>
      <c r="F14" s="61">
        <f>41273.62/1000</f>
        <v>41.273620000000001</v>
      </c>
      <c r="G14" s="61"/>
      <c r="H14" s="61"/>
      <c r="I14" s="61"/>
      <c r="J14" s="61"/>
      <c r="K14" s="61"/>
      <c r="L14" s="61"/>
      <c r="M14" s="61"/>
      <c r="N14" s="61"/>
      <c r="O14" s="61"/>
      <c r="P14" s="61">
        <f>26800.76/1000</f>
        <v>26.800759999999997</v>
      </c>
      <c r="Q14" s="61"/>
      <c r="R14" s="61"/>
      <c r="S14" s="61"/>
      <c r="T14" s="61"/>
      <c r="U14" s="61">
        <f>27739.3/1000</f>
        <v>27.7393</v>
      </c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>
        <f>73.08/1000</f>
        <v>7.3079999999999992E-2</v>
      </c>
      <c r="AJ14" s="61">
        <f>6122.02/1000</f>
        <v>6.12202</v>
      </c>
      <c r="AK14" s="61"/>
      <c r="AL14" s="61"/>
      <c r="AM14" s="61"/>
      <c r="AN14" s="61"/>
      <c r="AO14" s="61"/>
      <c r="AP14" s="61"/>
      <c r="AQ14" s="61"/>
      <c r="AR14" s="61"/>
      <c r="AS14" s="61"/>
    </row>
    <row r="15" spans="1:46" ht="31.5" x14ac:dyDescent="0.25">
      <c r="A15" s="58">
        <v>14</v>
      </c>
      <c r="B15" s="59" t="s">
        <v>95</v>
      </c>
      <c r="C15" s="59"/>
      <c r="D15" s="60">
        <f>43.587</f>
        <v>43.587000000000003</v>
      </c>
      <c r="E15" s="56">
        <f t="shared" si="0"/>
        <v>2.0000000000003126E-2</v>
      </c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>
        <f>31554/1000</f>
        <v>31.553999999999998</v>
      </c>
      <c r="AN15" s="61">
        <f>3931/1000</f>
        <v>3.931</v>
      </c>
      <c r="AO15" s="61">
        <f>5234/1000</f>
        <v>5.234</v>
      </c>
      <c r="AP15" s="61"/>
      <c r="AQ15" s="61">
        <f>2848/1000</f>
        <v>2.8479999999999999</v>
      </c>
      <c r="AR15" s="61"/>
      <c r="AS15" s="61"/>
    </row>
    <row r="16" spans="1:46" ht="31.5" x14ac:dyDescent="0.25">
      <c r="A16" s="58">
        <v>15</v>
      </c>
      <c r="B16" s="59" t="s">
        <v>96</v>
      </c>
      <c r="C16" s="59"/>
      <c r="D16" s="60">
        <f>179.125</f>
        <v>179.125</v>
      </c>
      <c r="E16" s="60">
        <f t="shared" si="0"/>
        <v>0</v>
      </c>
      <c r="F16" s="61"/>
      <c r="G16" s="61"/>
      <c r="H16" s="61"/>
      <c r="I16" s="61"/>
      <c r="J16" s="61"/>
      <c r="K16" s="61">
        <f>39972/1000</f>
        <v>39.972000000000001</v>
      </c>
      <c r="L16" s="61">
        <f>4255/1000</f>
        <v>4.2549999999999999</v>
      </c>
      <c r="M16" s="61">
        <f>48123/1000</f>
        <v>48.122999999999998</v>
      </c>
      <c r="N16" s="61">
        <f>42494/1000</f>
        <v>42.494</v>
      </c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>
        <f>17026/1000</f>
        <v>17.026</v>
      </c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>
        <f>27255/1000</f>
        <v>27.254999999999999</v>
      </c>
      <c r="AS16" s="61"/>
    </row>
    <row r="17" spans="1:45" ht="47.25" x14ac:dyDescent="0.25">
      <c r="A17" s="58">
        <v>16</v>
      </c>
      <c r="B17" s="59" t="s">
        <v>97</v>
      </c>
      <c r="C17" s="59"/>
      <c r="D17" s="60">
        <f>46.192</f>
        <v>46.192</v>
      </c>
      <c r="E17" s="60">
        <f t="shared" si="0"/>
        <v>0</v>
      </c>
      <c r="F17" s="61">
        <f>6658/1000</f>
        <v>6.6580000000000004</v>
      </c>
      <c r="G17" s="61"/>
      <c r="H17" s="61"/>
      <c r="I17" s="61"/>
      <c r="J17" s="61"/>
      <c r="K17" s="61"/>
      <c r="L17" s="61"/>
      <c r="M17" s="61"/>
      <c r="N17" s="61"/>
      <c r="O17" s="61"/>
      <c r="P17" s="61">
        <f>1951/1000</f>
        <v>1.9510000000000001</v>
      </c>
      <c r="Q17" s="61"/>
      <c r="R17" s="61">
        <f>23742/1000</f>
        <v>23.742000000000001</v>
      </c>
      <c r="S17" s="61"/>
      <c r="T17" s="61"/>
      <c r="U17" s="61"/>
      <c r="V17" s="61"/>
      <c r="W17" s="61">
        <f>6543/1000</f>
        <v>6.5430000000000001</v>
      </c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>
        <f>5487/1000</f>
        <v>5.4870000000000001</v>
      </c>
      <c r="AS17" s="61">
        <f>1811/1000</f>
        <v>1.8109999999999999</v>
      </c>
    </row>
    <row r="18" spans="1:45" ht="31.5" x14ac:dyDescent="0.25">
      <c r="A18" s="58">
        <v>17</v>
      </c>
      <c r="B18" s="59" t="s">
        <v>98</v>
      </c>
      <c r="C18" s="59" t="s">
        <v>123</v>
      </c>
      <c r="D18" s="60">
        <v>123.735</v>
      </c>
      <c r="E18" s="60">
        <f t="shared" si="0"/>
        <v>123.735</v>
      </c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</row>
    <row r="19" spans="1:45" ht="31.5" x14ac:dyDescent="0.25">
      <c r="A19" s="58">
        <v>18</v>
      </c>
      <c r="B19" s="59" t="s">
        <v>99</v>
      </c>
      <c r="C19" s="59"/>
      <c r="D19" s="60">
        <f>106.386</f>
        <v>106.386</v>
      </c>
      <c r="E19" s="56">
        <f t="shared" si="0"/>
        <v>-7.8310000000016089E-2</v>
      </c>
      <c r="F19" s="61">
        <f>41269.62/1000</f>
        <v>41.269620000000003</v>
      </c>
      <c r="G19" s="61"/>
      <c r="H19" s="61"/>
      <c r="I19" s="61"/>
      <c r="J19" s="61"/>
      <c r="K19" s="61"/>
      <c r="L19" s="61"/>
      <c r="M19" s="61"/>
      <c r="N19" s="61"/>
      <c r="O19" s="61">
        <f>8466.73/1000</f>
        <v>8.4667300000000001</v>
      </c>
      <c r="P19" s="61">
        <f>27552.27/1000</f>
        <v>27.55227</v>
      </c>
      <c r="Q19" s="61"/>
      <c r="R19" s="61"/>
      <c r="S19" s="61"/>
      <c r="T19" s="61"/>
      <c r="U19" s="61">
        <f>29024.85/1000</f>
        <v>29.024849999999997</v>
      </c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>
        <f>150.84/1000</f>
        <v>0.15084</v>
      </c>
      <c r="AJ19" s="61"/>
      <c r="AK19" s="61"/>
      <c r="AL19" s="61"/>
      <c r="AM19" s="61"/>
      <c r="AN19" s="61"/>
      <c r="AO19" s="61"/>
      <c r="AP19" s="61"/>
      <c r="AQ19" s="61"/>
      <c r="AR19" s="61"/>
      <c r="AS19" s="61"/>
    </row>
    <row r="20" spans="1:45" s="57" customFormat="1" ht="31.5" x14ac:dyDescent="0.25">
      <c r="A20" s="35">
        <v>19</v>
      </c>
      <c r="B20" s="37" t="s">
        <v>42</v>
      </c>
      <c r="C20" s="59" t="s">
        <v>136</v>
      </c>
      <c r="D20" s="60">
        <v>6</v>
      </c>
      <c r="E20" s="56">
        <f t="shared" si="0"/>
        <v>6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</row>
    <row r="21" spans="1:45" ht="31.5" x14ac:dyDescent="0.25">
      <c r="A21" s="58">
        <v>20</v>
      </c>
      <c r="B21" s="59" t="s">
        <v>100</v>
      </c>
      <c r="C21" s="59"/>
      <c r="D21" s="60">
        <v>40.695</v>
      </c>
      <c r="E21" s="60">
        <f t="shared" si="0"/>
        <v>0</v>
      </c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>
        <f>28895/1000</f>
        <v>28.895</v>
      </c>
      <c r="AN21" s="61">
        <f>4919/1000</f>
        <v>4.9189999999999996</v>
      </c>
      <c r="AO21" s="61">
        <f>5251/1000</f>
        <v>5.2510000000000003</v>
      </c>
      <c r="AP21" s="61">
        <f>1630/1000</f>
        <v>1.63</v>
      </c>
      <c r="AQ21" s="61"/>
      <c r="AR21" s="61"/>
      <c r="AS21" s="61"/>
    </row>
    <row r="22" spans="1:45" x14ac:dyDescent="0.25">
      <c r="A22" s="58"/>
      <c r="B22" s="63" t="s">
        <v>45</v>
      </c>
      <c r="C22" s="63"/>
      <c r="D22" s="60">
        <f>SUM(D2:D21)</f>
        <v>2272.5700000000002</v>
      </c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</row>
    <row r="25" spans="1:45" x14ac:dyDescent="0.25">
      <c r="F25" s="66">
        <f>SUM(F2:F22)</f>
        <v>374.80124000000012</v>
      </c>
      <c r="G25" s="66">
        <f t="shared" ref="G25:AS25" si="1">SUM(G2:G22)</f>
        <v>51.3</v>
      </c>
      <c r="H25" s="66">
        <f t="shared" si="1"/>
        <v>62.9</v>
      </c>
      <c r="I25" s="66">
        <f t="shared" si="1"/>
        <v>27</v>
      </c>
      <c r="J25" s="66">
        <f t="shared" si="1"/>
        <v>4.0999999999999996</v>
      </c>
      <c r="K25" s="66">
        <f t="shared" si="1"/>
        <v>39.972000000000001</v>
      </c>
      <c r="L25" s="66">
        <f t="shared" si="1"/>
        <v>4.2549999999999999</v>
      </c>
      <c r="M25" s="66">
        <f t="shared" si="1"/>
        <v>48.122999999999998</v>
      </c>
      <c r="N25" s="66">
        <f t="shared" si="1"/>
        <v>42.494</v>
      </c>
      <c r="O25" s="66">
        <f t="shared" si="1"/>
        <v>8.4667300000000001</v>
      </c>
      <c r="P25" s="66">
        <f t="shared" si="1"/>
        <v>56.304029999999997</v>
      </c>
      <c r="Q25" s="66">
        <f t="shared" si="1"/>
        <v>22.1</v>
      </c>
      <c r="R25" s="66">
        <f t="shared" si="1"/>
        <v>23.742000000000001</v>
      </c>
      <c r="S25" s="66">
        <f t="shared" si="1"/>
        <v>28.7</v>
      </c>
      <c r="T25" s="66">
        <f t="shared" si="1"/>
        <v>74.7</v>
      </c>
      <c r="U25" s="66">
        <f t="shared" si="1"/>
        <v>369.16415000000006</v>
      </c>
      <c r="V25" s="66">
        <f t="shared" si="1"/>
        <v>47.100000000000009</v>
      </c>
      <c r="W25" s="66">
        <f t="shared" si="1"/>
        <v>6.5430000000000001</v>
      </c>
      <c r="X25" s="66">
        <f t="shared" si="1"/>
        <v>8.5</v>
      </c>
      <c r="Y25" s="66">
        <f t="shared" si="1"/>
        <v>79.126000000000005</v>
      </c>
      <c r="Z25" s="66">
        <f t="shared" si="1"/>
        <v>40</v>
      </c>
      <c r="AA25" s="66">
        <f t="shared" si="1"/>
        <v>31</v>
      </c>
      <c r="AB25" s="66">
        <f t="shared" si="1"/>
        <v>119.49999999999999</v>
      </c>
      <c r="AC25" s="66">
        <f t="shared" si="1"/>
        <v>7</v>
      </c>
      <c r="AD25" s="66">
        <f t="shared" si="1"/>
        <v>104.09999999999998</v>
      </c>
      <c r="AE25" s="66">
        <f t="shared" si="1"/>
        <v>179.3</v>
      </c>
      <c r="AF25" s="66">
        <f t="shared" si="1"/>
        <v>7.7</v>
      </c>
      <c r="AG25" s="66">
        <f t="shared" si="1"/>
        <v>12.299999999999999</v>
      </c>
      <c r="AH25" s="66">
        <f t="shared" si="1"/>
        <v>0.6</v>
      </c>
      <c r="AI25" s="66">
        <f t="shared" si="1"/>
        <v>2.62392</v>
      </c>
      <c r="AJ25" s="66">
        <f t="shared" si="1"/>
        <v>6.12202</v>
      </c>
      <c r="AK25" s="66">
        <f t="shared" si="1"/>
        <v>3.5</v>
      </c>
      <c r="AL25" s="66">
        <f t="shared" si="1"/>
        <v>1</v>
      </c>
      <c r="AM25" s="66">
        <f t="shared" si="1"/>
        <v>60.448999999999998</v>
      </c>
      <c r="AN25" s="66">
        <f t="shared" si="1"/>
        <v>8.85</v>
      </c>
      <c r="AO25" s="66">
        <f t="shared" si="1"/>
        <v>10.484999999999999</v>
      </c>
      <c r="AP25" s="66">
        <f t="shared" si="1"/>
        <v>1.63</v>
      </c>
      <c r="AQ25" s="66">
        <f t="shared" si="1"/>
        <v>2.8479999999999999</v>
      </c>
      <c r="AR25" s="66">
        <f t="shared" si="1"/>
        <v>32.741999999999997</v>
      </c>
      <c r="AS25" s="66">
        <f t="shared" si="1"/>
        <v>1.8109999999999999</v>
      </c>
    </row>
  </sheetData>
  <phoneticPr fontId="20" type="noConversion"/>
  <printOptions verticalCentered="1"/>
  <pageMargins left="0.70866141732283472" right="0.70866141732283472" top="0.55118110236220474" bottom="0.55118110236220474" header="0" footer="0"/>
  <pageSetup paperSize="9" scale="71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0"/>
  <sheetViews>
    <sheetView zoomScale="130" zoomScaleNormal="130" workbookViewId="0">
      <selection activeCell="K21" sqref="K21"/>
    </sheetView>
  </sheetViews>
  <sheetFormatPr defaultRowHeight="15" x14ac:dyDescent="0.25"/>
  <cols>
    <col min="1" max="1" width="3.85546875" style="9" customWidth="1"/>
    <col min="2" max="2" width="46.5703125" style="9" customWidth="1"/>
    <col min="3" max="3" width="10.7109375" style="9" customWidth="1"/>
    <col min="4" max="4" width="19.140625" style="9" customWidth="1"/>
    <col min="5" max="5" width="22.85546875" style="9" customWidth="1"/>
    <col min="6" max="16384" width="9.140625" style="9"/>
  </cols>
  <sheetData>
    <row r="2" spans="1:7" ht="15.75" customHeight="1" x14ac:dyDescent="0.3">
      <c r="B2" s="75" t="s">
        <v>4</v>
      </c>
      <c r="C2" s="75"/>
      <c r="D2" s="75"/>
      <c r="E2" s="75"/>
    </row>
    <row r="3" spans="1:7" ht="15.75" customHeight="1" x14ac:dyDescent="0.3">
      <c r="B3" s="10"/>
      <c r="C3" s="11"/>
      <c r="D3" s="11"/>
    </row>
    <row r="4" spans="1:7" ht="15.75" customHeight="1" thickBot="1" x14ac:dyDescent="0.35">
      <c r="B4" s="76" t="s">
        <v>25</v>
      </c>
      <c r="C4" s="76"/>
      <c r="D4" s="76"/>
    </row>
    <row r="5" spans="1:7" ht="39" customHeight="1" thickBot="1" x14ac:dyDescent="0.3">
      <c r="A5" s="12" t="s">
        <v>40</v>
      </c>
      <c r="B5" s="13" t="s">
        <v>3</v>
      </c>
      <c r="C5" s="14" t="s">
        <v>24</v>
      </c>
      <c r="D5" s="15" t="s">
        <v>26</v>
      </c>
      <c r="E5" s="15" t="s">
        <v>28</v>
      </c>
    </row>
    <row r="6" spans="1:7" ht="31.5" customHeight="1" x14ac:dyDescent="0.25">
      <c r="A6" s="16">
        <v>1</v>
      </c>
      <c r="B6" s="4" t="s">
        <v>5</v>
      </c>
      <c r="C6" s="3">
        <f>133.3</f>
        <v>133.30000000000001</v>
      </c>
      <c r="D6" s="17">
        <v>45870</v>
      </c>
      <c r="E6" s="18" t="s">
        <v>29</v>
      </c>
    </row>
    <row r="7" spans="1:7" ht="33" customHeight="1" x14ac:dyDescent="0.25">
      <c r="A7" s="16">
        <v>2</v>
      </c>
      <c r="B7" s="5" t="s">
        <v>6</v>
      </c>
      <c r="C7" s="19">
        <f>219.8</f>
        <v>219.8</v>
      </c>
      <c r="D7" s="20">
        <v>45870</v>
      </c>
      <c r="E7" s="21" t="s">
        <v>29</v>
      </c>
      <c r="F7" s="72"/>
      <c r="G7" s="73"/>
    </row>
    <row r="8" spans="1:7" ht="30.75" customHeight="1" x14ac:dyDescent="0.25">
      <c r="A8" s="16">
        <v>3</v>
      </c>
      <c r="B8" s="5" t="s">
        <v>7</v>
      </c>
      <c r="C8" s="1">
        <f>77.8</f>
        <v>77.8</v>
      </c>
      <c r="D8" s="20" t="s">
        <v>36</v>
      </c>
      <c r="E8" s="21" t="s">
        <v>30</v>
      </c>
    </row>
    <row r="9" spans="1:7" ht="48.75" customHeight="1" x14ac:dyDescent="0.25">
      <c r="A9" s="16">
        <v>4</v>
      </c>
      <c r="B9" s="5" t="s">
        <v>8</v>
      </c>
      <c r="C9" s="1">
        <f>375.4</f>
        <v>375.4</v>
      </c>
      <c r="D9" s="20" t="s">
        <v>37</v>
      </c>
      <c r="E9" s="21" t="s">
        <v>27</v>
      </c>
    </row>
    <row r="10" spans="1:7" ht="63.75" customHeight="1" x14ac:dyDescent="0.25">
      <c r="A10" s="16">
        <v>5</v>
      </c>
      <c r="B10" s="5" t="s">
        <v>9</v>
      </c>
      <c r="C10" s="1">
        <v>42.8</v>
      </c>
      <c r="D10" s="20" t="s">
        <v>36</v>
      </c>
      <c r="E10" s="21" t="s">
        <v>30</v>
      </c>
    </row>
    <row r="11" spans="1:7" ht="63" customHeight="1" x14ac:dyDescent="0.25">
      <c r="A11" s="16">
        <v>6</v>
      </c>
      <c r="B11" s="6" t="s">
        <v>10</v>
      </c>
      <c r="C11" s="1">
        <v>94.4</v>
      </c>
      <c r="D11" s="20" t="s">
        <v>36</v>
      </c>
      <c r="E11" s="21" t="s">
        <v>30</v>
      </c>
    </row>
    <row r="12" spans="1:7" ht="48" customHeight="1" x14ac:dyDescent="0.25">
      <c r="A12" s="16">
        <v>7</v>
      </c>
      <c r="B12" s="5" t="s">
        <v>11</v>
      </c>
      <c r="C12" s="1">
        <f>54.2+157.8</f>
        <v>212</v>
      </c>
      <c r="D12" s="20" t="s">
        <v>37</v>
      </c>
      <c r="E12" s="21" t="s">
        <v>29</v>
      </c>
      <c r="F12" s="74"/>
      <c r="G12" s="74"/>
    </row>
    <row r="13" spans="1:7" ht="30" customHeight="1" x14ac:dyDescent="0.25">
      <c r="A13" s="16">
        <v>8</v>
      </c>
      <c r="B13" s="5" t="s">
        <v>12</v>
      </c>
      <c r="C13" s="1">
        <f>144.8</f>
        <v>144.80000000000001</v>
      </c>
      <c r="D13" s="22" t="s">
        <v>31</v>
      </c>
      <c r="E13" s="21" t="s">
        <v>30</v>
      </c>
    </row>
    <row r="14" spans="1:7" ht="31.5" x14ac:dyDescent="0.25">
      <c r="A14" s="16">
        <v>9</v>
      </c>
      <c r="B14" s="5" t="s">
        <v>13</v>
      </c>
      <c r="C14" s="1">
        <f>89.4</f>
        <v>89.4</v>
      </c>
      <c r="D14" s="22" t="s">
        <v>31</v>
      </c>
      <c r="E14" s="21" t="s">
        <v>30</v>
      </c>
    </row>
    <row r="15" spans="1:7" ht="34.5" customHeight="1" x14ac:dyDescent="0.25">
      <c r="A15" s="16">
        <v>10</v>
      </c>
      <c r="B15" s="5" t="s">
        <v>14</v>
      </c>
      <c r="C15" s="1">
        <f>25.6</f>
        <v>25.6</v>
      </c>
      <c r="D15" s="20" t="s">
        <v>39</v>
      </c>
      <c r="E15" s="21" t="s">
        <v>32</v>
      </c>
      <c r="F15" s="72"/>
      <c r="G15" s="73"/>
    </row>
    <row r="16" spans="1:7" ht="34.5" customHeight="1" x14ac:dyDescent="0.25">
      <c r="A16" s="16">
        <v>11</v>
      </c>
      <c r="B16" s="5" t="s">
        <v>15</v>
      </c>
      <c r="C16" s="1">
        <f>87.1</f>
        <v>87.1</v>
      </c>
      <c r="D16" s="20" t="s">
        <v>36</v>
      </c>
      <c r="E16" s="21" t="s">
        <v>29</v>
      </c>
    </row>
    <row r="17" spans="1:5" ht="33" customHeight="1" x14ac:dyDescent="0.25">
      <c r="A17" s="16">
        <v>12</v>
      </c>
      <c r="B17" s="5" t="s">
        <v>16</v>
      </c>
      <c r="C17" s="1">
        <f>122.44</f>
        <v>122.44</v>
      </c>
      <c r="D17" s="20" t="s">
        <v>38</v>
      </c>
      <c r="E17" s="21" t="s">
        <v>30</v>
      </c>
    </row>
    <row r="18" spans="1:5" ht="30" customHeight="1" x14ac:dyDescent="0.25">
      <c r="A18" s="16">
        <v>13</v>
      </c>
      <c r="B18" s="5" t="s">
        <v>17</v>
      </c>
      <c r="C18" s="1">
        <f>102.01</f>
        <v>102.01</v>
      </c>
      <c r="D18" s="20" t="s">
        <v>38</v>
      </c>
      <c r="E18" s="21" t="s">
        <v>30</v>
      </c>
    </row>
    <row r="19" spans="1:5" ht="30" customHeight="1" x14ac:dyDescent="0.25">
      <c r="A19" s="16">
        <v>14</v>
      </c>
      <c r="B19" s="5" t="s">
        <v>18</v>
      </c>
      <c r="C19" s="1">
        <f>43.587</f>
        <v>43.587000000000003</v>
      </c>
      <c r="D19" s="20" t="s">
        <v>37</v>
      </c>
      <c r="E19" s="21" t="s">
        <v>33</v>
      </c>
    </row>
    <row r="20" spans="1:5" ht="30.75" customHeight="1" x14ac:dyDescent="0.25">
      <c r="A20" s="16">
        <v>15</v>
      </c>
      <c r="B20" s="5" t="s">
        <v>19</v>
      </c>
      <c r="C20" s="1">
        <f>179.125</f>
        <v>179.125</v>
      </c>
      <c r="D20" s="20" t="s">
        <v>36</v>
      </c>
      <c r="E20" s="21" t="s">
        <v>33</v>
      </c>
    </row>
    <row r="21" spans="1:5" ht="50.25" customHeight="1" x14ac:dyDescent="0.25">
      <c r="A21" s="16">
        <v>16</v>
      </c>
      <c r="B21" s="7" t="s">
        <v>20</v>
      </c>
      <c r="C21" s="1">
        <f>46.192</f>
        <v>46.192</v>
      </c>
      <c r="D21" s="22" t="s">
        <v>31</v>
      </c>
      <c r="E21" s="21" t="s">
        <v>33</v>
      </c>
    </row>
    <row r="22" spans="1:5" ht="36.75" customHeight="1" x14ac:dyDescent="0.25">
      <c r="A22" s="16">
        <v>17</v>
      </c>
      <c r="B22" s="7" t="s">
        <v>21</v>
      </c>
      <c r="C22" s="1">
        <v>123.735</v>
      </c>
      <c r="D22" s="22" t="s">
        <v>31</v>
      </c>
      <c r="E22" s="21" t="s">
        <v>30</v>
      </c>
    </row>
    <row r="23" spans="1:5" ht="33.75" customHeight="1" x14ac:dyDescent="0.25">
      <c r="A23" s="16">
        <v>18</v>
      </c>
      <c r="B23" s="5" t="s">
        <v>22</v>
      </c>
      <c r="C23" s="1">
        <f>106.386</f>
        <v>106.386</v>
      </c>
      <c r="D23" s="22" t="s">
        <v>31</v>
      </c>
      <c r="E23" s="21" t="s">
        <v>30</v>
      </c>
    </row>
    <row r="24" spans="1:5" s="27" customFormat="1" ht="31.5" customHeight="1" x14ac:dyDescent="0.25">
      <c r="A24" s="23">
        <v>19</v>
      </c>
      <c r="B24" s="8" t="s">
        <v>41</v>
      </c>
      <c r="C24" s="24">
        <v>6</v>
      </c>
      <c r="D24" s="25" t="s">
        <v>35</v>
      </c>
      <c r="E24" s="26" t="s">
        <v>34</v>
      </c>
    </row>
    <row r="25" spans="1:5" ht="33.75" customHeight="1" thickBot="1" x14ac:dyDescent="0.3">
      <c r="A25" s="28">
        <v>20</v>
      </c>
      <c r="B25" s="29" t="s">
        <v>23</v>
      </c>
      <c r="C25" s="30">
        <v>40.695</v>
      </c>
      <c r="D25" s="31" t="s">
        <v>35</v>
      </c>
      <c r="E25" s="32" t="s">
        <v>33</v>
      </c>
    </row>
    <row r="26" spans="1:5" ht="18.75" x14ac:dyDescent="0.25">
      <c r="B26" s="2" t="s">
        <v>0</v>
      </c>
      <c r="C26" s="33">
        <f>SUM(C6:C25)</f>
        <v>2272.5700000000002</v>
      </c>
    </row>
    <row r="27" spans="1:5" hidden="1" x14ac:dyDescent="0.25">
      <c r="B27" s="9" t="s">
        <v>1</v>
      </c>
    </row>
    <row r="28" spans="1:5" hidden="1" x14ac:dyDescent="0.25">
      <c r="B28" s="9" t="s">
        <v>2</v>
      </c>
    </row>
    <row r="29" spans="1:5" hidden="1" x14ac:dyDescent="0.25"/>
    <row r="30" spans="1:5" x14ac:dyDescent="0.25">
      <c r="E30" s="34"/>
    </row>
  </sheetData>
  <mergeCells count="5">
    <mergeCell ref="F7:G7"/>
    <mergeCell ref="F15:G15"/>
    <mergeCell ref="F12:G12"/>
    <mergeCell ref="B2:E2"/>
    <mergeCell ref="B4:D4"/>
  </mergeCells>
  <printOptions verticalCentered="1"/>
  <pageMargins left="0.70866141732283472" right="0.70866141732283472" top="0.55118110236220474" bottom="0.55118110236220474" header="0" footer="0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3EBAD-659C-4604-8FF8-7AB08D61D071}">
  <sheetPr>
    <pageSetUpPr fitToPage="1"/>
  </sheetPr>
  <dimension ref="A2:F31"/>
  <sheetViews>
    <sheetView zoomScale="85" zoomScaleNormal="85" workbookViewId="0">
      <selection activeCell="G17" sqref="G17"/>
    </sheetView>
  </sheetViews>
  <sheetFormatPr defaultRowHeight="15" x14ac:dyDescent="0.25"/>
  <cols>
    <col min="1" max="1" width="7.5703125" style="38" customWidth="1"/>
    <col min="2" max="2" width="46.5703125" style="38" customWidth="1"/>
    <col min="3" max="3" width="13.5703125" style="38" customWidth="1"/>
    <col min="4" max="4" width="19.140625" style="38" customWidth="1"/>
    <col min="5" max="5" width="22.85546875" style="38" customWidth="1"/>
    <col min="6" max="6" width="35.140625" style="39" customWidth="1"/>
    <col min="7" max="7" width="77.7109375" style="38" customWidth="1"/>
    <col min="8" max="16384" width="9.140625" style="38"/>
  </cols>
  <sheetData>
    <row r="2" spans="1:6" ht="15.75" customHeight="1" x14ac:dyDescent="0.25">
      <c r="B2" s="77" t="s">
        <v>4</v>
      </c>
      <c r="C2" s="77"/>
      <c r="D2" s="77"/>
      <c r="E2" s="77"/>
    </row>
    <row r="3" spans="1:6" ht="15.75" customHeight="1" x14ac:dyDescent="0.25">
      <c r="C3" s="39"/>
      <c r="D3" s="39"/>
    </row>
    <row r="4" spans="1:6" ht="15.75" customHeight="1" x14ac:dyDescent="0.25">
      <c r="B4" s="77" t="s">
        <v>25</v>
      </c>
      <c r="C4" s="77"/>
      <c r="D4" s="77"/>
    </row>
    <row r="5" spans="1:6" ht="39" customHeight="1" x14ac:dyDescent="0.25">
      <c r="A5" s="40" t="s">
        <v>40</v>
      </c>
      <c r="B5" s="40" t="s">
        <v>3</v>
      </c>
      <c r="C5" s="40" t="s">
        <v>24</v>
      </c>
      <c r="D5" s="40" t="s">
        <v>26</v>
      </c>
      <c r="E5" s="40" t="s">
        <v>28</v>
      </c>
      <c r="F5" s="40" t="s">
        <v>53</v>
      </c>
    </row>
    <row r="6" spans="1:6" ht="31.5" customHeight="1" x14ac:dyDescent="0.25">
      <c r="A6" s="41">
        <v>1</v>
      </c>
      <c r="B6" s="42" t="s">
        <v>54</v>
      </c>
      <c r="C6" s="43">
        <f>133.3</f>
        <v>133.30000000000001</v>
      </c>
      <c r="D6" s="44">
        <v>45870</v>
      </c>
      <c r="E6" s="41" t="s">
        <v>29</v>
      </c>
      <c r="F6" s="42"/>
    </row>
    <row r="7" spans="1:6" ht="33" customHeight="1" x14ac:dyDescent="0.25">
      <c r="A7" s="41">
        <v>2</v>
      </c>
      <c r="B7" s="42" t="s">
        <v>55</v>
      </c>
      <c r="C7" s="45">
        <f>219.8</f>
        <v>219.8</v>
      </c>
      <c r="D7" s="44">
        <v>45870</v>
      </c>
      <c r="E7" s="41" t="s">
        <v>29</v>
      </c>
      <c r="F7" s="42"/>
    </row>
    <row r="8" spans="1:6" ht="30.75" customHeight="1" x14ac:dyDescent="0.25">
      <c r="A8" s="41">
        <v>3</v>
      </c>
      <c r="B8" s="42" t="s">
        <v>56</v>
      </c>
      <c r="C8" s="43">
        <f>77.8</f>
        <v>77.8</v>
      </c>
      <c r="D8" s="44" t="s">
        <v>36</v>
      </c>
      <c r="E8" s="41" t="s">
        <v>30</v>
      </c>
      <c r="F8" s="42"/>
    </row>
    <row r="9" spans="1:6" ht="48.75" customHeight="1" x14ac:dyDescent="0.25">
      <c r="A9" s="41">
        <v>4</v>
      </c>
      <c r="B9" s="42" t="s">
        <v>57</v>
      </c>
      <c r="C9" s="43">
        <f>375.4</f>
        <v>375.4</v>
      </c>
      <c r="D9" s="44" t="s">
        <v>37</v>
      </c>
      <c r="E9" s="41" t="s">
        <v>27</v>
      </c>
      <c r="F9" s="42" t="s">
        <v>58</v>
      </c>
    </row>
    <row r="10" spans="1:6" ht="63.75" customHeight="1" x14ac:dyDescent="0.25">
      <c r="A10" s="41">
        <v>5</v>
      </c>
      <c r="B10" s="42" t="s">
        <v>59</v>
      </c>
      <c r="C10" s="43">
        <v>42.8</v>
      </c>
      <c r="D10" s="44" t="s">
        <v>36</v>
      </c>
      <c r="E10" s="41" t="s">
        <v>30</v>
      </c>
      <c r="F10" s="42"/>
    </row>
    <row r="11" spans="1:6" ht="63" customHeight="1" x14ac:dyDescent="0.25">
      <c r="A11" s="41">
        <v>6</v>
      </c>
      <c r="B11" s="46" t="s">
        <v>60</v>
      </c>
      <c r="C11" s="43">
        <v>94.4</v>
      </c>
      <c r="D11" s="44" t="s">
        <v>36</v>
      </c>
      <c r="E11" s="41" t="s">
        <v>30</v>
      </c>
      <c r="F11" s="42"/>
    </row>
    <row r="12" spans="1:6" ht="48" customHeight="1" x14ac:dyDescent="0.25">
      <c r="A12" s="41">
        <v>7</v>
      </c>
      <c r="B12" s="42" t="s">
        <v>61</v>
      </c>
      <c r="C12" s="47">
        <f>54.2+157.8</f>
        <v>212</v>
      </c>
      <c r="D12" s="44" t="s">
        <v>37</v>
      </c>
      <c r="E12" s="41" t="s">
        <v>29</v>
      </c>
      <c r="F12" s="46" t="s">
        <v>62</v>
      </c>
    </row>
    <row r="13" spans="1:6" ht="30" customHeight="1" x14ac:dyDescent="0.25">
      <c r="A13" s="41">
        <v>8</v>
      </c>
      <c r="B13" s="42" t="s">
        <v>63</v>
      </c>
      <c r="C13" s="43">
        <f>144.8</f>
        <v>144.80000000000001</v>
      </c>
      <c r="D13" s="41" t="s">
        <v>31</v>
      </c>
      <c r="E13" s="41" t="s">
        <v>30</v>
      </c>
      <c r="F13" s="42"/>
    </row>
    <row r="14" spans="1:6" ht="30" x14ac:dyDescent="0.25">
      <c r="A14" s="41">
        <v>9</v>
      </c>
      <c r="B14" s="42" t="s">
        <v>64</v>
      </c>
      <c r="C14" s="43">
        <f>89.4</f>
        <v>89.4</v>
      </c>
      <c r="D14" s="41" t="s">
        <v>31</v>
      </c>
      <c r="E14" s="41" t="s">
        <v>30</v>
      </c>
      <c r="F14" s="42"/>
    </row>
    <row r="15" spans="1:6" ht="34.5" customHeight="1" x14ac:dyDescent="0.25">
      <c r="A15" s="41">
        <v>10</v>
      </c>
      <c r="B15" s="42" t="s">
        <v>65</v>
      </c>
      <c r="C15" s="43">
        <f>25.6</f>
        <v>25.6</v>
      </c>
      <c r="D15" s="44" t="s">
        <v>39</v>
      </c>
      <c r="E15" s="41" t="s">
        <v>32</v>
      </c>
      <c r="F15" s="48" t="s">
        <v>66</v>
      </c>
    </row>
    <row r="16" spans="1:6" ht="34.5" customHeight="1" x14ac:dyDescent="0.25">
      <c r="A16" s="41">
        <v>11</v>
      </c>
      <c r="B16" s="42" t="s">
        <v>67</v>
      </c>
      <c r="C16" s="43">
        <f>87.1</f>
        <v>87.1</v>
      </c>
      <c r="D16" s="44" t="s">
        <v>36</v>
      </c>
      <c r="E16" s="41" t="s">
        <v>29</v>
      </c>
      <c r="F16" s="42"/>
    </row>
    <row r="17" spans="1:6" ht="33" customHeight="1" x14ac:dyDescent="0.25">
      <c r="A17" s="41">
        <v>12</v>
      </c>
      <c r="B17" s="42" t="s">
        <v>68</v>
      </c>
      <c r="C17" s="43">
        <f>122.44</f>
        <v>122.44</v>
      </c>
      <c r="D17" s="44" t="s">
        <v>38</v>
      </c>
      <c r="E17" s="41" t="s">
        <v>30</v>
      </c>
      <c r="F17" s="42"/>
    </row>
    <row r="18" spans="1:6" ht="30" customHeight="1" x14ac:dyDescent="0.25">
      <c r="A18" s="41">
        <v>13</v>
      </c>
      <c r="B18" s="42" t="s">
        <v>69</v>
      </c>
      <c r="C18" s="43">
        <f>102.01</f>
        <v>102.01</v>
      </c>
      <c r="D18" s="44" t="s">
        <v>38</v>
      </c>
      <c r="E18" s="41" t="s">
        <v>30</v>
      </c>
      <c r="F18" s="42"/>
    </row>
    <row r="19" spans="1:6" ht="30" customHeight="1" x14ac:dyDescent="0.25">
      <c r="A19" s="41">
        <v>14</v>
      </c>
      <c r="B19" s="42" t="s">
        <v>70</v>
      </c>
      <c r="C19" s="43">
        <v>43.587000000000003</v>
      </c>
      <c r="D19" s="44" t="s">
        <v>37</v>
      </c>
      <c r="E19" s="41" t="s">
        <v>33</v>
      </c>
      <c r="F19" s="46">
        <v>43.567</v>
      </c>
    </row>
    <row r="20" spans="1:6" ht="30.75" customHeight="1" x14ac:dyDescent="0.25">
      <c r="A20" s="41">
        <v>15</v>
      </c>
      <c r="B20" s="42" t="s">
        <v>71</v>
      </c>
      <c r="C20" s="43">
        <f>179.125</f>
        <v>179.125</v>
      </c>
      <c r="D20" s="44" t="s">
        <v>36</v>
      </c>
      <c r="E20" s="41" t="s">
        <v>33</v>
      </c>
      <c r="F20" s="42"/>
    </row>
    <row r="21" spans="1:6" ht="50.25" customHeight="1" x14ac:dyDescent="0.25">
      <c r="A21" s="41">
        <v>16</v>
      </c>
      <c r="B21" s="42" t="s">
        <v>72</v>
      </c>
      <c r="C21" s="43">
        <f>46.192</f>
        <v>46.192</v>
      </c>
      <c r="D21" s="41" t="s">
        <v>31</v>
      </c>
      <c r="E21" s="41" t="s">
        <v>33</v>
      </c>
      <c r="F21" s="42"/>
    </row>
    <row r="22" spans="1:6" ht="36.75" customHeight="1" x14ac:dyDescent="0.25">
      <c r="A22" s="41">
        <v>17</v>
      </c>
      <c r="B22" s="49" t="s">
        <v>73</v>
      </c>
      <c r="C22" s="43">
        <v>123.735</v>
      </c>
      <c r="D22" s="41" t="s">
        <v>31</v>
      </c>
      <c r="E22" s="41" t="s">
        <v>30</v>
      </c>
      <c r="F22" s="42"/>
    </row>
    <row r="23" spans="1:6" ht="33.75" customHeight="1" x14ac:dyDescent="0.25">
      <c r="A23" s="41">
        <v>18</v>
      </c>
      <c r="B23" s="49" t="s">
        <v>74</v>
      </c>
      <c r="C23" s="43">
        <f>106.386</f>
        <v>106.386</v>
      </c>
      <c r="D23" s="41" t="s">
        <v>31</v>
      </c>
      <c r="E23" s="41" t="s">
        <v>30</v>
      </c>
      <c r="F23" s="42"/>
    </row>
    <row r="24" spans="1:6" ht="31.5" customHeight="1" x14ac:dyDescent="0.25">
      <c r="A24" s="41">
        <v>19</v>
      </c>
      <c r="B24" s="49" t="s">
        <v>75</v>
      </c>
      <c r="C24" s="50">
        <v>6</v>
      </c>
      <c r="D24" s="41" t="s">
        <v>35</v>
      </c>
      <c r="E24" s="41" t="s">
        <v>34</v>
      </c>
      <c r="F24" s="46" t="s">
        <v>76</v>
      </c>
    </row>
    <row r="25" spans="1:6" ht="33.75" customHeight="1" x14ac:dyDescent="0.25">
      <c r="A25" s="41">
        <v>20</v>
      </c>
      <c r="B25" s="49" t="s">
        <v>77</v>
      </c>
      <c r="C25" s="43">
        <v>40.695</v>
      </c>
      <c r="D25" s="41" t="s">
        <v>35</v>
      </c>
      <c r="E25" s="41" t="s">
        <v>33</v>
      </c>
      <c r="F25" s="42"/>
    </row>
    <row r="26" spans="1:6" x14ac:dyDescent="0.25">
      <c r="B26" s="51" t="s">
        <v>0</v>
      </c>
      <c r="C26" s="52">
        <f>SUM(C6:C25)</f>
        <v>2272.5700000000002</v>
      </c>
      <c r="F26" s="53">
        <f>C6+C7+C8+C9+C10+C11+C13+C14+C15+C16+C17+C18+C20+C21+C22+C23+C25+F30+255.7+130.7+157.8+54.2+43.567</f>
        <v>2652.9499999999994</v>
      </c>
    </row>
    <row r="27" spans="1:6" hidden="1" x14ac:dyDescent="0.25">
      <c r="B27" s="38" t="s">
        <v>1</v>
      </c>
    </row>
    <row r="28" spans="1:6" hidden="1" x14ac:dyDescent="0.25">
      <c r="B28" s="38" t="s">
        <v>2</v>
      </c>
    </row>
    <row r="29" spans="1:6" hidden="1" x14ac:dyDescent="0.25"/>
    <row r="30" spans="1:6" x14ac:dyDescent="0.25">
      <c r="E30" s="54"/>
    </row>
    <row r="31" spans="1:6" x14ac:dyDescent="0.25">
      <c r="F31" s="55" t="s">
        <v>78</v>
      </c>
    </row>
  </sheetData>
  <mergeCells count="2">
    <mergeCell ref="B2:E2"/>
    <mergeCell ref="B4:D4"/>
  </mergeCells>
  <printOptions verticalCentered="1"/>
  <pageMargins left="0.70866141732283472" right="0.70866141732283472" top="0.55118110236220474" bottom="0.55118110236220474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Металл</vt:lpstr>
      <vt:lpstr>ТЗ</vt:lpstr>
      <vt:lpstr>Маша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2025-07-14T11:41:18Z</dcterms:modified>
</cp:coreProperties>
</file>