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"/>
    </mc:Choice>
  </mc:AlternateContent>
  <bookViews>
    <workbookView xWindow="-105" yWindow="-105" windowWidth="19305" windowHeight="6555" tabRatio="918" firstSheet="1" activeTab="2"/>
  </bookViews>
  <sheets>
    <sheet name="свод" sheetId="1" state="hidden" r:id="rId1"/>
    <sheet name="свод_ВК,ВС" sheetId="19" r:id="rId2"/>
    <sheet name="КП прил. к конкурсу" sheetId="20" r:id="rId3"/>
    <sheet name="Лист2" sheetId="22" r:id="rId4"/>
    <sheet name="Лист1" sheetId="2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2" hidden="1">'КП прил. к конкурсу'!$A$10:$S$63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20" l="1"/>
  <c r="G63" i="20" s="1"/>
  <c r="J62" i="20"/>
  <c r="K11" i="20"/>
  <c r="J60" i="20" l="1"/>
  <c r="G61" i="20" l="1"/>
  <c r="J61" i="20"/>
  <c r="P60" i="20"/>
  <c r="H58" i="20" l="1"/>
  <c r="H57" i="20"/>
  <c r="H54" i="20"/>
  <c r="H52" i="20"/>
  <c r="H47" i="20"/>
  <c r="H45" i="20"/>
  <c r="H38" i="20"/>
  <c r="H37" i="20"/>
  <c r="H36" i="20"/>
  <c r="H34" i="20"/>
  <c r="H32" i="20"/>
  <c r="H30" i="20"/>
  <c r="H27" i="20"/>
  <c r="H21" i="20"/>
  <c r="H23" i="20"/>
  <c r="H19" i="20"/>
  <c r="H16" i="20"/>
  <c r="H17" i="20"/>
  <c r="H15" i="20"/>
  <c r="H12" i="20"/>
  <c r="K34" i="20"/>
  <c r="H11" i="20"/>
  <c r="P47" i="20"/>
  <c r="P61" i="20" s="1"/>
  <c r="Q60" i="20"/>
  <c r="Q59" i="20"/>
  <c r="Q58" i="20"/>
  <c r="Q57" i="20"/>
  <c r="Q56" i="20"/>
  <c r="Q55" i="20"/>
  <c r="Q54" i="20"/>
  <c r="Q53" i="20"/>
  <c r="Q52" i="20"/>
  <c r="Q51" i="20"/>
  <c r="Q50" i="20"/>
  <c r="Q49" i="20"/>
  <c r="Q48" i="20"/>
  <c r="Q47" i="20"/>
  <c r="Q46" i="20"/>
  <c r="Q45" i="20"/>
  <c r="Q44" i="20"/>
  <c r="Q43" i="20"/>
  <c r="Q42" i="20"/>
  <c r="Q41" i="20"/>
  <c r="Q40" i="20"/>
  <c r="Q39" i="20"/>
  <c r="Q38" i="20"/>
  <c r="Q37" i="20"/>
  <c r="Q36" i="20"/>
  <c r="Q35" i="20"/>
  <c r="Q34" i="20"/>
  <c r="Q33" i="20"/>
  <c r="Q32" i="20"/>
  <c r="Q31" i="20"/>
  <c r="Q30" i="20"/>
  <c r="Q29" i="20"/>
  <c r="Q28" i="20"/>
  <c r="Q27" i="20"/>
  <c r="Q26" i="20"/>
  <c r="Q25" i="20"/>
  <c r="Q24" i="20"/>
  <c r="Q23" i="20"/>
  <c r="Q22" i="20"/>
  <c r="Q21" i="20"/>
  <c r="Q20" i="20"/>
  <c r="Q19" i="20"/>
  <c r="Q18" i="20"/>
  <c r="Q17" i="20"/>
  <c r="Q16" i="20"/>
  <c r="Q15" i="20"/>
  <c r="Q14" i="20"/>
  <c r="Q13" i="20"/>
  <c r="P62" i="20" l="1"/>
  <c r="P63" i="20" s="1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13" i="20"/>
  <c r="K12" i="20"/>
  <c r="K13" i="20"/>
  <c r="K14" i="20"/>
  <c r="K15" i="20"/>
  <c r="K16" i="20"/>
  <c r="K17" i="20"/>
  <c r="K18" i="20"/>
  <c r="K19" i="20"/>
  <c r="K21" i="20"/>
  <c r="K23" i="20"/>
  <c r="K25" i="20"/>
  <c r="K26" i="20"/>
  <c r="K27" i="20"/>
  <c r="K28" i="20"/>
  <c r="K29" i="20"/>
  <c r="K30" i="20"/>
  <c r="K31" i="20"/>
  <c r="K32" i="20"/>
  <c r="K33" i="20"/>
  <c r="K36" i="20"/>
  <c r="K37" i="20"/>
  <c r="K38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6" i="20"/>
  <c r="K57" i="20"/>
  <c r="K58" i="20"/>
  <c r="C3" i="22" l="1"/>
  <c r="C5" i="22"/>
  <c r="M61" i="20"/>
  <c r="M62" i="20" l="1"/>
  <c r="M63" i="20" s="1"/>
  <c r="J63" i="20" l="1"/>
  <c r="N25" i="19" l="1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E26" i="19"/>
  <c r="G26" i="19"/>
  <c r="H26" i="19"/>
  <c r="I26" i="19"/>
  <c r="J26" i="19"/>
  <c r="K26" i="19"/>
  <c r="L26" i="19"/>
  <c r="E27" i="19" s="1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27" i="19" l="1"/>
  <c r="D27" i="19"/>
  <c r="C27" i="19" s="1"/>
  <c r="F26" i="19"/>
  <c r="D26" i="19"/>
  <c r="C26" i="19" l="1"/>
  <c r="C29" i="19" s="1"/>
  <c r="N14" i="19"/>
  <c r="N15" i="19"/>
  <c r="N5" i="19"/>
  <c r="N6" i="19"/>
  <c r="N8" i="19"/>
  <c r="N9" i="19"/>
  <c r="N10" i="19"/>
  <c r="N11" i="19"/>
  <c r="N12" i="19"/>
  <c r="N13" i="19"/>
  <c r="N7" i="19"/>
  <c r="S21" i="1" l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N16" i="19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N18" i="19" l="1"/>
  <c r="N4" i="19"/>
  <c r="N17" i="19"/>
  <c r="Q16" i="1"/>
  <c r="Q6" i="1"/>
  <c r="Q8" i="1"/>
  <c r="Q12" i="1"/>
  <c r="Q15" i="1"/>
  <c r="Q13" i="1"/>
  <c r="Q7" i="1"/>
  <c r="Q5" i="1"/>
  <c r="O4" i="1"/>
  <c r="N19" i="19" l="1"/>
  <c r="Q4" i="1"/>
  <c r="C18" i="1"/>
  <c r="Q9" i="1"/>
  <c r="N20" i="19" l="1"/>
  <c r="Q18" i="1"/>
  <c r="C19" i="1"/>
  <c r="C20" i="1" s="1"/>
  <c r="Q19" i="1" l="1"/>
  <c r="C21" i="1"/>
  <c r="S22" i="1" s="1"/>
  <c r="N27" i="19" l="1"/>
  <c r="N24" i="19"/>
  <c r="N23" i="19"/>
  <c r="N22" i="19"/>
  <c r="N21" i="19"/>
  <c r="N26" i="19" l="1"/>
  <c r="P20" i="1"/>
  <c r="Q20" i="1" s="1"/>
  <c r="P21" i="1" l="1"/>
  <c r="Q21" i="1" s="1"/>
  <c r="C30" i="19" l="1"/>
  <c r="C31" i="19" l="1"/>
  <c r="C32" i="19" s="1"/>
</calcChain>
</file>

<file path=xl/comments1.xml><?xml version="1.0" encoding="utf-8"?>
<comments xmlns="http://schemas.openxmlformats.org/spreadsheetml/2006/main">
  <authors>
    <author>Admin</author>
  </authors>
  <commentList>
    <comment ref="L33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учета МКС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без учета МКС</t>
        </r>
      </text>
    </comment>
    <comment ref="P47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задвоение?</t>
        </r>
      </text>
    </comment>
  </commentList>
</comments>
</file>

<file path=xl/sharedStrings.xml><?xml version="1.0" encoding="utf-8"?>
<sst xmlns="http://schemas.openxmlformats.org/spreadsheetml/2006/main" count="322" uniqueCount="277">
  <si>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</si>
  <si>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</si>
  <si>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</si>
  <si>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</si>
  <si>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</si>
  <si>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</si>
  <si>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</si>
  <si>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</si>
  <si>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</si>
  <si>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</si>
  <si>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</si>
  <si>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</si>
  <si>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</si>
  <si>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</si>
  <si>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</si>
  <si>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</si>
  <si>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</si>
  <si>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</si>
  <si>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</si>
  <si>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</si>
  <si>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</si>
  <si>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</si>
  <si>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</si>
  <si>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</si>
  <si>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</si>
  <si>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</si>
  <si>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</si>
  <si>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</si>
  <si>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</si>
  <si>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</si>
  <si>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</si>
  <si>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</si>
  <si>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</si>
  <si>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</si>
  <si>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</si>
  <si>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</si>
  <si>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</si>
  <si>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</si>
  <si>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</si>
  <si>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</si>
  <si>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</si>
  <si>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</si>
  <si>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</si>
  <si>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</si>
  <si>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</si>
  <si>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</si>
  <si>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</si>
  <si>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</si>
  <si>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</si>
  <si>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</si>
  <si>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</si>
  <si>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</si>
  <si>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</si>
  <si>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</si>
  <si>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</si>
  <si>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</si>
  <si>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</si>
  <si>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Внутренние системы водоснабжения и канализации, Пересыпная станция № 4. Конвейерная галерея № 6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</si>
  <si>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</si>
  <si>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</si>
  <si>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</si>
  <si>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</si>
  <si>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</si>
  <si>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</si>
  <si>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</si>
  <si>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</si>
  <si>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</si>
  <si>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</si>
  <si>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</si>
  <si>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</si>
  <si>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</si>
  <si>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</si>
  <si>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</si>
  <si>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</si>
  <si>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</si>
  <si>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всего, без 3%</t>
  </si>
  <si>
    <t>Кдог.</t>
  </si>
  <si>
    <t>ВСЕГО</t>
  </si>
  <si>
    <t>Внутренние системы водоснабжения и канализации. Конвейерные галереи №2 и №7 в осях 1-7.</t>
  </si>
  <si>
    <t>приложение 1 к заявке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</si>
  <si>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</si>
  <si>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</si>
  <si>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</si>
  <si>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>!!!есть смета на Внутренние системы водоснабжения и канализации, 07.06.053 Морской пункт пропуска (код SAP 01.05.021) код ГП 8.4,а в списке ее нет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</si>
  <si>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</si>
  <si>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</si>
  <si>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</si>
  <si>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</si>
  <si>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</si>
  <si>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</si>
  <si>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Наменование раздела</t>
  </si>
  <si>
    <t>Шифр РД</t>
  </si>
  <si>
    <t>Здание/сооружение отдельно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</si>
  <si>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</si>
  <si>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1. 1632-2021-3.1-ВК. Внутренние системы водоснабжения и канализации. Крытый склад №1.</t>
  </si>
  <si>
    <t>1. 1632-2021-3.1-ВК</t>
  </si>
  <si>
    <t>3.1-ВК</t>
  </si>
  <si>
    <t>2. 1632-2021-3.2-ВК. Внутренние системы водоснабжения и канализации. Крытый склад №2.</t>
  </si>
  <si>
    <t>2. 1632-2021-3.2-ВК.</t>
  </si>
  <si>
    <t>3.2-ВК</t>
  </si>
  <si>
    <t>3. 1632-2021-3.1, 3.2-ВС. Крытые склады №1 и №2</t>
  </si>
  <si>
    <t>3. 1632-2021-3.1, 3.2-ВС</t>
  </si>
  <si>
    <t>3.1-ВС</t>
  </si>
  <si>
    <t>3.2-ВС</t>
  </si>
  <si>
    <t>4. 1632-2021-3.3-ВК. Купольный склад Внутренние системы водоснабжения и канализации</t>
  </si>
  <si>
    <t>4. 1632-2021-3.3-ВК.</t>
  </si>
  <si>
    <t>3.3-ВК.</t>
  </si>
  <si>
    <t>5. 1632-2021-3.3-ВС. Купольный склад Воздухоснабжение</t>
  </si>
  <si>
    <t>5. 1632-2021-3.3-ВС</t>
  </si>
  <si>
    <t>3.3-ВС</t>
  </si>
  <si>
    <t>6. 1632-2021-2.1.1-ВК. Внутренние системы водоснабжения и канализации. Конвейерная галерея №1.</t>
  </si>
  <si>
    <t>6. 1632-2021-2.1.1-ВК.</t>
  </si>
  <si>
    <t>2.1.1-ВК</t>
  </si>
  <si>
    <t>7. 1632-2021-2.1.1-ВС. Конвейерная галерея №1 Воздухоснабжение</t>
  </si>
  <si>
    <t>7. 1632-2021-2.1.1-ВС</t>
  </si>
  <si>
    <t>2.1.1-ВС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</si>
  <si>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</si>
  <si>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</si>
  <si>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2.1.2-ВК2</t>
  </si>
  <si>
    <t>2.1.7-ВК2</t>
  </si>
  <si>
    <r>
      <t>9. 1632-2021-2.1.2, 2.1.7-ВК3. Внутренние системы водоснабжения и канализации. Конвейерные галереи №2 и №</t>
    </r>
    <r>
      <rPr>
        <u/>
        <sz val="11.5"/>
        <color rgb="FFFF0000"/>
        <rFont val="Times New Roman"/>
        <family val="1"/>
        <charset val="204"/>
      </rPr>
      <t>7</t>
    </r>
    <r>
      <rPr>
        <sz val="11.5"/>
        <color theme="4"/>
        <rFont val="Times New Roman"/>
        <family val="1"/>
        <charset val="204"/>
      </rPr>
      <t xml:space="preserve"> в осях 15-23.</t>
    </r>
  </si>
  <si>
    <t>9. 1632-2021-2.1.2, 2.1.7-ВК</t>
  </si>
  <si>
    <t>2.1.2-ВК</t>
  </si>
  <si>
    <r>
      <t>Смета называется-Внутренние системы водоснабжения и канализации, Конвейерная галерея № 2, Конвейерная галерея №</t>
    </r>
    <r>
      <rPr>
        <u/>
        <sz val="10"/>
        <color rgb="FFFF0000"/>
        <rFont val="Times New Roman"/>
        <family val="1"/>
        <charset val="204"/>
      </rPr>
      <t>6</t>
    </r>
  </si>
  <si>
    <t>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</si>
  <si>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</si>
  <si>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</si>
  <si>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2.1.2-ВК1</t>
  </si>
  <si>
    <t>2.1.7-ВК1</t>
  </si>
  <si>
    <t>в гранде-Внутренние системы водоснабжения и канализации. Конвейерные галереи №2 и №7 в осях 1-7., а в екселе-Внутренние системы водоснабжения и канализации, Пересыпная станция № 4. Конвейерная галерея № 6</t>
  </si>
  <si>
    <t>11. 1632-2021-2.1.2, 2.1.7-ВС. Конвейерная галерея №2 и конвейерная галерея №7.</t>
  </si>
  <si>
    <t>11. 1632-2021-2.1.2, 2.1.7-ВС</t>
  </si>
  <si>
    <t>2.1.2-ВС</t>
  </si>
  <si>
    <t>2.1.7-ВС</t>
  </si>
  <si>
    <t>12. 1632-2021-2.1.3-ВК. Внутренние системы водоснабжения и канализации. Конвейерная галерея №3.</t>
  </si>
  <si>
    <t>12. 1632-2021-2.1.3-ВК</t>
  </si>
  <si>
    <t>2.1.3-ВК</t>
  </si>
  <si>
    <t>13. 1632-2021-2.1.3, 2.2.7-ВС. Конвейерная галерея №3 и приводная станция.  Воздухоснабжение</t>
  </si>
  <si>
    <t>13. 1632-2021-2.1.3, 2.2.7-ВС</t>
  </si>
  <si>
    <t>2.1.3-ВС</t>
  </si>
  <si>
    <t>2.2.7-ВС</t>
  </si>
  <si>
    <t>14. 1632-2021-2.1.4-ВК. Внутренние системы водоснабжения и канализации. Конвейерная галерея №4.</t>
  </si>
  <si>
    <t>14. 1632-2021-2.1.4-ВК</t>
  </si>
  <si>
    <t>2.1.4-ВК</t>
  </si>
  <si>
    <t>в смете шифр другой</t>
  </si>
  <si>
    <t>15. 1632-2021-2.1.4-ВС. Конвейерная галерея №4</t>
  </si>
  <si>
    <t>15. 1632-2021-2.1.4-ВС</t>
  </si>
  <si>
    <t>2.1.4-ВС</t>
  </si>
  <si>
    <t>16. 1632-2021-2.1.5-ВК. Внутренние системы водоснабжения и канализации. Конвейерная галерея №5.</t>
  </si>
  <si>
    <t>16. 1632-2021-2.1.5-ВК</t>
  </si>
  <si>
    <t>2.1.5-ВК</t>
  </si>
  <si>
    <t>17. 1632-2021-2.1.6-ВС. Конвейерная галерея №6</t>
  </si>
  <si>
    <t>17. 1632-2021-2.1.6-ВС</t>
  </si>
  <si>
    <t>2.1.6-ВС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</si>
  <si>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</si>
  <si>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</si>
  <si>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2.2.4-ВК</t>
  </si>
  <si>
    <t>2.1.6-ВК</t>
  </si>
  <si>
    <t>19. 1632-2021-2.1.11-ВК. Внутренние системы водоснабжения и канализации. Конвейерная галерея №11.</t>
  </si>
  <si>
    <t>19. 1632-2021-2.1.11-ВК</t>
  </si>
  <si>
    <t>2.1.11-ВК</t>
  </si>
  <si>
    <t>20. 1632-2021-2.1.12-ВК. Внутренние системы водоснабжения и канализации. Конвейерная галерея №12.</t>
  </si>
  <si>
    <t>20. 1632-2021-2.1.12-ВК</t>
  </si>
  <si>
    <t>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</si>
  <si>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</si>
  <si>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</si>
  <si>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2.1.0-ВК</t>
  </si>
  <si>
    <r>
      <t>смета составлена по работам (водопровод В2,В1,канализация К3,К4Н), а не по зданиям ОТДЕЛЬНО (</t>
    </r>
    <r>
      <rPr>
        <b/>
        <u/>
        <sz val="10"/>
        <color rgb="FFFF0000"/>
        <rFont val="Times New Roman"/>
        <family val="1"/>
        <charset val="204"/>
      </rPr>
      <t>и так везде, где разбито по зданиям</t>
    </r>
    <r>
      <rPr>
        <sz val="10"/>
        <rFont val="Times New Roman"/>
        <family val="1"/>
        <charset val="204"/>
      </rPr>
      <t>).</t>
    </r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</si>
  <si>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</si>
  <si>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</si>
  <si>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</si>
  <si>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</si>
  <si>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</si>
  <si>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</si>
  <si>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1632-2021-2.1.11-ВС. Конвейерная галерея №11</t>
  </si>
  <si>
    <t>23. 1632-2021-2.1.11-ВС</t>
  </si>
  <si>
    <t>2.1.11-ВС</t>
  </si>
  <si>
    <t>24. 1632-2021-2.2.1-ВС. Пересыпная станция №1</t>
  </si>
  <si>
    <t>24. 1632-2021-2.2.1-ВС</t>
  </si>
  <si>
    <t>2.2.1-ВС</t>
  </si>
  <si>
    <t>25. 1632-2021-2.2.2-ВК. Внутренние системы водоснабжения и канализации. Пересыпная станция №2.</t>
  </si>
  <si>
    <t>25. 1632-2021-2.2.2-ВК</t>
  </si>
  <si>
    <t>2.2.2-ВК</t>
  </si>
  <si>
    <t>26. 1632-2021-2.2.2-ВС. Пересыпная станция №2</t>
  </si>
  <si>
    <t>26. 1632-2021-2.2.2-ВС</t>
  </si>
  <si>
    <t>2.2.2-ВС</t>
  </si>
  <si>
    <t>27. 1632-2021-2.2.3-ВК. Внутренние системы водоснабжения и канализации. Пересыпная станция №3.</t>
  </si>
  <si>
    <t>27. 1632-2021-2.2.3-ВК</t>
  </si>
  <si>
    <t>2.2.3-ВК</t>
  </si>
  <si>
    <t>28. 1632-2021-2.2.3-ВС. Пересыпная станция №3</t>
  </si>
  <si>
    <t>28. 1632-2021-2.2.3-ВС</t>
  </si>
  <si>
    <t>2.2.3-ВС</t>
  </si>
  <si>
    <t>29. 1632-2021-2.2.4-ВС. Пересыпная станция №4. Воздухоснабжение</t>
  </si>
  <si>
    <t>29. 1632-2021-2.2.4-ВС</t>
  </si>
  <si>
    <t>2.2.4-ВС</t>
  </si>
  <si>
    <t>30. 1632-2021-2.2.5, 2.1.13-ВС. Пересыпная станция №5 и конвейерная галерея №13</t>
  </si>
  <si>
    <t>30. 1632-2021-2.2.5, 2.1.13-ВС</t>
  </si>
  <si>
    <t>2.2.5-ВС</t>
  </si>
  <si>
    <t>2.1.13-ВС</t>
  </si>
  <si>
    <t>31. 1632-2021-2.2.6-ВК. Внутренние системы водоснабжения и канализации. Пересыпная станция №6.</t>
  </si>
  <si>
    <t>31. 1632-2021-2.2.6-ВК</t>
  </si>
  <si>
    <t>2.2.6-ВК</t>
  </si>
  <si>
    <t>32. 1632-2021-2.2.6-ВС. Пересыпная станция №6</t>
  </si>
  <si>
    <t>32. 1632-2021-2.2.6-ВС</t>
  </si>
  <si>
    <t>2.2.6-ВС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</si>
  <si>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</si>
  <si>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</si>
  <si>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1.1-ВК</t>
  </si>
  <si>
    <t>1.2-ВК</t>
  </si>
  <si>
    <t>34. 1632-2021-1.1-ВС. Станция разгрузки вагонов Воздухоснабжение</t>
  </si>
  <si>
    <t>34. 1632-2021-1.1-ВС</t>
  </si>
  <si>
    <t>1.1-ВС</t>
  </si>
  <si>
    <t>35. 1632-2021-2.2.7-ВК. Внутренние системы водоснабжения и канализации. Приводная станция.</t>
  </si>
  <si>
    <t>35. 1632-2021-2.2.7-ВК</t>
  </si>
  <si>
    <t>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</si>
  <si>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</si>
  <si>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</si>
  <si>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2.2.5-ВК</t>
  </si>
  <si>
    <t>2.1.13-ВК</t>
  </si>
  <si>
    <t>Итоговая стоимость строительно-монтажных работ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</si>
  <si>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</si>
  <si>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</si>
  <si>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эта сумма указывается на ЭТП</t>
  </si>
  <si>
    <t>1. Система сжатого воздуха "СРВ».</t>
  </si>
  <si>
    <t>Стоимость материалов (нерж. трубы, фитинги, запорная арматура 08Х18Н10Т): 3 600 000 р. с НДС</t>
  </si>
  <si>
    <t>Стоимость работ: 3 820 000 р.</t>
  </si>
  <si>
    <t>2. Система сжатого воздуха «КГ 1».</t>
  </si>
  <si>
    <t>Стоимость материалов (нерж. трубы, фитинги, запорная арматура 08Х18Н10Т): 820 000 р. с НДС</t>
  </si>
  <si>
    <t>Стоимость работ: 860 000 р.</t>
  </si>
  <si>
    <t>3. Система сжатого воздуха «КГ 2-7».</t>
  </si>
  <si>
    <t>Стоимость материалов (нерж. трубы, фитинги, запорная арматура 08Х18Н10Т): 2 830 000 р. с НДС</t>
  </si>
  <si>
    <t>Стоимость работ: 3 120 000 р.</t>
  </si>
  <si>
    <t>4. Система сжатого воздуха «КГ 3 и ПрС».</t>
  </si>
  <si>
    <t>Стоимость материалов (нерж. трубы, фитинги, запорная арматура 08Х18Н10Т): 4 420 000 р. с НДС</t>
  </si>
  <si>
    <t>Стоимость работ: 4 660 000 р.</t>
  </si>
  <si>
    <t>5. Система сжатого воздуха «КГ 4»</t>
  </si>
  <si>
    <t>Стоимость материалов (нерж. трубы, фитинги, запорная арматура 08Х18Н10Т): 1 120 000 р. с НДС</t>
  </si>
  <si>
    <t>Стоимость работ: 1 240 000 р.</t>
  </si>
  <si>
    <t>6. Система сжатого воздуха «КГ 6» (без учета стоимости МКС)</t>
  </si>
  <si>
    <t>Стоимость работ: 940 000 р.</t>
  </si>
  <si>
    <t>7. Система сжатого воздуха «КГ 8, 9, 10»</t>
  </si>
  <si>
    <t>Стоимость материалов (нерж. трубы, фитинги, запорная арматура 08Х18Н10Т): 1 440 000 р. с НДС</t>
  </si>
  <si>
    <t>Стоимость работ: 1 620 000 р.</t>
  </si>
  <si>
    <t>8. Система сжатого воздуха «КГ 11»</t>
  </si>
  <si>
    <t>Стоимость материалов (нерж. трубы, фитинги, запорная арматура 08Х18Н10Т): 566 000 р. с НДС</t>
  </si>
  <si>
    <t>Стоимость работ: 618 000 р.</t>
  </si>
  <si>
    <t>9. Система сжатого воздуха «ПС 1»</t>
  </si>
  <si>
    <t>Стоимость материалов (нерж. трубы, фитинги, запорная арматура 08Х18Н10Т): 1 180 000 р. с НДС</t>
  </si>
  <si>
    <t>10. Система сжатого воздуха «ПС 2»</t>
  </si>
  <si>
    <t>Стоимость материалов (нерж. трубы, фитинги, запорная арматура 08Х18Н10Т): 2 340 000 р. с НДС</t>
  </si>
  <si>
    <t>Стоимость работ: 2 420 000 р.</t>
  </si>
  <si>
    <t>11. Система сжатого воздуха «ПС 3»</t>
  </si>
  <si>
    <t>Стоимость материалов (нерж. трубы, фитинги, запорная арматура 08Х18Н10Т): 744 000 р. с НДС</t>
  </si>
  <si>
    <t>Стоимость работ: 755 000 р.</t>
  </si>
  <si>
    <t>12. Система сжатого воздуха «ПС 4»</t>
  </si>
  <si>
    <t>Стоимость материалов (нерж. трубы, фитинги, запорная арматура 08Х18Н10Т): 776 000 р. с НДС</t>
  </si>
  <si>
    <t>Стоимость работ: 798 000 р.</t>
  </si>
  <si>
    <t>13. Система сжатого воздуха «ПС 5 и КГ 13»</t>
  </si>
  <si>
    <t>Стоимость материалов (нерж. трубы, фитинги, запорная арматура 08Х18Н10Т): 1 325 000 р. с НДС</t>
  </si>
  <si>
    <t>Стоимость работ: 1 340 000 р.</t>
  </si>
  <si>
    <t>14. Система сжатого воздуха «ПС 6»</t>
  </si>
  <si>
    <t>Стоимость материалов (нерж. трубы, фитинги, запорная арматура 08Х18Н10Т): 198 000 р. с НДС</t>
  </si>
  <si>
    <t>Стоимость работ: 216 000 р.</t>
  </si>
  <si>
    <t>15. Система сжатого воздуха «Крытые Склады № 1 и 2»</t>
  </si>
  <si>
    <t>Стоимость материалов (нерж. трубы, фитинги, запорная арматура 08Х18Н10Т): 10 120 000 р. с НДС</t>
  </si>
  <si>
    <t>Стоимость работ: 10 240 000 р.</t>
  </si>
  <si>
    <t>16. Система сжатого воздуха «Купольный склад»</t>
  </si>
  <si>
    <t>Стоимость материалов (нерж. трубы, фитинги, запорная арматура 08Х18Н10Т): 11 140 000 р. с НДС</t>
  </si>
  <si>
    <t>Стоимость работ: 10 800 000 р.</t>
  </si>
  <si>
    <t>Работа</t>
  </si>
  <si>
    <t>Итого</t>
  </si>
  <si>
    <t>Итого с НДС</t>
  </si>
  <si>
    <t>Неучтенные и дополнительные расходы</t>
  </si>
  <si>
    <t xml:space="preserve">Инжсолюшн Предложение Участника, руб с НДС </t>
  </si>
  <si>
    <t>Смета с НДС</t>
  </si>
  <si>
    <t>Индратекс, руб с НДС</t>
  </si>
  <si>
    <t>ЧКЗ,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</si>
</sst>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0"/>
    <numFmt numFmtId="165" formatCode="0.00000"/>
  </numFmts>
  <fonts count="4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1.5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.5"/>
      <color rgb="FFFF0000"/>
      <name val="Times New Roman"/>
      <family val="1"/>
      <charset val="204"/>
    </font>
    <font>
      <sz val="11.5"/>
      <color theme="4"/>
      <name val="Times New Roman"/>
      <family val="1"/>
      <charset val="204"/>
    </font>
    <font>
      <u/>
      <sz val="11.5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.5"/>
      <color theme="1"/>
      <name val="Times New Roman"/>
      <family val="1"/>
      <charset val="204"/>
    </font>
    <font>
      <sz val="11.5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43" fontId="13" fillId="0" borderId="0" applyFont="0" applyFill="0" applyBorder="0" applyAlignment="0" applyProtection="0"/>
    <xf numFmtId="0" fontId="20" fillId="0" borderId="0"/>
  </cellStyleXfs>
  <cellXfs count="2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43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23" xfId="0" applyNumberFormat="1" applyFont="1" applyBorder="1" applyAlignment="1">
      <alignment horizontal="right" vertical="center"/>
    </xf>
    <xf numFmtId="4" fontId="19" fillId="5" borderId="8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16" xfId="3" applyFont="1" applyBorder="1" applyAlignment="1">
      <alignment horizontal="center" vertical="center"/>
    </xf>
    <xf numFmtId="0" fontId="21" fillId="0" borderId="17" xfId="3" applyFont="1" applyBorder="1" applyAlignment="1">
      <alignment wrapText="1"/>
    </xf>
    <xf numFmtId="0" fontId="21" fillId="0" borderId="17" xfId="3" applyFont="1" applyBorder="1" applyAlignment="1">
      <alignment horizontal="left" wrapText="1"/>
    </xf>
    <xf numFmtId="0" fontId="21" fillId="0" borderId="17" xfId="3" applyFont="1" applyBorder="1"/>
    <xf numFmtId="0" fontId="21" fillId="0" borderId="5" xfId="3" applyFont="1" applyBorder="1" applyAlignment="1">
      <alignment horizontal="right"/>
    </xf>
    <xf numFmtId="0" fontId="21" fillId="0" borderId="0" xfId="3" applyFont="1"/>
    <xf numFmtId="0" fontId="24" fillId="0" borderId="0" xfId="3" applyFont="1" applyAlignment="1">
      <alignment horizontal="left" vertical="top" wrapText="1"/>
    </xf>
    <xf numFmtId="0" fontId="29" fillId="0" borderId="0" xfId="3" applyFont="1" applyAlignment="1">
      <alignment horizontal="left" wrapText="1"/>
    </xf>
    <xf numFmtId="0" fontId="29" fillId="0" borderId="0" xfId="3" applyFont="1"/>
    <xf numFmtId="0" fontId="30" fillId="0" borderId="0" xfId="3" applyFont="1"/>
    <xf numFmtId="0" fontId="30" fillId="0" borderId="9" xfId="3" applyFont="1" applyBorder="1"/>
    <xf numFmtId="0" fontId="24" fillId="0" borderId="0" xfId="3" applyFont="1" applyAlignment="1">
      <alignment wrapText="1"/>
    </xf>
    <xf numFmtId="0" fontId="21" fillId="0" borderId="0" xfId="3" applyFont="1" applyAlignment="1">
      <alignment horizontal="right"/>
    </xf>
    <xf numFmtId="0" fontId="24" fillId="0" borderId="0" xfId="3" applyFont="1" applyAlignment="1">
      <alignment horizontal="right" vertical="top" wrapText="1"/>
    </xf>
    <xf numFmtId="0" fontId="21" fillId="7" borderId="26" xfId="3" applyFont="1" applyFill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9" xfId="3" applyFont="1" applyBorder="1"/>
    <xf numFmtId="0" fontId="24" fillId="0" borderId="0" xfId="3" applyFont="1" applyAlignment="1">
      <alignment vertical="top" wrapText="1"/>
    </xf>
    <xf numFmtId="0" fontId="29" fillId="7" borderId="27" xfId="3" applyFont="1" applyFill="1" applyBorder="1" applyAlignment="1">
      <alignment horizontal="left" wrapText="1"/>
    </xf>
    <xf numFmtId="0" fontId="21" fillId="0" borderId="9" xfId="3" applyFont="1" applyBorder="1" applyAlignment="1">
      <alignment horizontal="left"/>
    </xf>
    <xf numFmtId="0" fontId="21" fillId="0" borderId="20" xfId="3" applyFont="1" applyBorder="1" applyAlignment="1">
      <alignment horizontal="center" vertical="center"/>
    </xf>
    <xf numFmtId="0" fontId="21" fillId="0" borderId="0" xfId="3" applyFont="1" applyAlignment="1">
      <alignment wrapText="1"/>
    </xf>
    <xf numFmtId="0" fontId="31" fillId="0" borderId="28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/>
    </xf>
    <xf numFmtId="0" fontId="25" fillId="0" borderId="29" xfId="3" applyFont="1" applyBorder="1" applyAlignment="1">
      <alignment horizontal="justify" vertical="center"/>
    </xf>
    <xf numFmtId="0" fontId="26" fillId="8" borderId="29" xfId="3" applyFont="1" applyFill="1" applyBorder="1" applyAlignment="1">
      <alignment horizontal="center" vertical="center" wrapText="1"/>
    </xf>
    <xf numFmtId="0" fontId="26" fillId="0" borderId="29" xfId="3" applyFont="1" applyBorder="1" applyAlignment="1">
      <alignment horizontal="center" vertical="center"/>
    </xf>
    <xf numFmtId="0" fontId="34" fillId="8" borderId="29" xfId="3" applyFont="1" applyFill="1" applyBorder="1" applyAlignment="1">
      <alignment horizontal="justify" vertical="center"/>
    </xf>
    <xf numFmtId="0" fontId="35" fillId="9" borderId="29" xfId="3" applyFont="1" applyFill="1" applyBorder="1" applyAlignment="1">
      <alignment horizontal="justify" vertical="center"/>
    </xf>
    <xf numFmtId="0" fontId="21" fillId="0" borderId="28" xfId="3" quotePrefix="1" applyFont="1" applyBorder="1" applyAlignment="1">
      <alignment horizontal="center" vertical="center"/>
    </xf>
    <xf numFmtId="0" fontId="21" fillId="10" borderId="28" xfId="3" quotePrefix="1" applyFont="1" applyFill="1" applyBorder="1" applyAlignment="1">
      <alignment horizontal="center" vertical="center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/>
    </xf>
    <xf numFmtId="0" fontId="20" fillId="0" borderId="32" xfId="3" applyBorder="1" applyAlignment="1">
      <alignment horizontal="center" vertical="center"/>
    </xf>
    <xf numFmtId="0" fontId="23" fillId="0" borderId="0" xfId="3" applyFont="1" applyBorder="1" applyAlignment="1">
      <alignment horizontal="center" vertical="center" wrapText="1"/>
    </xf>
    <xf numFmtId="0" fontId="26" fillId="0" borderId="0" xfId="3" applyFont="1" applyBorder="1" applyAlignment="1">
      <alignment horizontal="center" vertical="center" wrapText="1"/>
    </xf>
    <xf numFmtId="4" fontId="21" fillId="11" borderId="29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4" fontId="13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4" fontId="13" fillId="4" borderId="0" xfId="0" applyNumberFormat="1" applyFont="1" applyFill="1" applyAlignment="1">
      <alignment horizontal="left" vertical="center" indent="1"/>
    </xf>
    <xf numFmtId="4" fontId="21" fillId="0" borderId="29" xfId="3" applyNumberFormat="1" applyFont="1" applyBorder="1" applyAlignment="1">
      <alignment horizontal="center" vertical="center"/>
    </xf>
    <xf numFmtId="4" fontId="24" fillId="10" borderId="29" xfId="3" applyNumberFormat="1" applyFont="1" applyFill="1" applyBorder="1" applyAlignment="1">
      <alignment horizontal="center" vertical="center"/>
    </xf>
    <xf numFmtId="0" fontId="31" fillId="0" borderId="29" xfId="3" applyFont="1" applyBorder="1" applyAlignment="1">
      <alignment horizontal="center" vertical="center" wrapText="1"/>
    </xf>
    <xf numFmtId="0" fontId="34" fillId="8" borderId="29" xfId="3" applyFont="1" applyFill="1" applyBorder="1" applyAlignment="1">
      <alignment horizontal="left" vertical="center" wrapText="1"/>
    </xf>
    <xf numFmtId="0" fontId="32" fillId="0" borderId="29" xfId="3" applyFont="1" applyBorder="1" applyAlignment="1">
      <alignment horizontal="center" vertical="center" wrapText="1"/>
    </xf>
    <xf numFmtId="0" fontId="25" fillId="8" borderId="29" xfId="3" applyFont="1" applyFill="1" applyBorder="1" applyAlignment="1">
      <alignment horizontal="center" vertical="center" wrapText="1"/>
    </xf>
    <xf numFmtId="0" fontId="33" fillId="8" borderId="29" xfId="3" applyFont="1" applyFill="1" applyBorder="1" applyAlignment="1">
      <alignment horizontal="left" vertical="center" wrapText="1"/>
    </xf>
    <xf numFmtId="4" fontId="0" fillId="4" borderId="0" xfId="0" applyNumberFormat="1" applyFill="1"/>
    <xf numFmtId="4" fontId="13" fillId="12" borderId="0" xfId="0" applyNumberFormat="1" applyFont="1" applyFill="1" applyAlignment="1">
      <alignment horizontal="left" vertical="center" indent="1"/>
    </xf>
    <xf numFmtId="3" fontId="0" fillId="12" borderId="0" xfId="0" applyNumberFormat="1" applyFill="1"/>
    <xf numFmtId="4" fontId="21" fillId="13" borderId="29" xfId="3" applyNumberFormat="1" applyFont="1" applyFill="1" applyBorder="1" applyAlignment="1">
      <alignment horizontal="center" vertical="center"/>
    </xf>
    <xf numFmtId="0" fontId="21" fillId="0" borderId="17" xfId="3" applyFont="1" applyBorder="1" applyAlignment="1">
      <alignment horizontal="right"/>
    </xf>
    <xf numFmtId="0" fontId="30" fillId="0" borderId="0" xfId="3" applyFont="1" applyBorder="1"/>
    <xf numFmtId="0" fontId="21" fillId="0" borderId="0" xfId="3" applyFont="1" applyBorder="1"/>
    <xf numFmtId="0" fontId="21" fillId="0" borderId="0" xfId="3" applyFont="1" applyBorder="1" applyAlignment="1">
      <alignment horizontal="left"/>
    </xf>
    <xf numFmtId="0" fontId="21" fillId="0" borderId="0" xfId="3" applyFont="1" applyBorder="1" applyAlignment="1">
      <alignment horizontal="center"/>
    </xf>
    <xf numFmtId="0" fontId="21" fillId="0" borderId="0" xfId="3" applyFont="1" applyBorder="1" applyAlignment="1">
      <alignment horizontal="right"/>
    </xf>
    <xf numFmtId="4" fontId="21" fillId="0" borderId="0" xfId="3" applyNumberFormat="1" applyFont="1" applyBorder="1" applyAlignment="1">
      <alignment horizontal="center" vertical="center"/>
    </xf>
    <xf numFmtId="4" fontId="24" fillId="10" borderId="0" xfId="3" applyNumberFormat="1" applyFont="1" applyFill="1" applyBorder="1" applyAlignment="1">
      <alignment horizontal="center" vertical="center"/>
    </xf>
    <xf numFmtId="4" fontId="21" fillId="14" borderId="29" xfId="3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4" fontId="21" fillId="4" borderId="29" xfId="3" applyNumberFormat="1" applyFont="1" applyFill="1" applyBorder="1" applyAlignment="1">
      <alignment horizontal="center" vertical="center"/>
    </xf>
    <xf numFmtId="0" fontId="42" fillId="14" borderId="29" xfId="3" applyFont="1" applyFill="1" applyBorder="1" applyAlignment="1">
      <alignment horizontal="left" vertical="center" wrapText="1"/>
    </xf>
    <xf numFmtId="0" fontId="20" fillId="0" borderId="29" xfId="3" applyBorder="1"/>
    <xf numFmtId="0" fontId="20" fillId="10" borderId="29" xfId="3" applyFill="1" applyBorder="1"/>
    <xf numFmtId="4" fontId="21" fillId="0" borderId="0" xfId="3" applyNumberFormat="1" applyFon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1" fillId="0" borderId="29" xfId="3" applyNumberFormat="1" applyFont="1" applyBorder="1" applyAlignment="1">
      <alignment horizontal="center" vertical="center"/>
    </xf>
    <xf numFmtId="4" fontId="24" fillId="10" borderId="29" xfId="3" applyNumberFormat="1" applyFont="1" applyFill="1" applyBorder="1" applyAlignment="1">
      <alignment horizontal="center" vertical="center"/>
    </xf>
    <xf numFmtId="4" fontId="21" fillId="11" borderId="29" xfId="3" applyNumberFormat="1" applyFont="1" applyFill="1" applyBorder="1" applyAlignment="1">
      <alignment horizontal="center" vertical="center"/>
    </xf>
    <xf numFmtId="4" fontId="26" fillId="0" borderId="29" xfId="3" applyNumberFormat="1" applyFont="1" applyBorder="1" applyAlignment="1">
      <alignment horizontal="center" vertical="center"/>
    </xf>
    <xf numFmtId="0" fontId="31" fillId="0" borderId="29" xfId="3" applyFont="1" applyBorder="1" applyAlignment="1">
      <alignment horizontal="center" vertical="center" wrapText="1"/>
    </xf>
    <xf numFmtId="0" fontId="27" fillId="4" borderId="20" xfId="3" applyFont="1" applyFill="1" applyBorder="1" applyAlignment="1">
      <alignment horizontal="left" vertical="center" wrapText="1"/>
    </xf>
    <xf numFmtId="0" fontId="27" fillId="4" borderId="0" xfId="3" applyFont="1" applyFill="1" applyAlignment="1">
      <alignment horizontal="left" vertical="center" wrapText="1"/>
    </xf>
    <xf numFmtId="0" fontId="28" fillId="7" borderId="20" xfId="3" applyFont="1" applyFill="1" applyBorder="1" applyAlignment="1">
      <alignment horizontal="left" wrapText="1"/>
    </xf>
    <xf numFmtId="0" fontId="28" fillId="7" borderId="0" xfId="3" applyFont="1" applyFill="1" applyAlignment="1">
      <alignment horizontal="left" wrapText="1"/>
    </xf>
    <xf numFmtId="0" fontId="34" fillId="8" borderId="29" xfId="3" applyFont="1" applyFill="1" applyBorder="1" applyAlignment="1">
      <alignment horizontal="left" vertical="center" wrapText="1"/>
    </xf>
    <xf numFmtId="0" fontId="25" fillId="0" borderId="20" xfId="3" applyFont="1" applyBorder="1" applyAlignment="1">
      <alignment horizontal="left" wrapText="1"/>
    </xf>
    <xf numFmtId="0" fontId="25" fillId="0" borderId="0" xfId="3" applyFont="1" applyAlignment="1">
      <alignment horizontal="left" wrapText="1"/>
    </xf>
    <xf numFmtId="0" fontId="32" fillId="0" borderId="29" xfId="3" applyFont="1" applyBorder="1" applyAlignment="1">
      <alignment horizontal="center" vertical="center" wrapText="1"/>
    </xf>
    <xf numFmtId="0" fontId="21" fillId="0" borderId="30" xfId="3" quotePrefix="1" applyFont="1" applyBorder="1" applyAlignment="1">
      <alignment horizontal="center" vertical="center"/>
    </xf>
    <xf numFmtId="0" fontId="21" fillId="0" borderId="31" xfId="3" quotePrefix="1" applyFont="1" applyBorder="1" applyAlignment="1">
      <alignment horizontal="center" vertical="center"/>
    </xf>
    <xf numFmtId="0" fontId="20" fillId="0" borderId="32" xfId="3" applyBorder="1" applyAlignment="1">
      <alignment horizontal="center" vertical="center"/>
    </xf>
    <xf numFmtId="0" fontId="25" fillId="8" borderId="29" xfId="3" applyFont="1" applyFill="1" applyBorder="1" applyAlignment="1">
      <alignment horizontal="center" vertical="center" wrapText="1"/>
    </xf>
    <xf numFmtId="0" fontId="33" fillId="8" borderId="29" xfId="3" applyFont="1" applyFill="1" applyBorder="1" applyAlignment="1">
      <alignment horizontal="left" vertical="center" wrapText="1"/>
    </xf>
    <xf numFmtId="0" fontId="36" fillId="8" borderId="29" xfId="3" applyFont="1" applyFill="1" applyBorder="1" applyAlignment="1">
      <alignment horizontal="left" vertical="center" wrapText="1"/>
    </xf>
    <xf numFmtId="0" fontId="21" fillId="0" borderId="0" xfId="3" applyFont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33" fillId="6" borderId="29" xfId="3" applyFont="1" applyFill="1" applyBorder="1" applyAlignment="1">
      <alignment horizontal="left" vertical="center" wrapText="1"/>
    </xf>
    <xf numFmtId="4" fontId="21" fillId="13" borderId="29" xfId="3" applyNumberFormat="1" applyFont="1" applyFill="1" applyBorder="1" applyAlignment="1">
      <alignment horizontal="center" vertical="center"/>
    </xf>
    <xf numFmtId="4" fontId="21" fillId="14" borderId="29" xfId="3" applyNumberFormat="1" applyFont="1" applyFill="1" applyBorder="1" applyAlignment="1">
      <alignment horizontal="center" vertical="center"/>
    </xf>
    <xf numFmtId="0" fontId="22" fillId="0" borderId="20" xfId="3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0" fontId="23" fillId="0" borderId="9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29" xfId="3" applyFont="1" applyBorder="1" applyAlignment="1">
      <alignment horizontal="left" vertical="center" wrapText="1"/>
    </xf>
    <xf numFmtId="0" fontId="20" fillId="0" borderId="29" xfId="3" applyBorder="1"/>
    <xf numFmtId="0" fontId="26" fillId="10" borderId="29" xfId="3" applyFont="1" applyFill="1" applyBorder="1" applyAlignment="1">
      <alignment horizontal="left" vertical="center" wrapText="1"/>
    </xf>
    <xf numFmtId="0" fontId="20" fillId="10" borderId="29" xfId="3" applyFill="1" applyBorder="1"/>
    <xf numFmtId="0" fontId="21" fillId="0" borderId="26" xfId="3" applyFont="1" applyBorder="1" applyAlignment="1">
      <alignment horizontal="center"/>
    </xf>
    <xf numFmtId="0" fontId="21" fillId="0" borderId="33" xfId="3" applyFont="1" applyBorder="1" applyAlignment="1">
      <alignment horizontal="center"/>
    </xf>
    <xf numFmtId="0" fontId="20" fillId="0" borderId="29" xfId="3" applyFont="1" applyBorder="1"/>
    <xf numFmtId="0" fontId="20" fillId="10" borderId="29" xfId="3" applyFont="1" applyFill="1" applyBorder="1"/>
    <xf numFmtId="4" fontId="21" fillId="0" borderId="34" xfId="3" applyNumberFormat="1" applyFont="1" applyBorder="1" applyAlignment="1">
      <alignment horizontal="center" vertical="center"/>
    </xf>
    <xf numFmtId="4" fontId="21" fillId="0" borderId="35" xfId="3" applyNumberFormat="1" applyFont="1" applyBorder="1" applyAlignment="1">
      <alignment horizontal="center" vertical="center"/>
    </xf>
    <xf numFmtId="4" fontId="43" fillId="8" borderId="29" xfId="3" applyNumberFormat="1" applyFont="1" applyFill="1" applyBorder="1" applyAlignment="1">
      <alignment horizontal="center" vertical="center"/>
    </xf>
    <xf numFmtId="0" fontId="43" fillId="8" borderId="29" xfId="3" applyFont="1" applyFill="1" applyBorder="1" applyAlignment="1">
      <alignment horizontal="justify" vertical="center"/>
    </xf>
    <xf numFmtId="4" fontId="43" fillId="8" borderId="29" xfId="3" applyNumberFormat="1" applyFont="1" applyFill="1" applyBorder="1" applyAlignment="1">
      <alignment horizontal="center" vertical="center"/>
    </xf>
    <xf numFmtId="4" fontId="43" fillId="9" borderId="29" xfId="3" applyNumberFormat="1" applyFont="1" applyFill="1" applyBorder="1" applyAlignment="1">
      <alignment horizontal="center" vertical="center"/>
    </xf>
    <xf numFmtId="0" fontId="43" fillId="9" borderId="29" xfId="3" applyFont="1" applyFill="1" applyBorder="1" applyAlignment="1">
      <alignment horizontal="center" vertical="center"/>
    </xf>
    <xf numFmtId="0" fontId="43" fillId="8" borderId="29" xfId="3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59;&#1089;&#1090;&#1100;-&#1051;&#1091;&#1075;&#1072;/&#1042;&#1050;,&#1042;&#1057;_&#1076;&#1086;%2014.05/&#1055;&#1088;&#1080;&#1083;&#1086;&#1078;&#1077;&#1085;&#1080;&#1077;%202%20&#1082;%20&#1058;&#1047;%20&#1057;&#1084;&#1077;&#1090;&#1085;&#1072;&#1103;%20&#1076;&#1086;&#1082;&#1091;&#1084;&#1077;&#1085;&#1090;&#1072;&#1094;&#1080;&#1103;/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 refreshError="1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 refreshError="1">
        <row r="98">
          <cell r="L98">
            <v>262959</v>
          </cell>
        </row>
        <row r="112">
          <cell r="L112">
            <v>530864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 refreshError="1">
        <row r="105">
          <cell r="L105">
            <v>606290</v>
          </cell>
        </row>
        <row r="119">
          <cell r="L119">
            <v>921948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  <sheetName val="1632-2021-2.2.2-ВК ПС №2 - Полн"/>
    </sheetNames>
    <sheetDataSet>
      <sheetData sheetId="0"/>
      <sheetData sheetId="1"/>
      <sheetData sheetId="2"/>
      <sheetData sheetId="3">
        <row r="265">
          <cell r="L265">
            <v>3786272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 refreshError="1">
        <row r="281">
          <cell r="L281">
            <v>654474</v>
          </cell>
        </row>
        <row r="295">
          <cell r="L295">
            <v>1453235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 refreshError="1">
        <row r="300">
          <cell r="L300">
            <v>2270788</v>
          </cell>
        </row>
        <row r="314">
          <cell r="L314">
            <v>3901843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 refreshError="1">
        <row r="289">
          <cell r="L289">
            <v>789058</v>
          </cell>
        </row>
        <row r="303">
          <cell r="L303">
            <v>5832263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 refreshError="1">
        <row r="270">
          <cell r="L270">
            <v>724753</v>
          </cell>
        </row>
        <row r="284">
          <cell r="L284">
            <v>1345214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 refreshError="1">
        <row r="273">
          <cell r="L273">
            <v>877165</v>
          </cell>
        </row>
        <row r="287">
          <cell r="L287">
            <v>1448733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вод_ВК,ВС"/>
      <sheetName val="КП прил. к конкурсу"/>
      <sheetName val="1632-2021-3.1-ВК Крытый склад №"/>
    </sheetNames>
    <sheetDataSet>
      <sheetData sheetId="0"/>
      <sheetData sheetId="1"/>
      <sheetData sheetId="2"/>
      <sheetData sheetId="3">
        <row r="342">
          <cell r="L342">
            <v>336268.3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 refreshError="1">
        <row r="340">
          <cell r="L340">
            <v>370303.84</v>
          </cell>
        </row>
        <row r="354">
          <cell r="L354">
            <v>2442204.06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 refreshError="1">
        <row r="394">
          <cell r="L394">
            <v>3646188</v>
          </cell>
        </row>
        <row r="408">
          <cell r="L408">
            <v>6433378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 refreshError="1">
        <row r="142">
          <cell r="L142">
            <v>66941.55</v>
          </cell>
        </row>
        <row r="156">
          <cell r="L156">
            <v>709934.21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 refreshError="1">
        <row r="93">
          <cell r="L93">
            <v>839757.89</v>
          </cell>
        </row>
        <row r="104">
          <cell r="L104">
            <v>1313738.2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 refreshError="1">
        <row r="472">
          <cell r="L472">
            <v>572916.52</v>
          </cell>
        </row>
        <row r="486">
          <cell r="L486">
            <v>1598284.39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 refreshError="1">
        <row r="136">
          <cell r="L136">
            <v>1045214</v>
          </cell>
        </row>
        <row r="150">
          <cell r="L150">
            <v>1533781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 refreshError="1">
        <row r="282">
          <cell r="L282">
            <v>1997890</v>
          </cell>
        </row>
        <row r="296">
          <cell r="L296">
            <v>3361322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 refreshError="1">
        <row r="137">
          <cell r="L137">
            <v>941071</v>
          </cell>
        </row>
        <row r="151">
          <cell r="L151">
            <v>1483842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 refreshError="1">
        <row r="282">
          <cell r="L282">
            <v>1716693</v>
          </cell>
        </row>
        <row r="296">
          <cell r="L296">
            <v>2907501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 refreshError="1">
        <row r="126">
          <cell r="L126">
            <v>1119263</v>
          </cell>
        </row>
        <row r="140">
          <cell r="L140">
            <v>2530026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 refreshError="1">
        <row r="102">
          <cell r="L102">
            <v>249970</v>
          </cell>
        </row>
        <row r="116">
          <cell r="L116">
            <v>517594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 refreshError="1">
        <row r="112">
          <cell r="L112">
            <v>613200</v>
          </cell>
        </row>
        <row r="126">
          <cell r="L126">
            <v>972840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23" customWidth="1" outlineLevel="1"/>
    <col min="13" max="13" width="12.42578125" style="23" customWidth="1" outlineLevel="1"/>
    <col min="14" max="14" width="10.7109375" style="23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163" t="s">
        <v>0</v>
      </c>
      <c r="B1" s="163" t="s">
        <v>1</v>
      </c>
      <c r="C1" s="165" t="s">
        <v>2</v>
      </c>
      <c r="D1" s="166"/>
      <c r="E1" s="161" t="s">
        <v>48</v>
      </c>
      <c r="F1" s="161" t="s">
        <v>5</v>
      </c>
      <c r="G1" s="147" t="s">
        <v>42</v>
      </c>
      <c r="H1" s="24"/>
      <c r="I1" s="147" t="s">
        <v>43</v>
      </c>
      <c r="J1" s="24"/>
      <c r="K1" s="147" t="s">
        <v>45</v>
      </c>
      <c r="L1" s="147" t="s">
        <v>44</v>
      </c>
      <c r="M1" s="147" t="s">
        <v>46</v>
      </c>
      <c r="N1" s="147" t="s">
        <v>47</v>
      </c>
      <c r="O1" s="163" t="s">
        <v>3</v>
      </c>
    </row>
    <row r="2" spans="1:17" ht="35.25" customHeight="1" thickBot="1" x14ac:dyDescent="0.3">
      <c r="A2" s="164"/>
      <c r="B2" s="164"/>
      <c r="C2" s="1" t="s">
        <v>4</v>
      </c>
      <c r="D2" s="1" t="s">
        <v>5</v>
      </c>
      <c r="E2" s="162"/>
      <c r="F2" s="162"/>
      <c r="G2" s="148"/>
      <c r="H2" s="32"/>
      <c r="I2" s="148"/>
      <c r="J2" s="32"/>
      <c r="K2" s="148"/>
      <c r="L2" s="148"/>
      <c r="M2" s="148"/>
      <c r="N2" s="148"/>
      <c r="O2" s="167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33"/>
      <c r="F3" s="33"/>
      <c r="G3" s="28">
        <v>1.052</v>
      </c>
      <c r="H3" s="28"/>
      <c r="I3" s="28">
        <v>1.0209999999999999</v>
      </c>
      <c r="J3" s="28"/>
      <c r="K3" s="28">
        <v>1.0349999999999999</v>
      </c>
      <c r="L3" s="28">
        <v>1.0249999999999999</v>
      </c>
      <c r="M3" s="28">
        <v>1.02</v>
      </c>
      <c r="N3" s="28">
        <v>1</v>
      </c>
      <c r="O3" s="3">
        <v>5</v>
      </c>
    </row>
    <row r="4" spans="1:17" s="27" customFormat="1" ht="35.1" customHeight="1" thickBot="1" x14ac:dyDescent="0.3">
      <c r="A4" s="4">
        <v>1</v>
      </c>
      <c r="B4" s="17" t="s">
        <v>27</v>
      </c>
      <c r="C4" s="29" t="e">
        <f>E4*G3*I3*K3*L3*M3*N3-448028.54</f>
        <v>#REF!</v>
      </c>
      <c r="D4" s="30" t="e">
        <f>F4*G3*I3*K3*L3*M3*N3</f>
        <v>#REF!</v>
      </c>
      <c r="E4" s="34" t="e">
        <f>#REF!+#REF!+#REF!+#REF!</f>
        <v>#REF!</v>
      </c>
      <c r="F4" s="34" t="e">
        <f>#REF!</f>
        <v>#REF!</v>
      </c>
      <c r="G4" s="21"/>
      <c r="H4" s="21"/>
      <c r="I4" s="21"/>
      <c r="J4" s="21"/>
      <c r="K4" s="21"/>
      <c r="L4" s="21"/>
      <c r="M4" s="21"/>
      <c r="N4" s="21"/>
      <c r="O4" s="29" t="e">
        <f>C4+D4</f>
        <v>#REF!</v>
      </c>
      <c r="P4" s="37" t="e">
        <f>#REF!</f>
        <v>#REF!</v>
      </c>
      <c r="Q4" s="37" t="e">
        <f>O4-P4</f>
        <v>#REF!</v>
      </c>
    </row>
    <row r="5" spans="1:17" ht="35.1" customHeight="1" thickBot="1" x14ac:dyDescent="0.3">
      <c r="A5" s="5">
        <v>2</v>
      </c>
      <c r="B5" s="18" t="s">
        <v>28</v>
      </c>
      <c r="C5" s="29" t="e">
        <f>E5*G3*I3*K3*L3*M3*N3-25408.41</f>
        <v>#REF!</v>
      </c>
      <c r="D5" s="30" t="e">
        <f>F5*G3*I3*K3*L3*M3*N3</f>
        <v>#REF!</v>
      </c>
      <c r="E5" s="35" t="e">
        <f>#REF!+#REF!+#REF!+#REF!</f>
        <v>#REF!</v>
      </c>
      <c r="F5" s="35" t="e">
        <f>#REF!</f>
        <v>#REF!</v>
      </c>
      <c r="G5" s="22"/>
      <c r="H5" s="22"/>
      <c r="I5" s="22"/>
      <c r="J5" s="22"/>
      <c r="K5" s="22"/>
      <c r="L5" s="22"/>
      <c r="M5" s="22"/>
      <c r="N5" s="22"/>
      <c r="O5" s="29" t="e">
        <f>C5+D5</f>
        <v>#REF!</v>
      </c>
      <c r="P5" s="37" t="e">
        <f>#REF!</f>
        <v>#REF!</v>
      </c>
      <c r="Q5" s="37" t="e">
        <f t="shared" ref="Q5:Q16" si="0">O5-P5</f>
        <v>#REF!</v>
      </c>
    </row>
    <row r="6" spans="1:17" ht="35.1" customHeight="1" thickBot="1" x14ac:dyDescent="0.3">
      <c r="A6" s="5">
        <v>3</v>
      </c>
      <c r="B6" s="18" t="s">
        <v>29</v>
      </c>
      <c r="C6" s="31" t="e">
        <f>E6*G3*I3*K3*L3*M3*N3-80362.07</f>
        <v>#REF!</v>
      </c>
      <c r="D6" s="30" t="e">
        <f>F6*G3*I3*K3*L3*M3*N3</f>
        <v>#REF!</v>
      </c>
      <c r="E6" s="36" t="e">
        <f>#REF!+#REF!+#REF!+#REF!</f>
        <v>#REF!</v>
      </c>
      <c r="F6" s="35" t="e">
        <f>#REF!</f>
        <v>#REF!</v>
      </c>
      <c r="G6" s="22"/>
      <c r="H6" s="22"/>
      <c r="I6" s="22"/>
      <c r="J6" s="22"/>
      <c r="K6" s="22"/>
      <c r="L6" s="22"/>
      <c r="M6" s="22"/>
      <c r="N6" s="22"/>
      <c r="O6" s="20" t="e">
        <f t="shared" ref="O6:O16" si="1">C6+D6</f>
        <v>#REF!</v>
      </c>
      <c r="P6" s="37" t="e">
        <f>#REF!</f>
        <v>#REF!</v>
      </c>
      <c r="Q6" s="37" t="e">
        <f t="shared" si="0"/>
        <v>#REF!</v>
      </c>
    </row>
    <row r="7" spans="1:17" ht="35.1" customHeight="1" thickBot="1" x14ac:dyDescent="0.3">
      <c r="A7" s="5">
        <f>A6+1</f>
        <v>4</v>
      </c>
      <c r="B7" s="18" t="s">
        <v>30</v>
      </c>
      <c r="C7" s="29" t="e">
        <f>E7*G3*I3*K3*L3*M3*N3-6586.96</f>
        <v>#REF!</v>
      </c>
      <c r="D7" s="20" t="e">
        <f>F7*G3*I3*K3*L3*M3*N3</f>
        <v>#REF!</v>
      </c>
      <c r="E7" s="35" t="e">
        <f>#REF!-#REF!</f>
        <v>#REF!</v>
      </c>
      <c r="F7" s="35" t="e">
        <f>#REF!</f>
        <v>#REF!</v>
      </c>
      <c r="G7" s="22"/>
      <c r="H7" s="22"/>
      <c r="I7" s="22"/>
      <c r="J7" s="22"/>
      <c r="K7" s="22"/>
      <c r="L7" s="22"/>
      <c r="M7" s="22"/>
      <c r="N7" s="22"/>
      <c r="O7" s="29" t="e">
        <f t="shared" si="1"/>
        <v>#REF!</v>
      </c>
      <c r="P7" s="37" t="e">
        <f>#REF!</f>
        <v>#REF!</v>
      </c>
      <c r="Q7" s="37" t="e">
        <f t="shared" si="0"/>
        <v>#REF!</v>
      </c>
    </row>
    <row r="8" spans="1:17" ht="35.1" customHeight="1" thickBot="1" x14ac:dyDescent="0.3">
      <c r="A8" s="5">
        <f t="shared" ref="A8:A16" si="2">A7+1</f>
        <v>5</v>
      </c>
      <c r="B8" s="18" t="s">
        <v>31</v>
      </c>
      <c r="C8" s="20" t="e">
        <f>E8*G3*I3*K3*L3*M3*N3-1385.16</f>
        <v>#REF!</v>
      </c>
      <c r="D8" s="30" t="e">
        <f>F8*G3*I3*K3*L3*M3*N3</f>
        <v>#REF!</v>
      </c>
      <c r="E8" s="35" t="e">
        <f>#REF!-#REF!</f>
        <v>#REF!</v>
      </c>
      <c r="F8" s="35" t="e">
        <f>#REF!</f>
        <v>#REF!</v>
      </c>
      <c r="G8" s="25"/>
      <c r="H8" s="26"/>
      <c r="I8" s="26"/>
      <c r="J8" s="26"/>
      <c r="K8" s="26"/>
      <c r="L8" s="26"/>
      <c r="M8" s="26"/>
      <c r="N8" s="26"/>
      <c r="O8" s="20" t="e">
        <f t="shared" si="1"/>
        <v>#REF!</v>
      </c>
      <c r="P8" s="37" t="e">
        <f>#REF!</f>
        <v>#REF!</v>
      </c>
      <c r="Q8" s="37" t="e">
        <f t="shared" si="0"/>
        <v>#REF!</v>
      </c>
    </row>
    <row r="9" spans="1:17" ht="35.1" customHeight="1" thickBot="1" x14ac:dyDescent="0.3">
      <c r="A9" s="5">
        <f t="shared" si="2"/>
        <v>6</v>
      </c>
      <c r="B9" s="18" t="s">
        <v>32</v>
      </c>
      <c r="C9" s="29" t="e">
        <f>E9*G3*I3*K3*L3*M3*N3-12956.45</f>
        <v>#REF!</v>
      </c>
      <c r="D9" s="20" t="e">
        <f>F9*G3*I3*K3*L3*M3*N3</f>
        <v>#REF!</v>
      </c>
      <c r="E9" s="35" t="e">
        <f>#REF!-#REF!</f>
        <v>#REF!</v>
      </c>
      <c r="F9" s="35" t="e">
        <f>#REF!</f>
        <v>#REF!</v>
      </c>
      <c r="G9" s="21"/>
      <c r="H9" s="21"/>
      <c r="I9" s="21"/>
      <c r="J9" s="21"/>
      <c r="K9" s="21"/>
      <c r="L9" s="21"/>
      <c r="M9" s="21"/>
      <c r="N9" s="21"/>
      <c r="O9" s="29" t="e">
        <f t="shared" si="1"/>
        <v>#REF!</v>
      </c>
      <c r="P9" s="37" t="e">
        <f>#REF!</f>
        <v>#REF!</v>
      </c>
      <c r="Q9" s="37" t="e">
        <f t="shared" si="0"/>
        <v>#REF!</v>
      </c>
    </row>
    <row r="10" spans="1:17" ht="35.1" customHeight="1" thickBot="1" x14ac:dyDescent="0.3">
      <c r="A10" s="5">
        <f t="shared" si="2"/>
        <v>7</v>
      </c>
      <c r="B10" s="18" t="s">
        <v>33</v>
      </c>
      <c r="C10" s="20" t="e">
        <f>E10*G3*I3*K3*L3*M3*N3-1477.19</f>
        <v>#REF!</v>
      </c>
      <c r="D10" s="30" t="e">
        <f>F10*G3*I3*K3*L3*M3*N3</f>
        <v>#REF!</v>
      </c>
      <c r="E10" s="35" t="e">
        <f>#REF!-#REF!</f>
        <v>#REF!</v>
      </c>
      <c r="F10" s="35" t="e">
        <f>#REF!</f>
        <v>#REF!</v>
      </c>
      <c r="G10" s="22"/>
      <c r="H10" s="22"/>
      <c r="I10" s="22"/>
      <c r="J10" s="22"/>
      <c r="K10" s="22"/>
      <c r="L10" s="22"/>
      <c r="M10" s="22"/>
      <c r="N10" s="22"/>
      <c r="O10" s="20" t="e">
        <f t="shared" si="1"/>
        <v>#REF!</v>
      </c>
      <c r="P10" s="37" t="e">
        <f>#REF!</f>
        <v>#REF!</v>
      </c>
      <c r="Q10" s="37" t="e">
        <f t="shared" si="0"/>
        <v>#REF!</v>
      </c>
    </row>
    <row r="11" spans="1:17" ht="35.1" customHeight="1" thickBot="1" x14ac:dyDescent="0.3">
      <c r="A11" s="5">
        <f t="shared" si="2"/>
        <v>8</v>
      </c>
      <c r="B11" s="18" t="s">
        <v>34</v>
      </c>
      <c r="C11" s="29" t="e">
        <f>E11*G3*I3*K3*L3*M3*N3-3228.93</f>
        <v>#REF!</v>
      </c>
      <c r="D11" s="20" t="e">
        <f>F11*G3*I3*K3*L3*M3*N3</f>
        <v>#REF!</v>
      </c>
      <c r="E11" s="35" t="e">
        <f>#REF!-#REF!</f>
        <v>#REF!</v>
      </c>
      <c r="F11" s="35" t="e">
        <f>#REF!</f>
        <v>#REF!</v>
      </c>
      <c r="G11" s="22"/>
      <c r="H11" s="22"/>
      <c r="I11" s="22"/>
      <c r="J11" s="22"/>
      <c r="K11" s="22"/>
      <c r="L11" s="22"/>
      <c r="M11" s="22"/>
      <c r="N11" s="22"/>
      <c r="O11" s="29" t="e">
        <f t="shared" si="1"/>
        <v>#REF!</v>
      </c>
      <c r="P11" s="37" t="e">
        <f>#REF!</f>
        <v>#REF!</v>
      </c>
      <c r="Q11" s="37" t="e">
        <f t="shared" si="0"/>
        <v>#REF!</v>
      </c>
    </row>
    <row r="12" spans="1:17" ht="35.1" customHeight="1" thickBot="1" x14ac:dyDescent="0.3">
      <c r="A12" s="5">
        <f t="shared" si="2"/>
        <v>9</v>
      </c>
      <c r="B12" s="18" t="s">
        <v>35</v>
      </c>
      <c r="C12" s="20" t="e">
        <f>E12*G3*I3*K3*L3*M3*N3-9159.78</f>
        <v>#REF!</v>
      </c>
      <c r="D12" s="30" t="e">
        <f>F12*G3*I3*K3*L3*M3*N3</f>
        <v>#REF!</v>
      </c>
      <c r="E12" s="35" t="e">
        <f>#REF!-#REF!</f>
        <v>#REF!</v>
      </c>
      <c r="F12" s="35" t="e">
        <f>#REF!</f>
        <v>#REF!</v>
      </c>
      <c r="G12" s="22"/>
      <c r="H12" s="22"/>
      <c r="I12" s="22"/>
      <c r="J12" s="22"/>
      <c r="K12" s="22"/>
      <c r="L12" s="22"/>
      <c r="M12" s="22"/>
      <c r="N12" s="22"/>
      <c r="O12" s="20" t="e">
        <f t="shared" si="1"/>
        <v>#REF!</v>
      </c>
      <c r="P12" s="37" t="e">
        <f>#REF!</f>
        <v>#REF!</v>
      </c>
      <c r="Q12" s="37" t="e">
        <f t="shared" si="0"/>
        <v>#REF!</v>
      </c>
    </row>
    <row r="13" spans="1:17" ht="35.1" customHeight="1" thickBot="1" x14ac:dyDescent="0.3">
      <c r="A13" s="5">
        <f t="shared" si="2"/>
        <v>10</v>
      </c>
      <c r="B13" s="18" t="s">
        <v>36</v>
      </c>
      <c r="C13" s="29" t="e">
        <f>E13*G3*I3*K3*L3*M3*N3-104195.42</f>
        <v>#REF!</v>
      </c>
      <c r="D13" s="20" t="e">
        <f>F13*G3*I3*K3*L3*M3*N3</f>
        <v>#REF!</v>
      </c>
      <c r="E13" s="35" t="e">
        <f>#REF!-#REF!</f>
        <v>#REF!</v>
      </c>
      <c r="F13" s="35" t="e">
        <f>#REF!</f>
        <v>#REF!</v>
      </c>
      <c r="G13" s="22"/>
      <c r="H13" s="22"/>
      <c r="I13" s="22"/>
      <c r="J13" s="22"/>
      <c r="K13" s="22"/>
      <c r="L13" s="22"/>
      <c r="M13" s="22"/>
      <c r="N13" s="22"/>
      <c r="O13" s="29" t="e">
        <f t="shared" si="1"/>
        <v>#REF!</v>
      </c>
      <c r="P13" s="37" t="e">
        <f>#REF!</f>
        <v>#REF!</v>
      </c>
      <c r="Q13" s="37" t="e">
        <f t="shared" si="0"/>
        <v>#REF!</v>
      </c>
    </row>
    <row r="14" spans="1:17" ht="35.1" customHeight="1" thickBot="1" x14ac:dyDescent="0.3">
      <c r="A14" s="5">
        <f t="shared" si="2"/>
        <v>11</v>
      </c>
      <c r="B14" s="18" t="s">
        <v>37</v>
      </c>
      <c r="C14" s="20" t="e">
        <f>E14*G3*I3*K3*L3*M3*N3-31726.79</f>
        <v>#REF!</v>
      </c>
      <c r="D14" s="30" t="e">
        <f>F14*G3*I3*K3*L3*M3*N3</f>
        <v>#REF!</v>
      </c>
      <c r="E14" s="35" t="e">
        <f>#REF!-#REF!</f>
        <v>#REF!</v>
      </c>
      <c r="F14" s="35" t="e">
        <f>#REF!</f>
        <v>#REF!</v>
      </c>
      <c r="G14" s="22"/>
      <c r="H14" s="22"/>
      <c r="I14" s="22"/>
      <c r="J14" s="22"/>
      <c r="K14" s="22"/>
      <c r="L14" s="22"/>
      <c r="M14" s="22"/>
      <c r="N14" s="22"/>
      <c r="O14" s="20" t="e">
        <f t="shared" si="1"/>
        <v>#REF!</v>
      </c>
      <c r="P14" s="37" t="e">
        <f>#REF!</f>
        <v>#REF!</v>
      </c>
      <c r="Q14" s="37" t="e">
        <f t="shared" si="0"/>
        <v>#REF!</v>
      </c>
    </row>
    <row r="15" spans="1:17" ht="35.1" customHeight="1" thickBot="1" x14ac:dyDescent="0.3">
      <c r="A15" s="5">
        <f t="shared" si="2"/>
        <v>12</v>
      </c>
      <c r="B15" s="18" t="s">
        <v>38</v>
      </c>
      <c r="C15" s="29" t="e">
        <f>E15*G3*I3*K3*L3*M3*N3-3446.36</f>
        <v>#REF!</v>
      </c>
      <c r="D15" s="30" t="e">
        <f>F15*G3*I3*K3*L3*M3*N3</f>
        <v>#REF!</v>
      </c>
      <c r="E15" s="35" t="e">
        <f>#REF!-#REF!</f>
        <v>#REF!</v>
      </c>
      <c r="F15" s="35" t="e">
        <f>#REF!</f>
        <v>#REF!</v>
      </c>
      <c r="G15" s="22"/>
      <c r="H15" s="22"/>
      <c r="I15" s="22"/>
      <c r="J15" s="22"/>
      <c r="K15" s="22"/>
      <c r="L15" s="22"/>
      <c r="M15" s="22"/>
      <c r="N15" s="22"/>
      <c r="O15" s="29" t="e">
        <f t="shared" si="1"/>
        <v>#REF!</v>
      </c>
      <c r="P15" s="37" t="e">
        <f>#REF!</f>
        <v>#REF!</v>
      </c>
      <c r="Q15" s="37" t="e">
        <f t="shared" si="0"/>
        <v>#REF!</v>
      </c>
    </row>
    <row r="16" spans="1:17" ht="35.1" customHeight="1" thickBot="1" x14ac:dyDescent="0.3">
      <c r="A16" s="5">
        <f t="shared" si="2"/>
        <v>13</v>
      </c>
      <c r="B16" s="18" t="s">
        <v>39</v>
      </c>
      <c r="C16" s="20" t="e">
        <f>E16*G3*I3*K3*L3*M3*N3-5063.53</f>
        <v>#REF!</v>
      </c>
      <c r="D16" s="20" t="e">
        <f>F16*G3*I3*K3*L3*M3*N3</f>
        <v>#REF!</v>
      </c>
      <c r="E16" s="36" t="e">
        <f>#REF!-#REF!</f>
        <v>#REF!</v>
      </c>
      <c r="F16" s="36" t="e">
        <f>#REF!</f>
        <v>#REF!</v>
      </c>
      <c r="G16" s="22"/>
      <c r="H16" s="22"/>
      <c r="I16" s="22"/>
      <c r="J16" s="22"/>
      <c r="K16" s="22"/>
      <c r="L16" s="22"/>
      <c r="M16" s="22"/>
      <c r="N16" s="22"/>
      <c r="O16" s="20" t="e">
        <f t="shared" si="1"/>
        <v>#REF!</v>
      </c>
      <c r="P16" s="37" t="e">
        <f>#REF!</f>
        <v>#REF!</v>
      </c>
      <c r="Q16" s="37" t="e">
        <f t="shared" si="0"/>
        <v>#REF!</v>
      </c>
    </row>
    <row r="17" spans="1:20" ht="29.25" customHeight="1" thickBot="1" x14ac:dyDescent="0.3">
      <c r="A17" s="6"/>
      <c r="B17" s="7" t="s">
        <v>6</v>
      </c>
      <c r="C17" s="168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70"/>
      <c r="P17" s="37"/>
      <c r="Q17" s="37"/>
      <c r="R17" s="19"/>
    </row>
    <row r="18" spans="1:20" ht="29.25" customHeight="1" thickBot="1" x14ac:dyDescent="0.3">
      <c r="A18" s="6"/>
      <c r="B18" s="14" t="s">
        <v>40</v>
      </c>
      <c r="C18" s="155" t="e">
        <f>SUM(O4:O16)</f>
        <v>#REF!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7"/>
      <c r="P18" s="37" t="e">
        <f>#REF!+#REF!+#REF!+#REF!+#REF!+#REF!+#REF!+#REF!+#REF!+#REF!+#REF!+#REF!+#REF!</f>
        <v>#REF!</v>
      </c>
      <c r="Q18" s="37" t="e">
        <f>C18-P18</f>
        <v>#REF!</v>
      </c>
      <c r="R18" s="19"/>
    </row>
    <row r="19" spans="1:20" ht="29.25" customHeight="1" thickBot="1" x14ac:dyDescent="0.3">
      <c r="A19" s="9"/>
      <c r="B19" s="8" t="s">
        <v>7</v>
      </c>
      <c r="C19" s="155" t="e">
        <f>C18*0.03</f>
        <v>#REF!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7"/>
      <c r="P19" s="37" t="e">
        <f>#REF!+#REF!+#REF!+#REF!+#REF!+#REF!+#REF!+#REF!+#REF!+#REF!+#REF!+#REF!+#REF!</f>
        <v>#REF!</v>
      </c>
      <c r="Q19" s="37" t="e">
        <f t="shared" ref="Q19:Q21" si="3">C19-P19</f>
        <v>#REF!</v>
      </c>
      <c r="R19" s="19"/>
    </row>
    <row r="20" spans="1:20" ht="29.25" customHeight="1" thickBot="1" x14ac:dyDescent="0.3">
      <c r="A20" s="10"/>
      <c r="B20" s="11" t="s">
        <v>8</v>
      </c>
      <c r="C20" s="158" t="e">
        <f>C18+C19</f>
        <v>#REF!</v>
      </c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60"/>
      <c r="P20" s="37" t="e">
        <f>#REF!+#REF!+#REF!+#REF!+#REF!+#REF!+#REF!+#REF!+#REF!+#REF!+#REF!+#REF!+#REF!</f>
        <v>#REF!</v>
      </c>
      <c r="Q20" s="37" t="e">
        <f t="shared" si="3"/>
        <v>#REF!</v>
      </c>
      <c r="S20" t="s">
        <v>51</v>
      </c>
    </row>
    <row r="21" spans="1:20" ht="29.25" customHeight="1" thickBot="1" x14ac:dyDescent="0.3">
      <c r="A21" s="15"/>
      <c r="B21" s="16" t="s">
        <v>49</v>
      </c>
      <c r="C21" s="158" t="e">
        <f>C20*1.2</f>
        <v>#REF!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60"/>
      <c r="P21" s="37" t="e">
        <f>#REF!+#REF!+#REF!+#REF!+#REF!+#REF!+#REF!+#REF!+#REF!+#REF!+#REF!+#REF!+#REF!</f>
        <v>#REF!</v>
      </c>
      <c r="Q21" s="37" t="e">
        <f t="shared" si="3"/>
        <v>#REF!</v>
      </c>
      <c r="S21" s="38" t="e">
        <f>#REF!</f>
        <v>#REF!</v>
      </c>
      <c r="T21" s="19"/>
    </row>
    <row r="22" spans="1:20" ht="29.25" customHeight="1" x14ac:dyDescent="0.25">
      <c r="A22" s="132"/>
      <c r="B22" s="130" t="s">
        <v>9</v>
      </c>
      <c r="C22" s="141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3"/>
      <c r="P22" s="134" t="s">
        <v>50</v>
      </c>
      <c r="Q22" s="135"/>
      <c r="S22" s="39" t="e">
        <f>S21/C21</f>
        <v>#REF!</v>
      </c>
    </row>
    <row r="23" spans="1:20" ht="57" customHeight="1" thickBot="1" x14ac:dyDescent="0.3">
      <c r="A23" s="133"/>
      <c r="B23" s="131"/>
      <c r="C23" s="144" t="s">
        <v>10</v>
      </c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6"/>
      <c r="P23" s="134"/>
      <c r="Q23" s="135"/>
    </row>
    <row r="24" spans="1:20" ht="63.75" customHeight="1" thickBot="1" x14ac:dyDescent="0.3">
      <c r="A24" s="9"/>
      <c r="B24" s="12" t="s">
        <v>11</v>
      </c>
      <c r="C24" s="136" t="s">
        <v>12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8"/>
    </row>
    <row r="25" spans="1:20" ht="51.75" customHeight="1" thickBot="1" x14ac:dyDescent="0.3">
      <c r="A25" s="9"/>
      <c r="B25" s="12" t="s">
        <v>13</v>
      </c>
      <c r="C25" s="136" t="s">
        <v>14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8"/>
    </row>
    <row r="26" spans="1:20" ht="56.25" customHeight="1" thickBot="1" x14ac:dyDescent="0.3">
      <c r="A26" s="9"/>
      <c r="B26" s="12" t="s">
        <v>15</v>
      </c>
      <c r="C26" s="136" t="s">
        <v>16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8"/>
    </row>
    <row r="27" spans="1:20" ht="29.25" customHeight="1" x14ac:dyDescent="0.25">
      <c r="A27" s="132"/>
      <c r="B27" s="130" t="s">
        <v>17</v>
      </c>
      <c r="C27" s="141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3"/>
    </row>
    <row r="28" spans="1:20" ht="29.25" customHeight="1" x14ac:dyDescent="0.25">
      <c r="A28" s="139"/>
      <c r="B28" s="140"/>
      <c r="C28" s="149" t="s">
        <v>18</v>
      </c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1"/>
    </row>
    <row r="29" spans="1:20" ht="29.25" customHeight="1" thickBot="1" x14ac:dyDescent="0.3">
      <c r="A29" s="133"/>
      <c r="B29" s="131"/>
      <c r="C29" s="152" t="s">
        <v>19</v>
      </c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</row>
    <row r="30" spans="1:20" ht="29.25" customHeight="1" thickBot="1" x14ac:dyDescent="0.3">
      <c r="A30" s="9"/>
      <c r="B30" s="12" t="s">
        <v>20</v>
      </c>
      <c r="C30" s="136" t="s">
        <v>21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8"/>
    </row>
    <row r="31" spans="1:20" ht="29.25" customHeight="1" thickBot="1" x14ac:dyDescent="0.3">
      <c r="A31" s="9"/>
      <c r="B31" s="12" t="s">
        <v>22</v>
      </c>
      <c r="C31" s="136" t="s">
        <v>23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8"/>
    </row>
    <row r="32" spans="1:20" ht="29.25" customHeight="1" thickBot="1" x14ac:dyDescent="0.3">
      <c r="A32" s="9"/>
      <c r="B32" s="12" t="s">
        <v>24</v>
      </c>
      <c r="C32" s="136" t="s">
        <v>25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8"/>
    </row>
    <row r="33" spans="1:15" ht="29.25" customHeight="1" thickBot="1" x14ac:dyDescent="0.3">
      <c r="A33" s="9"/>
      <c r="B33" s="12" t="s">
        <v>26</v>
      </c>
      <c r="C33" s="136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8"/>
    </row>
  </sheetData>
  <mergeCells count="34">
    <mergeCell ref="C18:O18"/>
    <mergeCell ref="N1:N2"/>
    <mergeCell ref="E1:E2"/>
    <mergeCell ref="F1:F2"/>
    <mergeCell ref="A1:A2"/>
    <mergeCell ref="B1:B2"/>
    <mergeCell ref="C1:D1"/>
    <mergeCell ref="O1:O2"/>
    <mergeCell ref="C17:O17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4"/>
  <sheetViews>
    <sheetView workbookViewId="0">
      <pane ySplit="3" topLeftCell="A19" activePane="bottomLeft" state="frozen"/>
      <selection pane="bottomLeft" activeCell="D24" sqref="D24"/>
    </sheetView>
  </sheetViews>
  <sheetFormatPr defaultRowHeight="15" outlineLevelCol="1" x14ac:dyDescent="0.25"/>
  <cols>
    <col min="1" max="1" width="6.28515625" customWidth="1"/>
    <col min="2" max="2" width="50.7109375" customWidth="1"/>
    <col min="3" max="3" width="16" customWidth="1"/>
    <col min="4" max="4" width="14.28515625" customWidth="1"/>
    <col min="5" max="5" width="15.5703125" customWidth="1"/>
    <col min="6" max="6" width="13.140625" hidden="1" customWidth="1"/>
    <col min="7" max="10" width="10.7109375" style="23" hidden="1" customWidth="1" outlineLevel="1"/>
    <col min="11" max="11" width="12.42578125" style="23" hidden="1" customWidth="1" outlineLevel="1"/>
    <col min="12" max="13" width="10.7109375" style="23" hidden="1" customWidth="1" outlineLevel="1"/>
    <col min="14" max="14" width="19.7109375" customWidth="1" collapsed="1"/>
  </cols>
  <sheetData>
    <row r="1" spans="1:15" ht="25.5" customHeight="1" thickBot="1" x14ac:dyDescent="0.3">
      <c r="A1" s="163" t="s">
        <v>0</v>
      </c>
      <c r="B1" s="163" t="s">
        <v>1</v>
      </c>
      <c r="C1" s="165" t="s">
        <v>2</v>
      </c>
      <c r="D1" s="180"/>
      <c r="E1" s="166"/>
      <c r="F1" s="43"/>
      <c r="G1" s="147" t="s">
        <v>42</v>
      </c>
      <c r="H1" s="147" t="s">
        <v>43</v>
      </c>
      <c r="I1" s="147" t="s">
        <v>45</v>
      </c>
      <c r="J1" s="147" t="s">
        <v>44</v>
      </c>
      <c r="K1" s="147" t="s">
        <v>46</v>
      </c>
      <c r="L1" s="147" t="s">
        <v>52</v>
      </c>
      <c r="M1" s="175" t="s">
        <v>76</v>
      </c>
      <c r="N1" s="163" t="s">
        <v>3</v>
      </c>
    </row>
    <row r="2" spans="1:15" ht="35.25" customHeight="1" thickBot="1" x14ac:dyDescent="0.3">
      <c r="A2" s="164"/>
      <c r="B2" s="164"/>
      <c r="C2" s="1" t="s">
        <v>4</v>
      </c>
      <c r="D2" s="1" t="s">
        <v>41</v>
      </c>
      <c r="E2" s="1" t="s">
        <v>53</v>
      </c>
      <c r="F2" s="46" t="s">
        <v>75</v>
      </c>
      <c r="G2" s="174"/>
      <c r="H2" s="174"/>
      <c r="I2" s="174"/>
      <c r="J2" s="174"/>
      <c r="K2" s="174"/>
      <c r="L2" s="174"/>
      <c r="M2" s="176"/>
      <c r="N2" s="167"/>
    </row>
    <row r="3" spans="1:15" ht="15.75" thickBo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28">
        <v>1.052</v>
      </c>
      <c r="H3" s="28">
        <v>1.0209999999999999</v>
      </c>
      <c r="I3" s="28">
        <v>1.0349999999999999</v>
      </c>
      <c r="J3" s="28">
        <v>1.0249999999999999</v>
      </c>
      <c r="K3" s="28">
        <v>1.02</v>
      </c>
      <c r="L3" s="45">
        <v>1</v>
      </c>
      <c r="M3" s="45">
        <v>1</v>
      </c>
      <c r="N3" s="3">
        <v>7</v>
      </c>
    </row>
    <row r="4" spans="1:15" s="27" customFormat="1" ht="64.5" customHeight="1" thickBot="1" x14ac:dyDescent="0.3">
      <c r="A4" s="4">
        <v>1</v>
      </c>
      <c r="B4" s="17" t="s">
        <v>54</v>
      </c>
      <c r="C4" s="57">
        <f>3527508.16*M3</f>
        <v>3527508.16</v>
      </c>
      <c r="D4" s="40">
        <v>5598719.8399999999</v>
      </c>
      <c r="E4" s="40"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31">
        <f>C4+D4+E4</f>
        <v>10310110</v>
      </c>
    </row>
    <row r="5" spans="1:15" ht="53.25" customHeight="1" thickBot="1" x14ac:dyDescent="0.3">
      <c r="A5" s="5">
        <v>2</v>
      </c>
      <c r="B5" s="18" t="s">
        <v>55</v>
      </c>
      <c r="C5" s="57">
        <f>1382523.39*M3</f>
        <v>1382523.39</v>
      </c>
      <c r="D5" s="40">
        <v>4237843.6100000003</v>
      </c>
      <c r="E5" s="40">
        <v>813011</v>
      </c>
      <c r="F5" s="20">
        <f>'[2]1632-2021-2.1.0,2.2.1-ВК Тоннел'!$L$408*L3</f>
        <v>6433378</v>
      </c>
      <c r="G5" s="42"/>
      <c r="H5" s="42"/>
      <c r="I5" s="42"/>
      <c r="J5" s="42"/>
      <c r="K5" s="42"/>
      <c r="L5" s="26"/>
      <c r="M5" s="26"/>
      <c r="N5" s="31">
        <f t="shared" ref="N5:N27" si="0">C5+D5+E5</f>
        <v>6433378</v>
      </c>
    </row>
    <row r="6" spans="1:15" ht="41.25" customHeight="1" thickBot="1" x14ac:dyDescent="0.3">
      <c r="A6" s="5">
        <v>3</v>
      </c>
      <c r="B6" s="18" t="s">
        <v>56</v>
      </c>
      <c r="C6" s="57">
        <f>309400.37*M3</f>
        <v>309400.37</v>
      </c>
      <c r="D6" s="40">
        <v>1214817.6299999999</v>
      </c>
      <c r="E6" s="40"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41"/>
      <c r="M6" s="41"/>
      <c r="N6" s="31">
        <f t="shared" si="0"/>
        <v>1533781</v>
      </c>
    </row>
    <row r="7" spans="1:15" ht="37.5" customHeight="1" thickBot="1" x14ac:dyDescent="0.3">
      <c r="A7" s="5">
        <v>4</v>
      </c>
      <c r="B7" s="60" t="s">
        <v>78</v>
      </c>
      <c r="C7" s="57">
        <f>756811.59*M3</f>
        <v>756811.59</v>
      </c>
      <c r="D7" s="40">
        <v>2322081.41</v>
      </c>
      <c r="E7" s="40">
        <v>282429</v>
      </c>
      <c r="F7" s="20">
        <f>'[4]1632-2021-2.1.2,2.1.7-ВК1 КГ№2 '!$L$296*L3</f>
        <v>3361322</v>
      </c>
      <c r="G7" s="42"/>
      <c r="H7" s="42"/>
      <c r="I7" s="42"/>
      <c r="J7" s="42"/>
      <c r="K7" s="42"/>
      <c r="L7" s="26"/>
      <c r="M7" s="26"/>
      <c r="N7" s="31">
        <f t="shared" si="0"/>
        <v>3361322</v>
      </c>
    </row>
    <row r="8" spans="1:15" ht="38.25" customHeight="1" thickBot="1" x14ac:dyDescent="0.3">
      <c r="A8" s="5">
        <v>5</v>
      </c>
      <c r="B8" s="18" t="s">
        <v>58</v>
      </c>
      <c r="C8" s="57">
        <f>374558.33*M3</f>
        <v>374558.33</v>
      </c>
      <c r="D8" s="40">
        <v>1093775.67</v>
      </c>
      <c r="E8" s="40"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41"/>
      <c r="M8" s="41"/>
      <c r="N8" s="31">
        <f t="shared" si="0"/>
        <v>1483842</v>
      </c>
    </row>
    <row r="9" spans="1:15" ht="39.75" customHeight="1" thickBot="1" x14ac:dyDescent="0.3">
      <c r="A9" s="5">
        <v>6</v>
      </c>
      <c r="B9" s="61" t="s">
        <v>59</v>
      </c>
      <c r="C9" s="57">
        <f>632031.55*M3</f>
        <v>632031.55000000005</v>
      </c>
      <c r="D9" s="40">
        <v>1995255.45</v>
      </c>
      <c r="E9" s="40">
        <v>280214</v>
      </c>
      <c r="F9" s="20">
        <f>'[6]1632-2021-2.1.2,2.1.7-ВК3 КГ №2'!$L$296*L3</f>
        <v>2907501</v>
      </c>
      <c r="G9" s="42"/>
      <c r="H9" s="42"/>
      <c r="I9" s="42"/>
      <c r="J9" s="42"/>
      <c r="K9" s="42"/>
      <c r="L9" s="42"/>
      <c r="M9" s="42"/>
      <c r="N9" s="31">
        <f t="shared" si="0"/>
        <v>2907501</v>
      </c>
    </row>
    <row r="10" spans="1:15" ht="39.75" customHeight="1" thickBot="1" x14ac:dyDescent="0.3">
      <c r="A10" s="5">
        <v>7</v>
      </c>
      <c r="B10" s="18" t="s">
        <v>60</v>
      </c>
      <c r="C10" s="57">
        <f>1196632.67*M3</f>
        <v>1196632.67</v>
      </c>
      <c r="D10" s="40">
        <v>1300882.33</v>
      </c>
      <c r="E10" s="40"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41"/>
      <c r="M10" s="41"/>
      <c r="N10" s="31">
        <f t="shared" si="0"/>
        <v>2530026</v>
      </c>
    </row>
    <row r="11" spans="1:15" ht="37.5" customHeight="1" thickBot="1" x14ac:dyDescent="0.3">
      <c r="A11" s="5">
        <v>8</v>
      </c>
      <c r="B11" s="18" t="s">
        <v>61</v>
      </c>
      <c r="C11" s="57">
        <f>217309.14*M3</f>
        <v>217309.14</v>
      </c>
      <c r="D11" s="40">
        <v>290531.86</v>
      </c>
      <c r="E11" s="40">
        <v>9753</v>
      </c>
      <c r="F11" s="20">
        <f>'[8]1632-2021-2.1.4-ВК КГ №4 - Полн'!$L$116*L3</f>
        <v>517594</v>
      </c>
      <c r="G11" s="42"/>
      <c r="H11" s="42"/>
      <c r="I11" s="42"/>
      <c r="J11" s="42"/>
      <c r="K11" s="42"/>
      <c r="L11" s="26"/>
      <c r="M11" s="26"/>
      <c r="N11" s="31">
        <f t="shared" si="0"/>
        <v>517594</v>
      </c>
    </row>
    <row r="12" spans="1:15" ht="42" customHeight="1" thickBot="1" x14ac:dyDescent="0.3">
      <c r="A12" s="5">
        <v>9</v>
      </c>
      <c r="B12" s="18" t="s">
        <v>62</v>
      </c>
      <c r="C12" s="57">
        <f>250307.94*M3</f>
        <v>250307.94</v>
      </c>
      <c r="D12" s="40">
        <v>712702.06</v>
      </c>
      <c r="E12" s="40"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41"/>
      <c r="M12" s="41"/>
      <c r="N12" s="31">
        <f t="shared" si="0"/>
        <v>972840</v>
      </c>
    </row>
    <row r="13" spans="1:15" ht="35.1" customHeight="1" thickBot="1" x14ac:dyDescent="0.3">
      <c r="A13" s="5">
        <v>10</v>
      </c>
      <c r="B13" s="18" t="s">
        <v>63</v>
      </c>
      <c r="C13" s="57">
        <f>215482.46*M3</f>
        <v>215482.46</v>
      </c>
      <c r="D13" s="40">
        <v>305628.53999999998</v>
      </c>
      <c r="E13" s="40">
        <v>9753</v>
      </c>
      <c r="F13" s="20">
        <f>'[10]1632-2021-2.1.11-ВК КГ №11 - По'!$L$112*L3</f>
        <v>530864</v>
      </c>
      <c r="G13" s="42"/>
      <c r="H13" s="42"/>
      <c r="I13" s="42"/>
      <c r="J13" s="42"/>
      <c r="K13" s="42"/>
      <c r="L13" s="26"/>
      <c r="M13" s="26"/>
      <c r="N13" s="31">
        <f t="shared" si="0"/>
        <v>530864</v>
      </c>
    </row>
    <row r="14" spans="1:15" ht="42" customHeight="1" thickBot="1" x14ac:dyDescent="0.3">
      <c r="A14" s="5">
        <v>11</v>
      </c>
      <c r="B14" s="18" t="s">
        <v>64</v>
      </c>
      <c r="C14" s="57">
        <f>210631.2*M3</f>
        <v>210631.2</v>
      </c>
      <c r="D14" s="40">
        <v>704670.8</v>
      </c>
      <c r="E14" s="40"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41"/>
      <c r="M14" s="41"/>
      <c r="N14" s="31">
        <f t="shared" si="0"/>
        <v>921948</v>
      </c>
    </row>
    <row r="15" spans="1:15" ht="38.25" customHeight="1" thickBot="1" x14ac:dyDescent="0.3">
      <c r="A15" s="5">
        <v>12</v>
      </c>
      <c r="B15" s="18" t="s">
        <v>65</v>
      </c>
      <c r="C15" s="57">
        <f>1661108.39*M3</f>
        <v>1661108.39</v>
      </c>
      <c r="D15" s="40">
        <v>4400658.6100000003</v>
      </c>
      <c r="E15" s="40">
        <v>389447</v>
      </c>
      <c r="F15" s="20">
        <f>[12]свод!$L$279*L3</f>
        <v>0</v>
      </c>
      <c r="G15" s="42"/>
      <c r="H15" s="42"/>
      <c r="I15" s="42"/>
      <c r="J15" s="42"/>
      <c r="K15" s="42"/>
      <c r="L15" s="26"/>
      <c r="M15" s="26"/>
      <c r="N15" s="31">
        <f t="shared" si="0"/>
        <v>6451214</v>
      </c>
      <c r="O15" s="44"/>
    </row>
    <row r="16" spans="1:15" ht="42.75" customHeight="1" thickBot="1" x14ac:dyDescent="0.3">
      <c r="A16" s="5">
        <v>13</v>
      </c>
      <c r="B16" s="18" t="s">
        <v>66</v>
      </c>
      <c r="C16" s="57">
        <f>427555.53*M3</f>
        <v>427555.53</v>
      </c>
      <c r="D16" s="40">
        <v>760673.47</v>
      </c>
      <c r="E16" s="40">
        <v>265006</v>
      </c>
      <c r="F16" s="20">
        <f>'[13]1632-2021-2.2.3-ВК ПС №3 - Полн'!$L$295*L3</f>
        <v>1453235</v>
      </c>
      <c r="G16" s="42"/>
      <c r="H16" s="42"/>
      <c r="I16" s="42"/>
      <c r="J16" s="42"/>
      <c r="K16" s="42"/>
      <c r="L16" s="26"/>
      <c r="M16" s="26"/>
      <c r="N16" s="31">
        <f t="shared" si="0"/>
        <v>1453235</v>
      </c>
    </row>
    <row r="17" spans="1:15" ht="35.1" customHeight="1" thickBot="1" x14ac:dyDescent="0.3">
      <c r="A17" s="5">
        <v>14</v>
      </c>
      <c r="B17" s="60" t="s">
        <v>57</v>
      </c>
      <c r="C17" s="57">
        <f>1029370.28*M3</f>
        <v>1029370.28</v>
      </c>
      <c r="D17" s="40">
        <v>2639261.7200000002</v>
      </c>
      <c r="E17" s="40"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41"/>
      <c r="M17" s="41"/>
      <c r="N17" s="31">
        <f t="shared" si="0"/>
        <v>3901843</v>
      </c>
    </row>
    <row r="18" spans="1:15" ht="66.75" customHeight="1" thickBot="1" x14ac:dyDescent="0.3">
      <c r="A18" s="5">
        <v>15</v>
      </c>
      <c r="B18" s="18" t="s">
        <v>67</v>
      </c>
      <c r="C18" s="57">
        <f>4548109.01*M3</f>
        <v>4548109.01</v>
      </c>
      <c r="D18" s="40">
        <v>917095.99</v>
      </c>
      <c r="E18" s="40">
        <v>367058</v>
      </c>
      <c r="F18" s="20">
        <f>'[15]1632-2021-2.2.5,2.1.13-ВК ПС №5'!$L$303*L3</f>
        <v>5832263</v>
      </c>
      <c r="G18" s="42"/>
      <c r="H18" s="42"/>
      <c r="I18" s="42"/>
      <c r="J18" s="42"/>
      <c r="K18" s="42"/>
      <c r="L18" s="26"/>
      <c r="M18" s="26"/>
      <c r="N18" s="31">
        <f t="shared" si="0"/>
        <v>5832263</v>
      </c>
    </row>
    <row r="19" spans="1:15" ht="41.25" customHeight="1" thickBot="1" x14ac:dyDescent="0.3">
      <c r="A19" s="5">
        <v>16</v>
      </c>
      <c r="B19" s="18" t="s">
        <v>68</v>
      </c>
      <c r="C19" s="57">
        <f>319633.58*M3</f>
        <v>319633.58</v>
      </c>
      <c r="D19" s="40">
        <v>842356.42</v>
      </c>
      <c r="E19" s="40"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41"/>
      <c r="M19" s="41"/>
      <c r="N19" s="31">
        <f t="shared" si="0"/>
        <v>1345214</v>
      </c>
    </row>
    <row r="20" spans="1:15" ht="37.5" customHeight="1" thickBot="1" x14ac:dyDescent="0.3">
      <c r="A20" s="5">
        <v>17</v>
      </c>
      <c r="B20" s="18" t="s">
        <v>69</v>
      </c>
      <c r="C20" s="57">
        <f>332563.16*M3</f>
        <v>332563.15999999997</v>
      </c>
      <c r="D20" s="40">
        <v>1019499.84</v>
      </c>
      <c r="E20" s="40">
        <v>96670</v>
      </c>
      <c r="F20" s="20">
        <f>'[17]1632-2021-2.2.7-ВК ПрС - Полный'!$L$287*L3</f>
        <v>1448733</v>
      </c>
      <c r="G20" s="42"/>
      <c r="H20" s="42"/>
      <c r="I20" s="42"/>
      <c r="J20" s="42"/>
      <c r="K20" s="42"/>
      <c r="L20" s="42"/>
      <c r="M20" s="42"/>
      <c r="N20" s="31">
        <f t="shared" si="0"/>
        <v>1448733</v>
      </c>
    </row>
    <row r="21" spans="1:15" ht="35.1" customHeight="1" thickBot="1" x14ac:dyDescent="0.3">
      <c r="A21" s="5">
        <v>18</v>
      </c>
      <c r="B21" s="18" t="s">
        <v>70</v>
      </c>
      <c r="C21" s="57">
        <f>2180753.41*M3</f>
        <v>2180753.41</v>
      </c>
      <c r="D21" s="40">
        <v>390833.51</v>
      </c>
      <c r="E21" s="40">
        <v>8535.2900000000009</v>
      </c>
      <c r="F21" s="20">
        <f>'[18]свод_ВК,ВС'!$L$356*L3</f>
        <v>0</v>
      </c>
      <c r="G21" s="21"/>
      <c r="H21" s="21"/>
      <c r="I21" s="21"/>
      <c r="J21" s="21"/>
      <c r="K21" s="21"/>
      <c r="L21" s="41"/>
      <c r="M21" s="41"/>
      <c r="N21" s="31">
        <f t="shared" si="0"/>
        <v>2580122.21</v>
      </c>
    </row>
    <row r="22" spans="1:15" ht="35.1" customHeight="1" thickBot="1" x14ac:dyDescent="0.3">
      <c r="A22" s="5">
        <v>19</v>
      </c>
      <c r="B22" s="18" t="s">
        <v>71</v>
      </c>
      <c r="C22" s="57">
        <f>2003276.87*M3</f>
        <v>2003276.87</v>
      </c>
      <c r="D22" s="40">
        <v>430391.9</v>
      </c>
      <c r="E22" s="40">
        <v>8535.2900000000009</v>
      </c>
      <c r="F22" s="20">
        <f>'[19]1632-2021-3.2-ВК Крытый склад №'!$L$354*L3</f>
        <v>2442204.06</v>
      </c>
      <c r="G22" s="42"/>
      <c r="H22" s="42"/>
      <c r="I22" s="42"/>
      <c r="J22" s="42"/>
      <c r="K22" s="42"/>
      <c r="L22" s="26"/>
      <c r="M22" s="26"/>
      <c r="N22" s="31">
        <f t="shared" si="0"/>
        <v>2442204.06</v>
      </c>
    </row>
    <row r="23" spans="1:15" ht="35.1" customHeight="1" thickBot="1" x14ac:dyDescent="0.3">
      <c r="A23" s="5">
        <v>20</v>
      </c>
      <c r="B23" s="18" t="s">
        <v>72</v>
      </c>
      <c r="C23" s="57">
        <f>245898.54*M3</f>
        <v>245898.54</v>
      </c>
      <c r="D23" s="40">
        <v>77803.95</v>
      </c>
      <c r="E23" s="40"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41"/>
      <c r="M23" s="41"/>
      <c r="N23" s="31">
        <f t="shared" si="0"/>
        <v>709934.21</v>
      </c>
    </row>
    <row r="24" spans="1:15" ht="35.1" customHeight="1" thickBot="1" x14ac:dyDescent="0.3">
      <c r="A24" s="5">
        <v>21</v>
      </c>
      <c r="B24" s="18" t="s">
        <v>73</v>
      </c>
      <c r="C24" s="57">
        <f>337715.4*M3</f>
        <v>337715.4</v>
      </c>
      <c r="D24" s="40">
        <v>976022.8</v>
      </c>
      <c r="E24" s="40">
        <v>0</v>
      </c>
      <c r="F24" s="20">
        <f>'[21]1632-2021-3.3-ВС Куп.склады - П'!$L$104*L3</f>
        <v>1313738.2</v>
      </c>
      <c r="G24" s="42"/>
      <c r="H24" s="42"/>
      <c r="I24" s="42"/>
      <c r="J24" s="42"/>
      <c r="K24" s="42"/>
      <c r="L24" s="26"/>
      <c r="M24" s="26"/>
      <c r="N24" s="31">
        <f t="shared" si="0"/>
        <v>1313738.2</v>
      </c>
    </row>
    <row r="25" spans="1:15" ht="46.5" customHeight="1" thickBot="1" x14ac:dyDescent="0.3">
      <c r="A25" s="124">
        <v>22</v>
      </c>
      <c r="B25" s="47" t="s">
        <v>74</v>
      </c>
      <c r="C25" s="58">
        <v>0</v>
      </c>
      <c r="D25" s="49">
        <v>0</v>
      </c>
      <c r="E25" s="49">
        <v>0</v>
      </c>
      <c r="F25" s="50">
        <f>'[22]1632-2021-8.4-ВК - Полный локал'!$L$486*L3</f>
        <v>1598284.39</v>
      </c>
      <c r="G25" s="51"/>
      <c r="H25" s="51"/>
      <c r="I25" s="51"/>
      <c r="J25" s="51"/>
      <c r="K25" s="51"/>
      <c r="L25" s="52"/>
      <c r="M25" s="52"/>
      <c r="N25" s="48">
        <f>C25+D25+E25</f>
        <v>0</v>
      </c>
    </row>
    <row r="26" spans="1:15" ht="35.1" customHeight="1" thickTop="1" thickBot="1" x14ac:dyDescent="0.3">
      <c r="A26" s="53"/>
      <c r="B26" s="54" t="s">
        <v>77</v>
      </c>
      <c r="C26" s="59">
        <f>SUM(C4:C25)</f>
        <v>22159180.969999999</v>
      </c>
      <c r="D26" s="55">
        <f t="shared" ref="D26:L26" si="1">SUM(D4:D25)</f>
        <v>32231507.41</v>
      </c>
      <c r="E26" s="55">
        <f t="shared" si="1"/>
        <v>4591018.3</v>
      </c>
      <c r="F26" s="55">
        <f t="shared" si="1"/>
        <v>51548654.859999999</v>
      </c>
      <c r="G26" s="55">
        <f t="shared" si="1"/>
        <v>0</v>
      </c>
      <c r="H26" s="55">
        <f t="shared" si="1"/>
        <v>0</v>
      </c>
      <c r="I26" s="55">
        <f t="shared" si="1"/>
        <v>0</v>
      </c>
      <c r="J26" s="55">
        <f t="shared" si="1"/>
        <v>0</v>
      </c>
      <c r="K26" s="55">
        <f t="shared" si="1"/>
        <v>0</v>
      </c>
      <c r="L26" s="55">
        <f t="shared" si="1"/>
        <v>0</v>
      </c>
      <c r="M26" s="56"/>
      <c r="N26" s="55">
        <f>SUM(N4:N25)</f>
        <v>58981706.68</v>
      </c>
      <c r="O26" s="44"/>
    </row>
    <row r="27" spans="1:15" ht="35.1" hidden="1" customHeight="1" thickBot="1" x14ac:dyDescent="0.3">
      <c r="A27" s="5">
        <v>24</v>
      </c>
      <c r="B27" s="18"/>
      <c r="C27" s="31">
        <f t="shared" ref="C27" si="2">F27-E27-D27</f>
        <v>0</v>
      </c>
      <c r="D27" s="40">
        <f>'[1]1632-2021-1.1, 1.2-ВК СРВ, Тран'!$L$755*G26*H26*I26*J26*K26*L26*M26</f>
        <v>0</v>
      </c>
      <c r="E27" s="40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41"/>
      <c r="M27" s="41"/>
      <c r="N27" s="31">
        <f t="shared" si="0"/>
        <v>0</v>
      </c>
      <c r="O27" s="44"/>
    </row>
    <row r="28" spans="1:15" ht="29.25" hidden="1" customHeight="1" thickBot="1" x14ac:dyDescent="0.3">
      <c r="A28" s="6"/>
      <c r="B28" s="7" t="s">
        <v>6</v>
      </c>
      <c r="C28" s="177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9"/>
      <c r="O28" s="44"/>
    </row>
    <row r="29" spans="1:15" ht="29.25" customHeight="1" thickBot="1" x14ac:dyDescent="0.3">
      <c r="A29" s="6"/>
      <c r="B29" s="14" t="s">
        <v>40</v>
      </c>
      <c r="C29" s="155">
        <f>C26+D26+E26</f>
        <v>58981706.68</v>
      </c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7"/>
      <c r="O29" s="44"/>
    </row>
    <row r="30" spans="1:15" ht="29.25" customHeight="1" thickBot="1" x14ac:dyDescent="0.3">
      <c r="A30" s="13"/>
      <c r="B30" s="8" t="s">
        <v>7</v>
      </c>
      <c r="C30" s="155">
        <f>C29*0.03</f>
        <v>1769451.2</v>
      </c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7"/>
      <c r="O30" s="44"/>
    </row>
    <row r="31" spans="1:15" ht="29.25" customHeight="1" thickBot="1" x14ac:dyDescent="0.3">
      <c r="A31" s="10"/>
      <c r="B31" s="11" t="s">
        <v>8</v>
      </c>
      <c r="C31" s="158">
        <f>C29+C30</f>
        <v>60751157.880000003</v>
      </c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60"/>
      <c r="O31" s="44"/>
    </row>
    <row r="32" spans="1:15" ht="29.25" customHeight="1" thickBot="1" x14ac:dyDescent="0.3">
      <c r="A32" s="15"/>
      <c r="B32" s="16" t="s">
        <v>49</v>
      </c>
      <c r="C32" s="158">
        <f>C31*1.2</f>
        <v>72901389.459999993</v>
      </c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60"/>
      <c r="O32" s="44"/>
    </row>
    <row r="33" spans="1:15" ht="29.25" customHeight="1" x14ac:dyDescent="0.25">
      <c r="A33" s="132"/>
      <c r="B33" s="130" t="s">
        <v>9</v>
      </c>
      <c r="C33" s="171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3"/>
      <c r="O33" s="44"/>
    </row>
    <row r="34" spans="1:15" ht="57" customHeight="1" thickBot="1" x14ac:dyDescent="0.3">
      <c r="A34" s="133"/>
      <c r="B34" s="131"/>
      <c r="C34" s="144" t="s">
        <v>10</v>
      </c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6"/>
      <c r="O34" s="44"/>
    </row>
    <row r="35" spans="1:15" ht="63.75" customHeight="1" thickBot="1" x14ac:dyDescent="0.3">
      <c r="A35" s="13"/>
      <c r="B35" s="12" t="s">
        <v>11</v>
      </c>
      <c r="C35" s="136" t="s">
        <v>12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8"/>
    </row>
    <row r="36" spans="1:15" ht="51.75" customHeight="1" thickBot="1" x14ac:dyDescent="0.3">
      <c r="A36" s="13"/>
      <c r="B36" s="12" t="s">
        <v>13</v>
      </c>
      <c r="C36" s="136" t="s">
        <v>14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8"/>
    </row>
    <row r="37" spans="1:15" ht="56.25" customHeight="1" thickBot="1" x14ac:dyDescent="0.3">
      <c r="A37" s="13"/>
      <c r="B37" s="12" t="s">
        <v>15</v>
      </c>
      <c r="C37" s="136" t="s">
        <v>16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8"/>
    </row>
    <row r="38" spans="1:15" ht="29.25" customHeight="1" x14ac:dyDescent="0.25">
      <c r="A38" s="132"/>
      <c r="B38" s="130" t="s">
        <v>17</v>
      </c>
      <c r="C38" s="141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3"/>
    </row>
    <row r="39" spans="1:15" ht="29.25" customHeight="1" x14ac:dyDescent="0.25">
      <c r="A39" s="139"/>
      <c r="B39" s="140"/>
      <c r="C39" s="149" t="s">
        <v>18</v>
      </c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1"/>
    </row>
    <row r="40" spans="1:15" ht="29.25" customHeight="1" thickBot="1" x14ac:dyDescent="0.3">
      <c r="A40" s="133"/>
      <c r="B40" s="131"/>
      <c r="C40" s="152" t="s">
        <v>19</v>
      </c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4"/>
    </row>
    <row r="41" spans="1:15" ht="29.25" customHeight="1" thickBot="1" x14ac:dyDescent="0.3">
      <c r="A41" s="13"/>
      <c r="B41" s="12" t="s">
        <v>20</v>
      </c>
      <c r="C41" s="136" t="s">
        <v>21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</row>
    <row r="42" spans="1:15" ht="29.25" customHeight="1" thickBot="1" x14ac:dyDescent="0.3">
      <c r="A42" s="13"/>
      <c r="B42" s="12" t="s">
        <v>22</v>
      </c>
      <c r="C42" s="136" t="s">
        <v>23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</row>
    <row r="43" spans="1:15" ht="29.25" customHeight="1" thickBot="1" x14ac:dyDescent="0.3">
      <c r="A43" s="13"/>
      <c r="B43" s="12" t="s">
        <v>24</v>
      </c>
      <c r="C43" s="136" t="s">
        <v>25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8"/>
    </row>
    <row r="44" spans="1:15" ht="29.25" customHeight="1" thickBot="1" x14ac:dyDescent="0.3">
      <c r="A44" s="13"/>
      <c r="B44" s="12" t="s">
        <v>26</v>
      </c>
      <c r="C44" s="136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</sheetData>
  <mergeCells count="32">
    <mergeCell ref="C41:N41"/>
    <mergeCell ref="C42:N42"/>
    <mergeCell ref="C43:N43"/>
    <mergeCell ref="C44:N44"/>
    <mergeCell ref="M1:M2"/>
    <mergeCell ref="C34:N34"/>
    <mergeCell ref="C35:N35"/>
    <mergeCell ref="C36:N36"/>
    <mergeCell ref="C37:N37"/>
    <mergeCell ref="C28:N28"/>
    <mergeCell ref="C29:N29"/>
    <mergeCell ref="C30:N30"/>
    <mergeCell ref="C31:N31"/>
    <mergeCell ref="C32:N32"/>
    <mergeCell ref="C1:E1"/>
    <mergeCell ref="A38:A40"/>
    <mergeCell ref="B38:B40"/>
    <mergeCell ref="C38:N38"/>
    <mergeCell ref="C39:N39"/>
    <mergeCell ref="C40:N40"/>
    <mergeCell ref="A33:A34"/>
    <mergeCell ref="B33:B34"/>
    <mergeCell ref="C33:N33"/>
    <mergeCell ref="H1:H2"/>
    <mergeCell ref="I1:I2"/>
    <mergeCell ref="J1:J2"/>
    <mergeCell ref="K1:K2"/>
    <mergeCell ref="L1:L2"/>
    <mergeCell ref="N1:N2"/>
    <mergeCell ref="A1:A2"/>
    <mergeCell ref="B1:B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5"/>
  <sheetViews>
    <sheetView tabSelected="1" topLeftCell="A4" zoomScale="85" zoomScaleNormal="85" workbookViewId="0">
      <selection activeCell="K23" sqref="K23:K24"/>
    </sheetView>
  </sheetViews>
  <sheetFormatPr defaultColWidth="8.85546875" defaultRowHeight="12.75" outlineLevelCol="1" x14ac:dyDescent="0.2"/>
  <cols>
    <col min="1" max="1" width="7" style="94" customWidth="1"/>
    <col min="2" max="2" width="35.5703125" style="83" customWidth="1"/>
    <col min="3" max="3" width="68.42578125" style="77" customWidth="1"/>
    <col min="4" max="4" width="30.7109375" style="77" customWidth="1"/>
    <col min="5" max="5" width="18" style="67" customWidth="1"/>
    <col min="6" max="7" width="18" style="67" customWidth="1" outlineLevel="1"/>
    <col min="8" max="8" width="18" style="67" customWidth="1"/>
    <col min="9" max="9" width="22.5703125" style="67" customWidth="1" outlineLevel="1"/>
    <col min="10" max="10" width="22.85546875" style="67" customWidth="1" outlineLevel="1"/>
    <col min="11" max="11" width="22.85546875" style="67" customWidth="1"/>
    <col min="12" max="12" width="22.5703125" style="67" customWidth="1" outlineLevel="1"/>
    <col min="13" max="13" width="22.85546875" style="67" customWidth="1" outlineLevel="1"/>
    <col min="14" max="14" width="22.85546875" style="67" customWidth="1"/>
    <col min="15" max="15" width="22.5703125" style="67" customWidth="1" outlineLevel="1"/>
    <col min="16" max="16" width="22.85546875" style="67" customWidth="1" outlineLevel="1"/>
    <col min="17" max="17" width="22.85546875" style="67" customWidth="1"/>
    <col min="18" max="18" width="14.140625" style="67" customWidth="1"/>
    <col min="19" max="19" width="39.140625" style="67" customWidth="1"/>
    <col min="20" max="22" width="8.85546875" style="67"/>
    <col min="23" max="23" width="43.5703125" style="67" customWidth="1"/>
    <col min="24" max="16384" width="8.85546875" style="67"/>
  </cols>
  <sheetData>
    <row r="1" spans="1:24" ht="20.25" customHeight="1" x14ac:dyDescent="0.2">
      <c r="A1" s="62"/>
      <c r="B1" s="63"/>
      <c r="C1" s="64"/>
      <c r="D1" s="64"/>
      <c r="E1" s="65"/>
      <c r="F1" s="65"/>
      <c r="G1" s="65"/>
      <c r="H1" s="65"/>
      <c r="I1" s="65"/>
      <c r="J1" s="66"/>
      <c r="K1" s="115"/>
      <c r="L1" s="65"/>
      <c r="M1" s="66" t="s">
        <v>79</v>
      </c>
      <c r="N1" s="120"/>
      <c r="O1" s="65"/>
      <c r="P1" s="66"/>
      <c r="Q1" s="120"/>
    </row>
    <row r="2" spans="1:24" ht="28.5" customHeight="1" x14ac:dyDescent="0.2">
      <c r="A2" s="205" t="s">
        <v>80</v>
      </c>
      <c r="B2" s="206"/>
      <c r="C2" s="206"/>
      <c r="D2" s="206"/>
      <c r="E2" s="206"/>
      <c r="F2" s="206"/>
      <c r="G2" s="206"/>
      <c r="H2" s="206"/>
      <c r="I2" s="206"/>
      <c r="J2" s="207"/>
      <c r="K2" s="96"/>
      <c r="L2" s="96"/>
      <c r="M2" s="96"/>
      <c r="N2" s="96"/>
      <c r="O2" s="96"/>
      <c r="P2" s="96"/>
      <c r="Q2" s="96"/>
      <c r="T2" s="68"/>
      <c r="U2" s="68"/>
      <c r="V2" s="68"/>
      <c r="W2" s="68"/>
    </row>
    <row r="3" spans="1:24" ht="36" customHeight="1" x14ac:dyDescent="0.2">
      <c r="A3" s="208" t="s">
        <v>81</v>
      </c>
      <c r="B3" s="209"/>
      <c r="C3" s="210" t="s">
        <v>82</v>
      </c>
      <c r="D3" s="210"/>
      <c r="E3" s="210"/>
      <c r="F3" s="210"/>
      <c r="G3" s="210"/>
      <c r="H3" s="210"/>
      <c r="I3" s="210"/>
      <c r="J3" s="211"/>
      <c r="K3" s="97"/>
      <c r="L3" s="97"/>
      <c r="M3" s="97"/>
      <c r="N3" s="97"/>
      <c r="O3" s="97"/>
      <c r="P3" s="97"/>
      <c r="Q3" s="97"/>
      <c r="R3" s="186" t="s">
        <v>83</v>
      </c>
      <c r="S3" s="187"/>
      <c r="T3" s="187"/>
      <c r="U3" s="187"/>
      <c r="V3" s="68"/>
      <c r="W3" s="68"/>
    </row>
    <row r="4" spans="1:24" ht="18.75" x14ac:dyDescent="0.3">
      <c r="A4" s="188" t="s">
        <v>84</v>
      </c>
      <c r="B4" s="189"/>
      <c r="C4" s="69"/>
      <c r="D4" s="69"/>
      <c r="E4" s="70"/>
      <c r="F4" s="70"/>
      <c r="G4" s="70"/>
      <c r="H4" s="70"/>
      <c r="I4" s="71"/>
      <c r="J4" s="72"/>
      <c r="K4" s="116"/>
      <c r="L4" s="71"/>
      <c r="M4" s="72"/>
      <c r="N4" s="116"/>
      <c r="O4" s="71"/>
      <c r="P4" s="72"/>
      <c r="Q4" s="116"/>
      <c r="R4" s="71"/>
      <c r="S4" s="73"/>
      <c r="T4" s="74"/>
      <c r="U4" s="75"/>
      <c r="V4" s="75"/>
      <c r="W4" s="75"/>
      <c r="X4" s="75"/>
    </row>
    <row r="5" spans="1:24" ht="15.75" x14ac:dyDescent="0.25">
      <c r="A5" s="191" t="s">
        <v>85</v>
      </c>
      <c r="B5" s="192"/>
      <c r="C5" s="76"/>
      <c r="J5" s="78"/>
      <c r="K5" s="117"/>
      <c r="M5" s="78"/>
      <c r="N5" s="117"/>
      <c r="P5" s="78"/>
      <c r="Q5" s="117"/>
      <c r="S5" s="73"/>
      <c r="T5" s="79"/>
      <c r="U5" s="79"/>
      <c r="V5" s="79"/>
      <c r="W5" s="79"/>
      <c r="X5" s="79"/>
    </row>
    <row r="6" spans="1:24" ht="18.75" x14ac:dyDescent="0.3">
      <c r="A6" s="191" t="s">
        <v>86</v>
      </c>
      <c r="B6" s="192"/>
      <c r="C6" s="80"/>
      <c r="D6" s="69"/>
      <c r="E6" s="70"/>
      <c r="F6" s="70"/>
      <c r="G6" s="70"/>
      <c r="H6" s="70"/>
      <c r="J6" s="81"/>
      <c r="K6" s="118"/>
      <c r="M6" s="81"/>
      <c r="N6" s="118"/>
      <c r="P6" s="81"/>
      <c r="Q6" s="118"/>
      <c r="S6" s="73"/>
      <c r="T6" s="79"/>
      <c r="U6" s="79"/>
      <c r="V6" s="79"/>
      <c r="W6" s="79"/>
      <c r="X6" s="79"/>
    </row>
    <row r="7" spans="1:24" x14ac:dyDescent="0.2">
      <c r="A7" s="82"/>
      <c r="I7" s="216"/>
      <c r="J7" s="217"/>
      <c r="K7" s="119"/>
      <c r="M7" s="78"/>
      <c r="N7" s="117"/>
      <c r="P7" s="78"/>
      <c r="Q7" s="117"/>
    </row>
    <row r="8" spans="1:24" ht="46.9" customHeight="1" x14ac:dyDescent="0.2">
      <c r="A8" s="84" t="s">
        <v>87</v>
      </c>
      <c r="B8" s="106" t="s">
        <v>88</v>
      </c>
      <c r="C8" s="185" t="s">
        <v>89</v>
      </c>
      <c r="D8" s="193"/>
      <c r="E8" s="193"/>
      <c r="F8" s="193" t="s">
        <v>274</v>
      </c>
      <c r="G8" s="193"/>
      <c r="H8" s="193"/>
      <c r="I8" s="185" t="s">
        <v>273</v>
      </c>
      <c r="J8" s="185"/>
      <c r="K8" s="185"/>
      <c r="L8" s="185" t="s">
        <v>276</v>
      </c>
      <c r="M8" s="185"/>
      <c r="N8" s="185"/>
      <c r="O8" s="185" t="s">
        <v>275</v>
      </c>
      <c r="P8" s="185"/>
      <c r="Q8" s="185"/>
    </row>
    <row r="9" spans="1:24" ht="27.75" hidden="1" customHeight="1" x14ac:dyDescent="0.2">
      <c r="A9" s="84"/>
      <c r="B9" s="106"/>
      <c r="C9" s="106"/>
      <c r="D9" s="108"/>
      <c r="E9" s="108"/>
      <c r="F9" s="108"/>
      <c r="G9" s="108"/>
      <c r="H9" s="108"/>
      <c r="I9" s="106"/>
      <c r="J9" s="106"/>
      <c r="K9" s="106"/>
      <c r="L9" s="106"/>
      <c r="M9" s="106"/>
      <c r="N9" s="106"/>
      <c r="O9" s="106"/>
      <c r="P9" s="106"/>
      <c r="Q9" s="106"/>
    </row>
    <row r="10" spans="1:24" ht="26.25" customHeight="1" x14ac:dyDescent="0.2">
      <c r="A10" s="85"/>
      <c r="B10" s="86"/>
      <c r="C10" s="87" t="s">
        <v>90</v>
      </c>
      <c r="D10" s="87" t="s">
        <v>91</v>
      </c>
      <c r="E10" s="87" t="s">
        <v>92</v>
      </c>
      <c r="F10" s="87" t="s">
        <v>41</v>
      </c>
      <c r="G10" s="87" t="s">
        <v>269</v>
      </c>
      <c r="H10" s="87" t="s">
        <v>270</v>
      </c>
      <c r="I10" s="88" t="s">
        <v>41</v>
      </c>
      <c r="J10" s="88" t="s">
        <v>4</v>
      </c>
      <c r="K10" s="88" t="s">
        <v>271</v>
      </c>
      <c r="L10" s="88" t="s">
        <v>41</v>
      </c>
      <c r="M10" s="88" t="s">
        <v>4</v>
      </c>
      <c r="N10" s="88" t="s">
        <v>271</v>
      </c>
      <c r="O10" s="88" t="s">
        <v>41</v>
      </c>
      <c r="P10" s="88" t="s">
        <v>4</v>
      </c>
      <c r="Q10" s="88" t="s">
        <v>271</v>
      </c>
    </row>
    <row r="11" spans="1:24" ht="30" x14ac:dyDescent="0.2">
      <c r="A11" s="194">
        <v>1</v>
      </c>
      <c r="B11" s="197" t="s">
        <v>93</v>
      </c>
      <c r="C11" s="110" t="s">
        <v>94</v>
      </c>
      <c r="D11" s="110" t="s">
        <v>95</v>
      </c>
      <c r="E11" s="89" t="s">
        <v>96</v>
      </c>
      <c r="F11" s="222">
        <v>479242.56</v>
      </c>
      <c r="G11" s="222">
        <v>2616904.09</v>
      </c>
      <c r="H11" s="222">
        <f>F11+G11</f>
        <v>3096146.65</v>
      </c>
      <c r="I11" s="114">
        <v>1040951.9</v>
      </c>
      <c r="J11" s="114">
        <v>2477953.12</v>
      </c>
      <c r="K11" s="114">
        <f>I11+J11</f>
        <v>3518905.02</v>
      </c>
      <c r="L11" s="98"/>
      <c r="M11" s="98"/>
      <c r="N11" s="98"/>
      <c r="O11" s="123"/>
      <c r="P11" s="123">
        <v>1662016.88</v>
      </c>
      <c r="Q11" s="123"/>
    </row>
    <row r="12" spans="1:24" ht="30" x14ac:dyDescent="0.2">
      <c r="A12" s="195"/>
      <c r="B12" s="197"/>
      <c r="C12" s="110" t="s">
        <v>97</v>
      </c>
      <c r="D12" s="110" t="s">
        <v>98</v>
      </c>
      <c r="E12" s="89" t="s">
        <v>99</v>
      </c>
      <c r="F12" s="222">
        <v>526712.63</v>
      </c>
      <c r="G12" s="222">
        <v>2403932.2400000002</v>
      </c>
      <c r="H12" s="222">
        <f>F12+G12</f>
        <v>2930644.87</v>
      </c>
      <c r="I12" s="114">
        <v>1185151.8999999999</v>
      </c>
      <c r="J12" s="114">
        <v>2916448.12</v>
      </c>
      <c r="K12" s="114">
        <f t="shared" ref="K12:K58" si="0">I12+J12</f>
        <v>4101600.02</v>
      </c>
      <c r="L12" s="98"/>
      <c r="M12" s="98"/>
      <c r="N12" s="98"/>
      <c r="O12" s="123"/>
      <c r="P12" s="123">
        <v>1967960.63</v>
      </c>
      <c r="Q12" s="123"/>
    </row>
    <row r="13" spans="1:24" ht="15" x14ac:dyDescent="0.2">
      <c r="A13" s="195"/>
      <c r="B13" s="197"/>
      <c r="C13" s="190" t="s">
        <v>100</v>
      </c>
      <c r="D13" s="190" t="s">
        <v>101</v>
      </c>
      <c r="E13" s="89" t="s">
        <v>102</v>
      </c>
      <c r="F13" s="222"/>
      <c r="G13" s="222"/>
      <c r="H13" s="223"/>
      <c r="I13" s="114"/>
      <c r="J13" s="114"/>
      <c r="K13" s="114">
        <f t="shared" si="0"/>
        <v>0</v>
      </c>
      <c r="L13" s="183">
        <v>10120000</v>
      </c>
      <c r="M13" s="183">
        <v>10240000</v>
      </c>
      <c r="N13" s="183">
        <f>L13+M13</f>
        <v>20360000</v>
      </c>
      <c r="O13" s="204"/>
      <c r="P13" s="204">
        <v>13024323.75</v>
      </c>
      <c r="Q13" s="204">
        <f>O13+P13</f>
        <v>13024323.75</v>
      </c>
    </row>
    <row r="14" spans="1:24" ht="15" x14ac:dyDescent="0.2">
      <c r="A14" s="195"/>
      <c r="B14" s="197"/>
      <c r="C14" s="190"/>
      <c r="D14" s="190"/>
      <c r="E14" s="89" t="s">
        <v>103</v>
      </c>
      <c r="F14" s="222"/>
      <c r="G14" s="222"/>
      <c r="H14" s="223"/>
      <c r="I14" s="114"/>
      <c r="J14" s="114"/>
      <c r="K14" s="114">
        <f t="shared" si="0"/>
        <v>0</v>
      </c>
      <c r="L14" s="183"/>
      <c r="M14" s="183"/>
      <c r="N14" s="183">
        <f t="shared" ref="N14:N59" si="1">L14+M14</f>
        <v>0</v>
      </c>
      <c r="O14" s="204"/>
      <c r="P14" s="204"/>
      <c r="Q14" s="204">
        <f t="shared" ref="Q14:Q59" si="2">O14+P14</f>
        <v>0</v>
      </c>
    </row>
    <row r="15" spans="1:24" ht="30" x14ac:dyDescent="0.2">
      <c r="A15" s="195"/>
      <c r="B15" s="197"/>
      <c r="C15" s="110" t="s">
        <v>104</v>
      </c>
      <c r="D15" s="110" t="s">
        <v>105</v>
      </c>
      <c r="E15" s="89" t="s">
        <v>106</v>
      </c>
      <c r="F15" s="222">
        <v>1171227.3600000001</v>
      </c>
      <c r="G15" s="222">
        <v>405258.48</v>
      </c>
      <c r="H15" s="222">
        <f>F15+G15</f>
        <v>1576485.84</v>
      </c>
      <c r="I15" s="114">
        <v>755909.84</v>
      </c>
      <c r="J15" s="114">
        <v>388101.63</v>
      </c>
      <c r="K15" s="114">
        <f t="shared" si="0"/>
        <v>1144011.47</v>
      </c>
      <c r="L15" s="98"/>
      <c r="M15" s="98"/>
      <c r="N15" s="98">
        <f t="shared" si="1"/>
        <v>0</v>
      </c>
      <c r="O15" s="123"/>
      <c r="P15" s="123"/>
      <c r="Q15" s="123">
        <f t="shared" si="2"/>
        <v>0</v>
      </c>
    </row>
    <row r="16" spans="1:24" ht="15" x14ac:dyDescent="0.2">
      <c r="A16" s="195"/>
      <c r="B16" s="197"/>
      <c r="C16" s="107" t="s">
        <v>107</v>
      </c>
      <c r="D16" s="107" t="s">
        <v>108</v>
      </c>
      <c r="E16" s="89" t="s">
        <v>109</v>
      </c>
      <c r="F16" s="222">
        <v>894177.29</v>
      </c>
      <c r="G16" s="222">
        <v>1023763.98</v>
      </c>
      <c r="H16" s="222">
        <f t="shared" ref="H16:H17" si="3">F16+G16</f>
        <v>1917941.27</v>
      </c>
      <c r="I16" s="114"/>
      <c r="J16" s="114"/>
      <c r="K16" s="114">
        <f t="shared" si="0"/>
        <v>0</v>
      </c>
      <c r="L16" s="98">
        <v>11140000</v>
      </c>
      <c r="M16" s="98">
        <v>10800000</v>
      </c>
      <c r="N16" s="98">
        <f t="shared" si="1"/>
        <v>21940000</v>
      </c>
      <c r="O16" s="123"/>
      <c r="P16" s="123">
        <v>13680750</v>
      </c>
      <c r="Q16" s="123">
        <f t="shared" si="2"/>
        <v>13680750</v>
      </c>
    </row>
    <row r="17" spans="1:19" ht="30" x14ac:dyDescent="0.2">
      <c r="A17" s="195"/>
      <c r="B17" s="197"/>
      <c r="C17" s="110" t="s">
        <v>110</v>
      </c>
      <c r="D17" s="110" t="s">
        <v>111</v>
      </c>
      <c r="E17" s="89" t="s">
        <v>112</v>
      </c>
      <c r="F17" s="222">
        <v>1469256.76</v>
      </c>
      <c r="G17" s="222">
        <v>371280.44</v>
      </c>
      <c r="H17" s="222">
        <f t="shared" si="3"/>
        <v>1840537.2</v>
      </c>
      <c r="I17" s="114">
        <v>3087812</v>
      </c>
      <c r="J17" s="114">
        <v>2113572.7799999998</v>
      </c>
      <c r="K17" s="114">
        <f t="shared" si="0"/>
        <v>5201384.78</v>
      </c>
      <c r="L17" s="98"/>
      <c r="M17" s="98"/>
      <c r="N17" s="98">
        <f t="shared" si="1"/>
        <v>0</v>
      </c>
      <c r="O17" s="123"/>
      <c r="P17" s="123">
        <v>1769409.38</v>
      </c>
      <c r="Q17" s="123">
        <f t="shared" si="2"/>
        <v>1769409.38</v>
      </c>
    </row>
    <row r="18" spans="1:19" ht="15" x14ac:dyDescent="0.2">
      <c r="A18" s="195"/>
      <c r="B18" s="197"/>
      <c r="C18" s="107" t="s">
        <v>113</v>
      </c>
      <c r="D18" s="107" t="s">
        <v>114</v>
      </c>
      <c r="E18" s="89" t="s">
        <v>115</v>
      </c>
      <c r="F18" s="222"/>
      <c r="G18" s="223"/>
      <c r="H18" s="223"/>
      <c r="I18" s="114"/>
      <c r="J18" s="114"/>
      <c r="K18" s="114">
        <f t="shared" si="0"/>
        <v>0</v>
      </c>
      <c r="L18" s="98">
        <v>820000</v>
      </c>
      <c r="M18" s="98">
        <v>860000</v>
      </c>
      <c r="N18" s="98">
        <f t="shared" si="1"/>
        <v>1680000</v>
      </c>
      <c r="O18" s="123"/>
      <c r="P18" s="123">
        <v>839576.25</v>
      </c>
      <c r="Q18" s="123">
        <f t="shared" si="2"/>
        <v>839576.25</v>
      </c>
    </row>
    <row r="19" spans="1:19" ht="25.5" customHeight="1" x14ac:dyDescent="0.2">
      <c r="A19" s="195"/>
      <c r="B19" s="197"/>
      <c r="C19" s="198" t="s">
        <v>116</v>
      </c>
      <c r="D19" s="198" t="s">
        <v>117</v>
      </c>
      <c r="E19" s="90" t="s">
        <v>118</v>
      </c>
      <c r="F19" s="224">
        <v>1331140.3999999999</v>
      </c>
      <c r="G19" s="224">
        <v>449470</v>
      </c>
      <c r="H19" s="225">
        <f>F19+G19</f>
        <v>1780610.4</v>
      </c>
      <c r="I19" s="203">
        <v>3413886.5</v>
      </c>
      <c r="J19" s="203">
        <v>2251058.64</v>
      </c>
      <c r="K19" s="203">
        <f t="shared" si="0"/>
        <v>5664945.1399999997</v>
      </c>
      <c r="L19" s="183"/>
      <c r="M19" s="183"/>
      <c r="N19" s="183">
        <f t="shared" si="1"/>
        <v>0</v>
      </c>
      <c r="O19" s="204"/>
      <c r="P19" s="204">
        <v>1900736.25</v>
      </c>
      <c r="Q19" s="204">
        <f t="shared" si="2"/>
        <v>1900736.25</v>
      </c>
    </row>
    <row r="20" spans="1:19" ht="26.25" customHeight="1" x14ac:dyDescent="0.2">
      <c r="A20" s="195"/>
      <c r="B20" s="197"/>
      <c r="C20" s="198"/>
      <c r="D20" s="198"/>
      <c r="E20" s="90" t="s">
        <v>119</v>
      </c>
      <c r="F20" s="224"/>
      <c r="G20" s="224"/>
      <c r="H20" s="225"/>
      <c r="I20" s="203"/>
      <c r="J20" s="203"/>
      <c r="K20" s="203"/>
      <c r="L20" s="183"/>
      <c r="M20" s="183"/>
      <c r="N20" s="183">
        <f t="shared" si="1"/>
        <v>0</v>
      </c>
      <c r="O20" s="204"/>
      <c r="P20" s="204"/>
      <c r="Q20" s="204">
        <f t="shared" si="2"/>
        <v>0</v>
      </c>
    </row>
    <row r="21" spans="1:19" ht="36" customHeight="1" x14ac:dyDescent="0.2">
      <c r="A21" s="195"/>
      <c r="B21" s="197"/>
      <c r="C21" s="199" t="s">
        <v>120</v>
      </c>
      <c r="D21" s="198" t="s">
        <v>121</v>
      </c>
      <c r="E21" s="90" t="s">
        <v>122</v>
      </c>
      <c r="F21" s="224">
        <v>2730563.34</v>
      </c>
      <c r="G21" s="224">
        <v>758437.86</v>
      </c>
      <c r="H21" s="225">
        <f t="shared" ref="H21" si="4">F21+G21</f>
        <v>3489001.2</v>
      </c>
      <c r="I21" s="203">
        <v>6399426.5999999996</v>
      </c>
      <c r="J21" s="203">
        <v>3451804.35</v>
      </c>
      <c r="K21" s="203">
        <f t="shared" si="0"/>
        <v>9851230.9499999993</v>
      </c>
      <c r="L21" s="183"/>
      <c r="M21" s="183"/>
      <c r="N21" s="183">
        <f t="shared" si="1"/>
        <v>0</v>
      </c>
      <c r="O21" s="204"/>
      <c r="P21" s="204">
        <v>2961618.75</v>
      </c>
      <c r="Q21" s="204">
        <f t="shared" si="2"/>
        <v>2961618.75</v>
      </c>
      <c r="R21" s="200" t="s">
        <v>123</v>
      </c>
      <c r="S21" s="201"/>
    </row>
    <row r="22" spans="1:19" ht="27" customHeight="1" x14ac:dyDescent="0.2">
      <c r="A22" s="195"/>
      <c r="B22" s="197"/>
      <c r="C22" s="199"/>
      <c r="D22" s="198"/>
      <c r="E22" s="90" t="s">
        <v>124</v>
      </c>
      <c r="F22" s="224"/>
      <c r="G22" s="224"/>
      <c r="H22" s="225"/>
      <c r="I22" s="203"/>
      <c r="J22" s="203"/>
      <c r="K22" s="203"/>
      <c r="L22" s="183"/>
      <c r="M22" s="183"/>
      <c r="N22" s="183">
        <f t="shared" si="1"/>
        <v>0</v>
      </c>
      <c r="O22" s="204"/>
      <c r="P22" s="204"/>
      <c r="Q22" s="204">
        <f t="shared" si="2"/>
        <v>0</v>
      </c>
      <c r="R22" s="200"/>
      <c r="S22" s="201"/>
    </row>
    <row r="23" spans="1:19" ht="36" customHeight="1" x14ac:dyDescent="0.2">
      <c r="A23" s="195"/>
      <c r="B23" s="197"/>
      <c r="C23" s="202" t="s">
        <v>125</v>
      </c>
      <c r="D23" s="198" t="s">
        <v>126</v>
      </c>
      <c r="E23" s="90" t="s">
        <v>127</v>
      </c>
      <c r="F23" s="224">
        <v>3125412.49</v>
      </c>
      <c r="G23" s="224">
        <v>908173.91</v>
      </c>
      <c r="H23" s="225">
        <f t="shared" ref="H23" si="5">F23+G23</f>
        <v>4033586.4</v>
      </c>
      <c r="I23" s="203">
        <v>7253806.5999999996</v>
      </c>
      <c r="J23" s="203">
        <v>4214091.43</v>
      </c>
      <c r="K23" s="203">
        <f t="shared" si="0"/>
        <v>11467898.029999999</v>
      </c>
      <c r="L23" s="183"/>
      <c r="M23" s="183"/>
      <c r="N23" s="183">
        <f t="shared" si="1"/>
        <v>0</v>
      </c>
      <c r="O23" s="204"/>
      <c r="P23" s="204">
        <v>3583912.5</v>
      </c>
      <c r="Q23" s="204">
        <f t="shared" si="2"/>
        <v>3583912.5</v>
      </c>
    </row>
    <row r="24" spans="1:19" ht="58.5" customHeight="1" x14ac:dyDescent="0.2">
      <c r="A24" s="195"/>
      <c r="B24" s="197"/>
      <c r="C24" s="202"/>
      <c r="D24" s="198"/>
      <c r="E24" s="90" t="s">
        <v>128</v>
      </c>
      <c r="F24" s="224"/>
      <c r="G24" s="224"/>
      <c r="H24" s="225"/>
      <c r="I24" s="203"/>
      <c r="J24" s="203"/>
      <c r="K24" s="203"/>
      <c r="L24" s="183"/>
      <c r="M24" s="183"/>
      <c r="N24" s="183">
        <f t="shared" si="1"/>
        <v>0</v>
      </c>
      <c r="O24" s="204"/>
      <c r="P24" s="204"/>
      <c r="Q24" s="204">
        <f t="shared" si="2"/>
        <v>0</v>
      </c>
      <c r="R24" s="200" t="s">
        <v>129</v>
      </c>
      <c r="S24" s="201"/>
    </row>
    <row r="25" spans="1:19" ht="15" x14ac:dyDescent="0.2">
      <c r="A25" s="195"/>
      <c r="B25" s="197"/>
      <c r="C25" s="190" t="s">
        <v>130</v>
      </c>
      <c r="D25" s="190" t="s">
        <v>131</v>
      </c>
      <c r="E25" s="89" t="s">
        <v>132</v>
      </c>
      <c r="F25" s="223"/>
      <c r="G25" s="223"/>
      <c r="H25" s="223"/>
      <c r="I25" s="114"/>
      <c r="J25" s="114"/>
      <c r="K25" s="114">
        <f t="shared" si="0"/>
        <v>0</v>
      </c>
      <c r="L25" s="183">
        <v>2830000</v>
      </c>
      <c r="M25" s="183">
        <v>3120000</v>
      </c>
      <c r="N25" s="183">
        <f t="shared" si="1"/>
        <v>5950000</v>
      </c>
      <c r="O25" s="204"/>
      <c r="P25" s="204">
        <v>2730322.5</v>
      </c>
      <c r="Q25" s="204">
        <f t="shared" si="2"/>
        <v>2730322.5</v>
      </c>
    </row>
    <row r="26" spans="1:19" ht="15" x14ac:dyDescent="0.2">
      <c r="A26" s="195"/>
      <c r="B26" s="197"/>
      <c r="C26" s="190"/>
      <c r="D26" s="190"/>
      <c r="E26" s="89" t="s">
        <v>133</v>
      </c>
      <c r="F26" s="223"/>
      <c r="G26" s="223"/>
      <c r="H26" s="223"/>
      <c r="I26" s="114"/>
      <c r="J26" s="114"/>
      <c r="K26" s="114">
        <f t="shared" si="0"/>
        <v>0</v>
      </c>
      <c r="L26" s="183"/>
      <c r="M26" s="183"/>
      <c r="N26" s="183">
        <f t="shared" si="1"/>
        <v>0</v>
      </c>
      <c r="O26" s="204"/>
      <c r="P26" s="204"/>
      <c r="Q26" s="204">
        <f t="shared" si="2"/>
        <v>0</v>
      </c>
    </row>
    <row r="27" spans="1:19" ht="30" x14ac:dyDescent="0.2">
      <c r="A27" s="195"/>
      <c r="B27" s="197"/>
      <c r="C27" s="110" t="s">
        <v>134</v>
      </c>
      <c r="D27" s="110" t="s">
        <v>135</v>
      </c>
      <c r="E27" s="89" t="s">
        <v>136</v>
      </c>
      <c r="F27" s="222">
        <v>1600072</v>
      </c>
      <c r="G27" s="222">
        <v>1435959.2</v>
      </c>
      <c r="H27" s="222">
        <f>F27+G27</f>
        <v>3036031.2</v>
      </c>
      <c r="I27" s="114">
        <v>10319282</v>
      </c>
      <c r="J27" s="114">
        <v>6259273.7599999998</v>
      </c>
      <c r="K27" s="114">
        <f t="shared" si="0"/>
        <v>16578555.76</v>
      </c>
      <c r="L27" s="98"/>
      <c r="M27" s="98"/>
      <c r="N27" s="98">
        <f t="shared" si="1"/>
        <v>0</v>
      </c>
      <c r="O27" s="123"/>
      <c r="P27" s="123">
        <v>6303273.75</v>
      </c>
      <c r="Q27" s="123">
        <f t="shared" si="2"/>
        <v>6303273.75</v>
      </c>
    </row>
    <row r="28" spans="1:19" ht="15" x14ac:dyDescent="0.2">
      <c r="A28" s="195"/>
      <c r="B28" s="197"/>
      <c r="C28" s="190" t="s">
        <v>137</v>
      </c>
      <c r="D28" s="190" t="s">
        <v>138</v>
      </c>
      <c r="E28" s="89" t="s">
        <v>139</v>
      </c>
      <c r="F28" s="222"/>
      <c r="G28" s="222"/>
      <c r="H28" s="223"/>
      <c r="I28" s="114"/>
      <c r="J28" s="114"/>
      <c r="K28" s="114">
        <f t="shared" si="0"/>
        <v>0</v>
      </c>
      <c r="L28" s="183">
        <v>4420000</v>
      </c>
      <c r="M28" s="183">
        <v>4660000</v>
      </c>
      <c r="N28" s="183">
        <f t="shared" si="1"/>
        <v>9080000</v>
      </c>
      <c r="O28" s="204"/>
      <c r="P28" s="204">
        <v>7730733.75</v>
      </c>
      <c r="Q28" s="204">
        <f t="shared" si="2"/>
        <v>7730733.75</v>
      </c>
    </row>
    <row r="29" spans="1:19" ht="15" x14ac:dyDescent="0.2">
      <c r="A29" s="195"/>
      <c r="B29" s="197"/>
      <c r="C29" s="190"/>
      <c r="D29" s="190"/>
      <c r="E29" s="89" t="s">
        <v>140</v>
      </c>
      <c r="F29" s="222"/>
      <c r="G29" s="222"/>
      <c r="H29" s="223"/>
      <c r="I29" s="114"/>
      <c r="J29" s="114"/>
      <c r="K29" s="114">
        <f t="shared" si="0"/>
        <v>0</v>
      </c>
      <c r="L29" s="183"/>
      <c r="M29" s="183"/>
      <c r="N29" s="183">
        <f t="shared" si="1"/>
        <v>0</v>
      </c>
      <c r="O29" s="204"/>
      <c r="P29" s="204"/>
      <c r="Q29" s="204">
        <f t="shared" si="2"/>
        <v>0</v>
      </c>
    </row>
    <row r="30" spans="1:19" ht="30" x14ac:dyDescent="0.2">
      <c r="A30" s="195"/>
      <c r="B30" s="197"/>
      <c r="C30" s="110" t="s">
        <v>141</v>
      </c>
      <c r="D30" s="110" t="s">
        <v>142</v>
      </c>
      <c r="E30" s="89" t="s">
        <v>143</v>
      </c>
      <c r="F30" s="222">
        <v>360341.83</v>
      </c>
      <c r="G30" s="222">
        <v>260770.97</v>
      </c>
      <c r="H30" s="222">
        <f>F30+G30</f>
        <v>621112.80000000005</v>
      </c>
      <c r="I30" s="114">
        <v>1913729</v>
      </c>
      <c r="J30" s="114">
        <v>1478407.35</v>
      </c>
      <c r="K30" s="114">
        <f t="shared" si="0"/>
        <v>3392136.35</v>
      </c>
      <c r="L30" s="98"/>
      <c r="M30" s="98"/>
      <c r="N30" s="98">
        <f t="shared" si="1"/>
        <v>0</v>
      </c>
      <c r="O30" s="123"/>
      <c r="P30" s="123">
        <v>1194915</v>
      </c>
      <c r="Q30" s="123">
        <f t="shared" si="2"/>
        <v>1194915</v>
      </c>
      <c r="R30" s="67" t="s">
        <v>144</v>
      </c>
    </row>
    <row r="31" spans="1:19" ht="15" x14ac:dyDescent="0.2">
      <c r="A31" s="195"/>
      <c r="B31" s="197"/>
      <c r="C31" s="107" t="s">
        <v>145</v>
      </c>
      <c r="D31" s="107" t="s">
        <v>146</v>
      </c>
      <c r="E31" s="89" t="s">
        <v>147</v>
      </c>
      <c r="F31" s="222"/>
      <c r="G31" s="222"/>
      <c r="H31" s="223"/>
      <c r="I31" s="114"/>
      <c r="J31" s="114"/>
      <c r="K31" s="114">
        <f t="shared" si="0"/>
        <v>0</v>
      </c>
      <c r="L31" s="98">
        <v>1120000</v>
      </c>
      <c r="M31" s="98">
        <v>1240000</v>
      </c>
      <c r="N31" s="98">
        <f t="shared" si="1"/>
        <v>2360000</v>
      </c>
      <c r="O31" s="123"/>
      <c r="P31" s="123">
        <v>2001200.32</v>
      </c>
      <c r="Q31" s="123">
        <f t="shared" si="2"/>
        <v>2001200.32</v>
      </c>
    </row>
    <row r="32" spans="1:19" ht="30" x14ac:dyDescent="0.2">
      <c r="A32" s="195"/>
      <c r="B32" s="197"/>
      <c r="C32" s="110" t="s">
        <v>148</v>
      </c>
      <c r="D32" s="110" t="s">
        <v>149</v>
      </c>
      <c r="E32" s="89" t="s">
        <v>150</v>
      </c>
      <c r="F32" s="222">
        <v>867038.47</v>
      </c>
      <c r="G32" s="222">
        <v>300369.53000000003</v>
      </c>
      <c r="H32" s="222">
        <f>F32+G32</f>
        <v>1167408</v>
      </c>
      <c r="I32" s="114">
        <v>2051735</v>
      </c>
      <c r="J32" s="114">
        <v>1542096.15</v>
      </c>
      <c r="K32" s="114">
        <f t="shared" si="0"/>
        <v>3593831.15</v>
      </c>
      <c r="L32" s="98"/>
      <c r="M32" s="98"/>
      <c r="N32" s="98">
        <f t="shared" si="1"/>
        <v>0</v>
      </c>
      <c r="O32" s="123"/>
      <c r="P32" s="123">
        <v>1270811.25</v>
      </c>
      <c r="Q32" s="123">
        <f t="shared" si="2"/>
        <v>1270811.25</v>
      </c>
    </row>
    <row r="33" spans="1:20" ht="15" x14ac:dyDescent="0.2">
      <c r="A33" s="195"/>
      <c r="B33" s="197"/>
      <c r="C33" s="107" t="s">
        <v>151</v>
      </c>
      <c r="D33" s="107" t="s">
        <v>152</v>
      </c>
      <c r="E33" s="89" t="s">
        <v>153</v>
      </c>
      <c r="F33" s="223"/>
      <c r="G33" s="223"/>
      <c r="H33" s="223"/>
      <c r="I33" s="114"/>
      <c r="J33" s="114"/>
      <c r="K33" s="114">
        <f t="shared" si="0"/>
        <v>0</v>
      </c>
      <c r="L33" s="98">
        <v>820000</v>
      </c>
      <c r="M33" s="98">
        <v>940000</v>
      </c>
      <c r="N33" s="98">
        <f t="shared" si="1"/>
        <v>1760000</v>
      </c>
      <c r="O33" s="123"/>
      <c r="P33" s="123">
        <v>847207.5</v>
      </c>
      <c r="Q33" s="123">
        <f t="shared" si="2"/>
        <v>847207.5</v>
      </c>
    </row>
    <row r="34" spans="1:20" ht="46.15" customHeight="1" x14ac:dyDescent="0.2">
      <c r="A34" s="195"/>
      <c r="B34" s="197"/>
      <c r="C34" s="198" t="s">
        <v>154</v>
      </c>
      <c r="D34" s="198" t="s">
        <v>155</v>
      </c>
      <c r="E34" s="90" t="s">
        <v>156</v>
      </c>
      <c r="F34" s="224">
        <v>3446967.26</v>
      </c>
      <c r="G34" s="224">
        <v>1235244.3400000001</v>
      </c>
      <c r="H34" s="225">
        <f>F34+G34</f>
        <v>4682211.5999999996</v>
      </c>
      <c r="I34" s="203">
        <v>7948345.2000000002</v>
      </c>
      <c r="J34" s="203">
        <v>4958514.95</v>
      </c>
      <c r="K34" s="203">
        <f>I34+J34</f>
        <v>12906860.15</v>
      </c>
      <c r="L34" s="98"/>
      <c r="M34" s="98"/>
      <c r="N34" s="98">
        <f t="shared" si="1"/>
        <v>0</v>
      </c>
      <c r="O34" s="123"/>
      <c r="P34" s="123"/>
      <c r="Q34" s="123">
        <f t="shared" si="2"/>
        <v>0</v>
      </c>
    </row>
    <row r="35" spans="1:20" ht="38.25" customHeight="1" x14ac:dyDescent="0.2">
      <c r="A35" s="195"/>
      <c r="B35" s="197"/>
      <c r="C35" s="198"/>
      <c r="D35" s="198"/>
      <c r="E35" s="90" t="s">
        <v>157</v>
      </c>
      <c r="F35" s="224"/>
      <c r="G35" s="224"/>
      <c r="H35" s="226"/>
      <c r="I35" s="203"/>
      <c r="J35" s="203"/>
      <c r="K35" s="203"/>
      <c r="L35" s="98"/>
      <c r="M35" s="98"/>
      <c r="N35" s="98">
        <f t="shared" si="1"/>
        <v>0</v>
      </c>
      <c r="O35" s="123"/>
      <c r="P35" s="123"/>
      <c r="Q35" s="123">
        <f t="shared" si="2"/>
        <v>0</v>
      </c>
    </row>
    <row r="36" spans="1:20" ht="30" x14ac:dyDescent="0.2">
      <c r="A36" s="195"/>
      <c r="B36" s="197"/>
      <c r="C36" s="110" t="s">
        <v>158</v>
      </c>
      <c r="D36" s="110" t="s">
        <v>159</v>
      </c>
      <c r="E36" s="89" t="s">
        <v>160</v>
      </c>
      <c r="F36" s="222">
        <v>378457.85</v>
      </c>
      <c r="G36" s="222">
        <v>258578.95</v>
      </c>
      <c r="H36" s="222">
        <f>F36+G36</f>
        <v>637036.80000000005</v>
      </c>
      <c r="I36" s="114">
        <v>2133823</v>
      </c>
      <c r="J36" s="114">
        <v>1594284.95</v>
      </c>
      <c r="K36" s="114">
        <f t="shared" si="0"/>
        <v>3728107.95</v>
      </c>
      <c r="L36" s="98"/>
      <c r="M36" s="98"/>
      <c r="N36" s="98">
        <f t="shared" si="1"/>
        <v>0</v>
      </c>
      <c r="O36" s="123"/>
      <c r="P36" s="123">
        <v>1325895</v>
      </c>
      <c r="Q36" s="123">
        <f t="shared" si="2"/>
        <v>1325895</v>
      </c>
    </row>
    <row r="37" spans="1:20" ht="30" x14ac:dyDescent="0.2">
      <c r="A37" s="195"/>
      <c r="B37" s="197"/>
      <c r="C37" s="110" t="s">
        <v>161</v>
      </c>
      <c r="D37" s="110" t="s">
        <v>162</v>
      </c>
      <c r="E37" s="89" t="s">
        <v>163</v>
      </c>
      <c r="F37" s="222">
        <v>853580.16</v>
      </c>
      <c r="G37" s="222">
        <v>252757.44</v>
      </c>
      <c r="H37" s="222">
        <f>F37+G37</f>
        <v>1106337.6000000001</v>
      </c>
      <c r="I37" s="114">
        <v>1869665</v>
      </c>
      <c r="J37" s="114">
        <v>1436142.76</v>
      </c>
      <c r="K37" s="114">
        <f t="shared" si="0"/>
        <v>3305807.76</v>
      </c>
      <c r="L37" s="98"/>
      <c r="M37" s="98"/>
      <c r="N37" s="98">
        <f t="shared" si="1"/>
        <v>0</v>
      </c>
      <c r="O37" s="123"/>
      <c r="P37" s="123">
        <v>1148433.75</v>
      </c>
      <c r="Q37" s="123">
        <f t="shared" si="2"/>
        <v>1148433.75</v>
      </c>
    </row>
    <row r="38" spans="1:20" ht="33" customHeight="1" x14ac:dyDescent="0.2">
      <c r="A38" s="195"/>
      <c r="B38" s="197"/>
      <c r="C38" s="198" t="s">
        <v>164</v>
      </c>
      <c r="D38" s="198" t="s">
        <v>165</v>
      </c>
      <c r="E38" s="90" t="s">
        <v>166</v>
      </c>
      <c r="F38" s="224">
        <v>6061025.5300000003</v>
      </c>
      <c r="G38" s="224">
        <v>1659028.07</v>
      </c>
      <c r="H38" s="225">
        <f>F38+G38</f>
        <v>7720053.5999999996</v>
      </c>
      <c r="I38" s="203">
        <v>13650097.720000001</v>
      </c>
      <c r="J38" s="203">
        <v>7590146.04</v>
      </c>
      <c r="K38" s="203">
        <f t="shared" si="0"/>
        <v>21240243.760000002</v>
      </c>
      <c r="L38" s="183"/>
      <c r="M38" s="183"/>
      <c r="N38" s="183">
        <f t="shared" si="1"/>
        <v>0</v>
      </c>
      <c r="O38" s="204"/>
      <c r="P38" s="204">
        <v>6927024.3799999999</v>
      </c>
      <c r="Q38" s="204">
        <f t="shared" si="2"/>
        <v>6927024.3799999999</v>
      </c>
      <c r="R38" s="200" t="s">
        <v>167</v>
      </c>
      <c r="S38" s="201"/>
      <c r="T38" s="201"/>
    </row>
    <row r="39" spans="1:20" ht="14.25" x14ac:dyDescent="0.2">
      <c r="A39" s="195"/>
      <c r="B39" s="197"/>
      <c r="C39" s="198"/>
      <c r="D39" s="198"/>
      <c r="E39" s="90" t="s">
        <v>168</v>
      </c>
      <c r="F39" s="224"/>
      <c r="G39" s="224"/>
      <c r="H39" s="226"/>
      <c r="I39" s="203"/>
      <c r="J39" s="203"/>
      <c r="K39" s="203"/>
      <c r="L39" s="183"/>
      <c r="M39" s="183"/>
      <c r="N39" s="183">
        <f t="shared" si="1"/>
        <v>0</v>
      </c>
      <c r="O39" s="204"/>
      <c r="P39" s="204"/>
      <c r="Q39" s="204">
        <f t="shared" si="2"/>
        <v>0</v>
      </c>
      <c r="R39" s="200"/>
      <c r="S39" s="201"/>
      <c r="T39" s="201"/>
    </row>
    <row r="40" spans="1:20" ht="15" x14ac:dyDescent="0.2">
      <c r="A40" s="195"/>
      <c r="B40" s="197"/>
      <c r="C40" s="190" t="s">
        <v>169</v>
      </c>
      <c r="D40" s="190" t="s">
        <v>170</v>
      </c>
      <c r="E40" s="89" t="s">
        <v>171</v>
      </c>
      <c r="F40" s="223"/>
      <c r="G40" s="223"/>
      <c r="H40" s="223"/>
      <c r="I40" s="114"/>
      <c r="J40" s="114"/>
      <c r="K40" s="114">
        <f t="shared" si="0"/>
        <v>0</v>
      </c>
      <c r="L40" s="183">
        <v>1440000</v>
      </c>
      <c r="M40" s="183">
        <v>1620000</v>
      </c>
      <c r="N40" s="183">
        <f t="shared" si="1"/>
        <v>3060000</v>
      </c>
      <c r="O40" s="204"/>
      <c r="P40" s="204">
        <v>1473108.75</v>
      </c>
      <c r="Q40" s="204">
        <f t="shared" si="2"/>
        <v>1473108.75</v>
      </c>
    </row>
    <row r="41" spans="1:20" ht="15" x14ac:dyDescent="0.2">
      <c r="A41" s="195"/>
      <c r="B41" s="197"/>
      <c r="C41" s="190"/>
      <c r="D41" s="190"/>
      <c r="E41" s="89" t="s">
        <v>172</v>
      </c>
      <c r="F41" s="223"/>
      <c r="G41" s="223"/>
      <c r="H41" s="223"/>
      <c r="I41" s="114"/>
      <c r="J41" s="114"/>
      <c r="K41" s="114">
        <f t="shared" si="0"/>
        <v>0</v>
      </c>
      <c r="L41" s="183"/>
      <c r="M41" s="183"/>
      <c r="N41" s="183">
        <f t="shared" si="1"/>
        <v>0</v>
      </c>
      <c r="O41" s="204"/>
      <c r="P41" s="204"/>
      <c r="Q41" s="204">
        <f t="shared" si="2"/>
        <v>0</v>
      </c>
    </row>
    <row r="42" spans="1:20" ht="15" x14ac:dyDescent="0.2">
      <c r="A42" s="195"/>
      <c r="B42" s="197"/>
      <c r="C42" s="190"/>
      <c r="D42" s="190"/>
      <c r="E42" s="89" t="s">
        <v>173</v>
      </c>
      <c r="F42" s="223"/>
      <c r="G42" s="223"/>
      <c r="H42" s="223"/>
      <c r="I42" s="114"/>
      <c r="J42" s="114"/>
      <c r="K42" s="114">
        <f t="shared" si="0"/>
        <v>0</v>
      </c>
      <c r="L42" s="183"/>
      <c r="M42" s="183"/>
      <c r="N42" s="183">
        <f t="shared" si="1"/>
        <v>0</v>
      </c>
      <c r="O42" s="204"/>
      <c r="P42" s="204"/>
      <c r="Q42" s="204">
        <f t="shared" si="2"/>
        <v>0</v>
      </c>
    </row>
    <row r="43" spans="1:20" ht="15" x14ac:dyDescent="0.2">
      <c r="A43" s="195"/>
      <c r="B43" s="197"/>
      <c r="C43" s="107" t="s">
        <v>174</v>
      </c>
      <c r="D43" s="107" t="s">
        <v>175</v>
      </c>
      <c r="E43" s="89" t="s">
        <v>176</v>
      </c>
      <c r="F43" s="223"/>
      <c r="G43" s="223"/>
      <c r="H43" s="227"/>
      <c r="I43" s="114"/>
      <c r="J43" s="114"/>
      <c r="K43" s="114">
        <f t="shared" si="0"/>
        <v>0</v>
      </c>
      <c r="L43" s="98">
        <v>566000</v>
      </c>
      <c r="M43" s="98">
        <v>618000</v>
      </c>
      <c r="N43" s="98">
        <f t="shared" si="1"/>
        <v>1184000</v>
      </c>
      <c r="O43" s="123"/>
      <c r="P43" s="123">
        <v>587328.75</v>
      </c>
      <c r="Q43" s="123">
        <f t="shared" si="2"/>
        <v>587328.75</v>
      </c>
    </row>
    <row r="44" spans="1:20" ht="15" x14ac:dyDescent="0.2">
      <c r="A44" s="195"/>
      <c r="B44" s="197"/>
      <c r="C44" s="107" t="s">
        <v>177</v>
      </c>
      <c r="D44" s="107" t="s">
        <v>178</v>
      </c>
      <c r="E44" s="89" t="s">
        <v>179</v>
      </c>
      <c r="F44" s="223"/>
      <c r="G44" s="223"/>
      <c r="H44" s="227"/>
      <c r="I44" s="114"/>
      <c r="J44" s="114"/>
      <c r="K44" s="114">
        <f t="shared" si="0"/>
        <v>0</v>
      </c>
      <c r="L44" s="98">
        <v>1180000</v>
      </c>
      <c r="M44" s="98">
        <v>1240000</v>
      </c>
      <c r="N44" s="98">
        <f t="shared" si="1"/>
        <v>2420000</v>
      </c>
      <c r="O44" s="123"/>
      <c r="P44" s="123">
        <v>1191030</v>
      </c>
      <c r="Q44" s="123">
        <f t="shared" si="2"/>
        <v>1191030</v>
      </c>
    </row>
    <row r="45" spans="1:20" ht="30" x14ac:dyDescent="0.2">
      <c r="A45" s="195"/>
      <c r="B45" s="197"/>
      <c r="C45" s="110" t="s">
        <v>180</v>
      </c>
      <c r="D45" s="110" t="s">
        <v>181</v>
      </c>
      <c r="E45" s="89" t="s">
        <v>182</v>
      </c>
      <c r="F45" s="222">
        <v>5748126.7300000004</v>
      </c>
      <c r="G45" s="222">
        <v>1993330.07</v>
      </c>
      <c r="H45" s="222">
        <f>F45+G45</f>
        <v>7741456.7999999998</v>
      </c>
      <c r="I45" s="114">
        <v>13747419.4</v>
      </c>
      <c r="J45" s="114">
        <v>8271759.4800000004</v>
      </c>
      <c r="K45" s="114">
        <f t="shared" si="0"/>
        <v>22019178.879999999</v>
      </c>
      <c r="L45" s="98"/>
      <c r="M45" s="98"/>
      <c r="N45" s="98">
        <f t="shared" si="1"/>
        <v>0</v>
      </c>
      <c r="O45" s="123"/>
      <c r="P45" s="123">
        <v>7524273.75</v>
      </c>
      <c r="Q45" s="123">
        <f t="shared" si="2"/>
        <v>7524273.75</v>
      </c>
    </row>
    <row r="46" spans="1:20" ht="24.75" customHeight="1" x14ac:dyDescent="0.2">
      <c r="A46" s="195"/>
      <c r="B46" s="197"/>
      <c r="C46" s="107" t="s">
        <v>183</v>
      </c>
      <c r="D46" s="107" t="s">
        <v>184</v>
      </c>
      <c r="E46" s="89" t="s">
        <v>185</v>
      </c>
      <c r="F46" s="222"/>
      <c r="G46" s="222"/>
      <c r="H46" s="227"/>
      <c r="I46" s="114"/>
      <c r="J46" s="114"/>
      <c r="K46" s="114">
        <f t="shared" si="0"/>
        <v>0</v>
      </c>
      <c r="L46" s="98">
        <v>2340000</v>
      </c>
      <c r="M46" s="98">
        <v>2420000</v>
      </c>
      <c r="N46" s="98">
        <f t="shared" si="1"/>
        <v>4760000</v>
      </c>
      <c r="O46" s="123"/>
      <c r="P46" s="123">
        <v>2548560</v>
      </c>
      <c r="Q46" s="123">
        <f t="shared" si="2"/>
        <v>2548560</v>
      </c>
    </row>
    <row r="47" spans="1:20" ht="30" x14ac:dyDescent="0.2">
      <c r="A47" s="195"/>
      <c r="B47" s="197"/>
      <c r="C47" s="110" t="s">
        <v>186</v>
      </c>
      <c r="D47" s="110" t="s">
        <v>187</v>
      </c>
      <c r="E47" s="89" t="s">
        <v>188</v>
      </c>
      <c r="F47" s="222">
        <v>1230815.3600000001</v>
      </c>
      <c r="G47" s="222">
        <v>513066.64</v>
      </c>
      <c r="H47" s="222">
        <f>F47+G47</f>
        <v>1743882</v>
      </c>
      <c r="I47" s="114">
        <v>4215823.3</v>
      </c>
      <c r="J47" s="114">
        <v>2565167.23</v>
      </c>
      <c r="K47" s="114">
        <f t="shared" si="0"/>
        <v>6780990.5300000003</v>
      </c>
      <c r="L47" s="98"/>
      <c r="M47" s="98"/>
      <c r="N47" s="98">
        <f t="shared" si="1"/>
        <v>0</v>
      </c>
      <c r="O47" s="123"/>
      <c r="P47" s="125">
        <f>2145976.875+4364936.25</f>
        <v>6510913.1299999999</v>
      </c>
      <c r="Q47" s="123">
        <f t="shared" si="2"/>
        <v>6510913.1299999999</v>
      </c>
    </row>
    <row r="48" spans="1:20" ht="15" x14ac:dyDescent="0.2">
      <c r="A48" s="195"/>
      <c r="B48" s="197"/>
      <c r="C48" s="107" t="s">
        <v>189</v>
      </c>
      <c r="D48" s="107" t="s">
        <v>190</v>
      </c>
      <c r="E48" s="89" t="s">
        <v>191</v>
      </c>
      <c r="F48" s="222"/>
      <c r="G48" s="222"/>
      <c r="H48" s="227"/>
      <c r="I48" s="114"/>
      <c r="J48" s="114"/>
      <c r="K48" s="114">
        <f t="shared" si="0"/>
        <v>0</v>
      </c>
      <c r="L48" s="98">
        <v>744000</v>
      </c>
      <c r="M48" s="98">
        <v>755000</v>
      </c>
      <c r="N48" s="98">
        <f t="shared" si="1"/>
        <v>1499000</v>
      </c>
      <c r="O48" s="123"/>
      <c r="P48" s="123">
        <v>745087.5</v>
      </c>
      <c r="Q48" s="123">
        <f t="shared" si="2"/>
        <v>745087.5</v>
      </c>
    </row>
    <row r="49" spans="1:19" ht="15" x14ac:dyDescent="0.2">
      <c r="A49" s="195"/>
      <c r="B49" s="197"/>
      <c r="C49" s="107" t="s">
        <v>192</v>
      </c>
      <c r="D49" s="107" t="s">
        <v>193</v>
      </c>
      <c r="E49" s="89" t="s">
        <v>194</v>
      </c>
      <c r="F49" s="222"/>
      <c r="G49" s="222"/>
      <c r="H49" s="227"/>
      <c r="I49" s="114"/>
      <c r="J49" s="114"/>
      <c r="K49" s="114">
        <f t="shared" si="0"/>
        <v>0</v>
      </c>
      <c r="L49" s="98">
        <v>776000</v>
      </c>
      <c r="M49" s="98">
        <v>798000</v>
      </c>
      <c r="N49" s="98">
        <f t="shared" si="1"/>
        <v>1574000</v>
      </c>
      <c r="O49" s="123"/>
      <c r="P49" s="123">
        <v>646297.5</v>
      </c>
      <c r="Q49" s="123">
        <f t="shared" si="2"/>
        <v>646297.5</v>
      </c>
    </row>
    <row r="50" spans="1:19" ht="15" x14ac:dyDescent="0.2">
      <c r="A50" s="195"/>
      <c r="B50" s="197"/>
      <c r="C50" s="190" t="s">
        <v>195</v>
      </c>
      <c r="D50" s="190" t="s">
        <v>196</v>
      </c>
      <c r="E50" s="89" t="s">
        <v>197</v>
      </c>
      <c r="F50" s="222"/>
      <c r="G50" s="222"/>
      <c r="H50" s="227"/>
      <c r="I50" s="114"/>
      <c r="J50" s="114"/>
      <c r="K50" s="114">
        <f t="shared" si="0"/>
        <v>0</v>
      </c>
      <c r="L50" s="183">
        <v>1325000</v>
      </c>
      <c r="M50" s="183">
        <v>1340000</v>
      </c>
      <c r="N50" s="183">
        <f t="shared" si="1"/>
        <v>2665000</v>
      </c>
      <c r="O50" s="204"/>
      <c r="P50" s="204">
        <v>1520561.25</v>
      </c>
      <c r="Q50" s="204">
        <f t="shared" si="2"/>
        <v>1520561.25</v>
      </c>
    </row>
    <row r="51" spans="1:19" ht="15" x14ac:dyDescent="0.2">
      <c r="A51" s="195"/>
      <c r="B51" s="197"/>
      <c r="C51" s="190"/>
      <c r="D51" s="190"/>
      <c r="E51" s="89" t="s">
        <v>198</v>
      </c>
      <c r="F51" s="222"/>
      <c r="G51" s="222"/>
      <c r="H51" s="227"/>
      <c r="I51" s="114"/>
      <c r="J51" s="114"/>
      <c r="K51" s="114">
        <f t="shared" si="0"/>
        <v>0</v>
      </c>
      <c r="L51" s="183"/>
      <c r="M51" s="183"/>
      <c r="N51" s="183">
        <f t="shared" si="1"/>
        <v>0</v>
      </c>
      <c r="O51" s="204"/>
      <c r="P51" s="204"/>
      <c r="Q51" s="204">
        <f t="shared" si="2"/>
        <v>0</v>
      </c>
    </row>
    <row r="52" spans="1:19" ht="30" x14ac:dyDescent="0.2">
      <c r="A52" s="195"/>
      <c r="B52" s="197"/>
      <c r="C52" s="110" t="s">
        <v>199</v>
      </c>
      <c r="D52" s="110" t="s">
        <v>200</v>
      </c>
      <c r="E52" s="89" t="s">
        <v>201</v>
      </c>
      <c r="F52" s="222">
        <v>1230696.5</v>
      </c>
      <c r="G52" s="222">
        <v>383560.3</v>
      </c>
      <c r="H52" s="222">
        <f>F52+G52</f>
        <v>1614256.8</v>
      </c>
      <c r="I52" s="114">
        <v>2618773.5</v>
      </c>
      <c r="J52" s="114">
        <v>1678821.62</v>
      </c>
      <c r="K52" s="114">
        <f t="shared" si="0"/>
        <v>4297595.12</v>
      </c>
      <c r="L52" s="98"/>
      <c r="M52" s="98"/>
      <c r="N52" s="98">
        <f t="shared" si="1"/>
        <v>0</v>
      </c>
      <c r="O52" s="123"/>
      <c r="P52" s="123">
        <v>1257768.75</v>
      </c>
      <c r="Q52" s="123">
        <f t="shared" si="2"/>
        <v>1257768.75</v>
      </c>
    </row>
    <row r="53" spans="1:19" ht="15" x14ac:dyDescent="0.2">
      <c r="A53" s="195"/>
      <c r="B53" s="197"/>
      <c r="C53" s="107" t="s">
        <v>202</v>
      </c>
      <c r="D53" s="107" t="s">
        <v>203</v>
      </c>
      <c r="E53" s="89" t="s">
        <v>204</v>
      </c>
      <c r="F53" s="223"/>
      <c r="G53" s="223"/>
      <c r="H53" s="227"/>
      <c r="I53" s="114"/>
      <c r="J53" s="114"/>
      <c r="K53" s="114">
        <f t="shared" si="0"/>
        <v>0</v>
      </c>
      <c r="L53" s="98">
        <v>198000</v>
      </c>
      <c r="M53" s="98">
        <v>216000</v>
      </c>
      <c r="N53" s="98">
        <f t="shared" si="1"/>
        <v>414000</v>
      </c>
      <c r="O53" s="123"/>
      <c r="P53" s="123">
        <v>179681.25</v>
      </c>
      <c r="Q53" s="123">
        <f t="shared" si="2"/>
        <v>179681.25</v>
      </c>
    </row>
    <row r="54" spans="1:19" ht="30" customHeight="1" x14ac:dyDescent="0.2">
      <c r="A54" s="195"/>
      <c r="B54" s="197"/>
      <c r="C54" s="198" t="s">
        <v>205</v>
      </c>
      <c r="D54" s="198" t="s">
        <v>206</v>
      </c>
      <c r="E54" s="90" t="s">
        <v>207</v>
      </c>
      <c r="F54" s="224">
        <v>8139122.21</v>
      </c>
      <c r="G54" s="224">
        <v>4233009.7920000004</v>
      </c>
      <c r="H54" s="225">
        <f>F54+G54</f>
        <v>12372132</v>
      </c>
      <c r="I54" s="203">
        <v>22638143.780000001</v>
      </c>
      <c r="J54" s="203">
        <v>14642886.35</v>
      </c>
      <c r="K54" s="203">
        <f t="shared" si="0"/>
        <v>37281030.130000003</v>
      </c>
      <c r="L54" s="183"/>
      <c r="M54" s="183"/>
      <c r="N54" s="183">
        <f t="shared" si="1"/>
        <v>0</v>
      </c>
      <c r="O54" s="204"/>
      <c r="P54" s="204">
        <v>14386002.380000001</v>
      </c>
      <c r="Q54" s="204">
        <f t="shared" si="2"/>
        <v>14386002.380000001</v>
      </c>
    </row>
    <row r="55" spans="1:19" ht="14.25" x14ac:dyDescent="0.2">
      <c r="A55" s="195"/>
      <c r="B55" s="197"/>
      <c r="C55" s="198"/>
      <c r="D55" s="198"/>
      <c r="E55" s="90" t="s">
        <v>208</v>
      </c>
      <c r="F55" s="224"/>
      <c r="G55" s="224"/>
      <c r="H55" s="226"/>
      <c r="I55" s="203"/>
      <c r="J55" s="203"/>
      <c r="K55" s="203"/>
      <c r="L55" s="183"/>
      <c r="M55" s="183"/>
      <c r="N55" s="183">
        <f t="shared" si="1"/>
        <v>0</v>
      </c>
      <c r="O55" s="204"/>
      <c r="P55" s="204"/>
      <c r="Q55" s="204">
        <f t="shared" si="2"/>
        <v>0</v>
      </c>
    </row>
    <row r="56" spans="1:19" ht="30.75" customHeight="1" x14ac:dyDescent="0.2">
      <c r="A56" s="195"/>
      <c r="B56" s="197"/>
      <c r="C56" s="107" t="s">
        <v>209</v>
      </c>
      <c r="D56" s="107" t="s">
        <v>210</v>
      </c>
      <c r="E56" s="89" t="s">
        <v>211</v>
      </c>
      <c r="F56" s="223"/>
      <c r="G56" s="223"/>
      <c r="H56" s="227"/>
      <c r="I56" s="114"/>
      <c r="J56" s="114"/>
      <c r="K56" s="114">
        <f t="shared" si="0"/>
        <v>0</v>
      </c>
      <c r="L56" s="98">
        <v>3600000</v>
      </c>
      <c r="M56" s="98">
        <v>3820000</v>
      </c>
      <c r="N56" s="98">
        <f t="shared" si="1"/>
        <v>7420000</v>
      </c>
      <c r="O56" s="123"/>
      <c r="P56" s="123">
        <v>3842958.75</v>
      </c>
      <c r="Q56" s="123">
        <f t="shared" si="2"/>
        <v>3842958.75</v>
      </c>
    </row>
    <row r="57" spans="1:19" ht="30" x14ac:dyDescent="0.2">
      <c r="A57" s="195"/>
      <c r="B57" s="197"/>
      <c r="C57" s="110" t="s">
        <v>212</v>
      </c>
      <c r="D57" s="110" t="s">
        <v>213</v>
      </c>
      <c r="E57" s="89" t="s">
        <v>214</v>
      </c>
      <c r="F57" s="222">
        <v>1339403.81</v>
      </c>
      <c r="G57" s="222">
        <v>399075.79</v>
      </c>
      <c r="H57" s="222">
        <f>F57+G57</f>
        <v>1738479.6</v>
      </c>
      <c r="I57" s="114">
        <v>2543015.6</v>
      </c>
      <c r="J57" s="114">
        <v>1694456.57</v>
      </c>
      <c r="K57" s="114">
        <f t="shared" si="0"/>
        <v>4237472.17</v>
      </c>
      <c r="L57" s="98"/>
      <c r="M57" s="98"/>
      <c r="N57" s="98">
        <f t="shared" si="1"/>
        <v>0</v>
      </c>
      <c r="O57" s="123"/>
      <c r="P57" s="123">
        <v>1351910.63</v>
      </c>
      <c r="Q57" s="123">
        <f t="shared" si="2"/>
        <v>1351910.63</v>
      </c>
    </row>
    <row r="58" spans="1:19" ht="34.9" customHeight="1" x14ac:dyDescent="0.2">
      <c r="A58" s="195"/>
      <c r="B58" s="197"/>
      <c r="C58" s="198" t="s">
        <v>215</v>
      </c>
      <c r="D58" s="198" t="s">
        <v>216</v>
      </c>
      <c r="E58" s="89" t="s">
        <v>217</v>
      </c>
      <c r="F58" s="224">
        <v>1540984.79</v>
      </c>
      <c r="G58" s="224">
        <v>5457730.8099999996</v>
      </c>
      <c r="H58" s="224">
        <f>F58+G58</f>
        <v>6998715.5999999996</v>
      </c>
      <c r="I58" s="203">
        <v>7361217</v>
      </c>
      <c r="J58" s="203">
        <v>4318258.16</v>
      </c>
      <c r="K58" s="203">
        <f t="shared" si="0"/>
        <v>11679475.16</v>
      </c>
      <c r="L58" s="183"/>
      <c r="M58" s="183"/>
      <c r="N58" s="183">
        <f t="shared" si="1"/>
        <v>0</v>
      </c>
      <c r="O58" s="204"/>
      <c r="P58" s="204">
        <v>4099923.75</v>
      </c>
      <c r="Q58" s="204">
        <f t="shared" si="2"/>
        <v>4099923.75</v>
      </c>
    </row>
    <row r="59" spans="1:19" ht="30.75" customHeight="1" x14ac:dyDescent="0.2">
      <c r="A59" s="196"/>
      <c r="B59" s="197"/>
      <c r="C59" s="198"/>
      <c r="D59" s="198"/>
      <c r="E59" s="89" t="s">
        <v>218</v>
      </c>
      <c r="F59" s="224"/>
      <c r="G59" s="224"/>
      <c r="H59" s="224"/>
      <c r="I59" s="203"/>
      <c r="J59" s="203"/>
      <c r="K59" s="203"/>
      <c r="L59" s="183"/>
      <c r="M59" s="183"/>
      <c r="N59" s="183">
        <f t="shared" si="1"/>
        <v>0</v>
      </c>
      <c r="O59" s="204"/>
      <c r="P59" s="204"/>
      <c r="Q59" s="204">
        <f t="shared" si="2"/>
        <v>0</v>
      </c>
    </row>
    <row r="60" spans="1:19" ht="30.75" customHeight="1" x14ac:dyDescent="0.2">
      <c r="A60" s="95"/>
      <c r="B60" s="109"/>
      <c r="C60" s="126" t="s">
        <v>272</v>
      </c>
      <c r="D60" s="110"/>
      <c r="E60" s="89"/>
      <c r="F60" s="223"/>
      <c r="G60" s="223"/>
      <c r="H60" s="223"/>
      <c r="I60" s="114"/>
      <c r="J60" s="114">
        <f>SUM(J11:J59)</f>
        <v>75843245.439999998</v>
      </c>
      <c r="K60" s="114"/>
      <c r="L60" s="98"/>
      <c r="M60" s="98"/>
      <c r="N60" s="98"/>
      <c r="O60" s="123"/>
      <c r="P60" s="123">
        <f>19065882.76+19741909.773</f>
        <v>38807792.530000001</v>
      </c>
      <c r="Q60" s="123">
        <f>O60+P60</f>
        <v>38807792.530000001</v>
      </c>
    </row>
    <row r="61" spans="1:19" ht="30" customHeight="1" x14ac:dyDescent="0.2">
      <c r="A61" s="91">
        <v>2</v>
      </c>
      <c r="B61" s="212" t="s">
        <v>219</v>
      </c>
      <c r="C61" s="213"/>
      <c r="D61" s="213"/>
      <c r="E61" s="213"/>
      <c r="F61" s="218"/>
      <c r="G61" s="181">
        <f>SUM(F11:G59)</f>
        <v>71844068.230000004</v>
      </c>
      <c r="H61" s="181"/>
      <c r="I61" s="127"/>
      <c r="J61" s="184">
        <f>SUM(I11:J59)</f>
        <v>191991260.28</v>
      </c>
      <c r="K61" s="184"/>
      <c r="L61" s="104"/>
      <c r="M61" s="184">
        <f>SUM(L11:M59)</f>
        <v>88126000</v>
      </c>
      <c r="N61" s="184"/>
      <c r="O61" s="104"/>
      <c r="P61" s="184">
        <f>SUM(O11:P60)</f>
        <v>159543320.25999999</v>
      </c>
      <c r="Q61" s="184"/>
      <c r="R61" s="121"/>
    </row>
    <row r="62" spans="1:19" ht="30" customHeight="1" x14ac:dyDescent="0.2">
      <c r="A62" s="91">
        <v>3</v>
      </c>
      <c r="B62" s="212" t="s">
        <v>220</v>
      </c>
      <c r="C62" s="213"/>
      <c r="D62" s="213"/>
      <c r="E62" s="213"/>
      <c r="F62" s="218"/>
      <c r="G62" s="181">
        <f>G61*0.03</f>
        <v>2155322.0499999998</v>
      </c>
      <c r="H62" s="181"/>
      <c r="I62" s="127"/>
      <c r="J62" s="181">
        <f>J61*0.03</f>
        <v>5759737.8099999996</v>
      </c>
      <c r="K62" s="181"/>
      <c r="L62" s="104"/>
      <c r="M62" s="181">
        <f>M61*0.03</f>
        <v>2643780</v>
      </c>
      <c r="N62" s="181"/>
      <c r="O62" s="104"/>
      <c r="P62" s="181">
        <f>P61*0.03</f>
        <v>4786299.6100000003</v>
      </c>
      <c r="Q62" s="181"/>
      <c r="R62" s="121"/>
    </row>
    <row r="63" spans="1:19" ht="30" customHeight="1" x14ac:dyDescent="0.2">
      <c r="A63" s="92">
        <v>4</v>
      </c>
      <c r="B63" s="214" t="s">
        <v>221</v>
      </c>
      <c r="C63" s="215"/>
      <c r="D63" s="215"/>
      <c r="E63" s="215"/>
      <c r="F63" s="219"/>
      <c r="G63" s="220">
        <f>G61+G62</f>
        <v>73999390.280000001</v>
      </c>
      <c r="H63" s="221"/>
      <c r="I63" s="128"/>
      <c r="J63" s="182">
        <f>J61+J62</f>
        <v>197750998.09</v>
      </c>
      <c r="K63" s="182"/>
      <c r="L63" s="105"/>
      <c r="M63" s="182">
        <f>M61+M62</f>
        <v>90769780</v>
      </c>
      <c r="N63" s="182"/>
      <c r="O63" s="105"/>
      <c r="P63" s="182">
        <f>P61+P62</f>
        <v>164329619.87</v>
      </c>
      <c r="Q63" s="182"/>
      <c r="R63" s="122"/>
      <c r="S63" s="93" t="s">
        <v>222</v>
      </c>
    </row>
    <row r="65" spans="10:10" x14ac:dyDescent="0.2">
      <c r="J65" s="129"/>
    </row>
  </sheetData>
  <autoFilter ref="A10:S63"/>
  <mergeCells count="165">
    <mergeCell ref="G62:H62"/>
    <mergeCell ref="G63:H63"/>
    <mergeCell ref="F8:H8"/>
    <mergeCell ref="H54:H55"/>
    <mergeCell ref="H38:H39"/>
    <mergeCell ref="H34:H35"/>
    <mergeCell ref="H19:H20"/>
    <mergeCell ref="H21:H22"/>
    <mergeCell ref="H23:H24"/>
    <mergeCell ref="F58:F59"/>
    <mergeCell ref="G58:G59"/>
    <mergeCell ref="H58:H59"/>
    <mergeCell ref="P61:Q61"/>
    <mergeCell ref="P62:Q62"/>
    <mergeCell ref="P63:Q63"/>
    <mergeCell ref="Q40:Q42"/>
    <mergeCell ref="O50:O51"/>
    <mergeCell ref="P50:P51"/>
    <mergeCell ref="Q50:Q51"/>
    <mergeCell ref="O54:O55"/>
    <mergeCell ref="P54:P55"/>
    <mergeCell ref="Q54:Q55"/>
    <mergeCell ref="O58:O59"/>
    <mergeCell ref="P58:P59"/>
    <mergeCell ref="Q58:Q59"/>
    <mergeCell ref="O25:O26"/>
    <mergeCell ref="P25:P26"/>
    <mergeCell ref="Q25:Q26"/>
    <mergeCell ref="O28:O29"/>
    <mergeCell ref="P28:P29"/>
    <mergeCell ref="Q28:Q29"/>
    <mergeCell ref="O38:O39"/>
    <mergeCell ref="P38:P39"/>
    <mergeCell ref="N38:N39"/>
    <mergeCell ref="P13:P14"/>
    <mergeCell ref="Q13:Q14"/>
    <mergeCell ref="O19:O20"/>
    <mergeCell ref="P19:P20"/>
    <mergeCell ref="Q19:Q20"/>
    <mergeCell ref="O21:O22"/>
    <mergeCell ref="P21:P22"/>
    <mergeCell ref="Q21:Q22"/>
    <mergeCell ref="O23:O24"/>
    <mergeCell ref="P23:P24"/>
    <mergeCell ref="Q23:Q24"/>
    <mergeCell ref="K58:K59"/>
    <mergeCell ref="K54:K55"/>
    <mergeCell ref="K38:K39"/>
    <mergeCell ref="K23:K24"/>
    <mergeCell ref="K21:K22"/>
    <mergeCell ref="K19:K20"/>
    <mergeCell ref="F19:F20"/>
    <mergeCell ref="G19:G20"/>
    <mergeCell ref="F21:F22"/>
    <mergeCell ref="G21:G22"/>
    <mergeCell ref="F23:F24"/>
    <mergeCell ref="G23:G24"/>
    <mergeCell ref="F34:F35"/>
    <mergeCell ref="G34:G35"/>
    <mergeCell ref="F38:F39"/>
    <mergeCell ref="G38:G39"/>
    <mergeCell ref="I34:I35"/>
    <mergeCell ref="J34:J35"/>
    <mergeCell ref="K34:K35"/>
    <mergeCell ref="F54:F55"/>
    <mergeCell ref="G54:G55"/>
    <mergeCell ref="J58:J59"/>
    <mergeCell ref="B61:E61"/>
    <mergeCell ref="J61:K61"/>
    <mergeCell ref="B62:E62"/>
    <mergeCell ref="J62:K62"/>
    <mergeCell ref="B63:E63"/>
    <mergeCell ref="J63:K63"/>
    <mergeCell ref="G61:H61"/>
    <mergeCell ref="D23:D24"/>
    <mergeCell ref="R24:S24"/>
    <mergeCell ref="C54:C55"/>
    <mergeCell ref="D54:D55"/>
    <mergeCell ref="C28:C29"/>
    <mergeCell ref="D28:D29"/>
    <mergeCell ref="C34:C35"/>
    <mergeCell ref="D34:D35"/>
    <mergeCell ref="C38:C39"/>
    <mergeCell ref="D38:D39"/>
    <mergeCell ref="R38:T39"/>
    <mergeCell ref="C40:C42"/>
    <mergeCell ref="D40:D42"/>
    <mergeCell ref="C50:C51"/>
    <mergeCell ref="N23:N24"/>
    <mergeCell ref="N25:N26"/>
    <mergeCell ref="N28:N29"/>
    <mergeCell ref="Q38:Q39"/>
    <mergeCell ref="O40:O42"/>
    <mergeCell ref="P40:P42"/>
    <mergeCell ref="A5:B5"/>
    <mergeCell ref="A2:J2"/>
    <mergeCell ref="A3:B3"/>
    <mergeCell ref="C3:J3"/>
    <mergeCell ref="I19:I20"/>
    <mergeCell ref="J19:J20"/>
    <mergeCell ref="I21:I22"/>
    <mergeCell ref="I23:I24"/>
    <mergeCell ref="J21:J22"/>
    <mergeCell ref="J23:J24"/>
    <mergeCell ref="L23:L24"/>
    <mergeCell ref="M23:M24"/>
    <mergeCell ref="L38:L39"/>
    <mergeCell ref="M38:M39"/>
    <mergeCell ref="L19:L20"/>
    <mergeCell ref="M19:M20"/>
    <mergeCell ref="L21:L22"/>
    <mergeCell ref="I7:J7"/>
    <mergeCell ref="I8:K8"/>
    <mergeCell ref="O8:Q8"/>
    <mergeCell ref="O13:O14"/>
    <mergeCell ref="R3:U3"/>
    <mergeCell ref="A4:B4"/>
    <mergeCell ref="C25:C26"/>
    <mergeCell ref="D25:D26"/>
    <mergeCell ref="A6:B6"/>
    <mergeCell ref="C8:E8"/>
    <mergeCell ref="A11:A59"/>
    <mergeCell ref="B11:B59"/>
    <mergeCell ref="C13:C14"/>
    <mergeCell ref="D13:D14"/>
    <mergeCell ref="C19:C20"/>
    <mergeCell ref="D19:D20"/>
    <mergeCell ref="C21:C22"/>
    <mergeCell ref="D21:D22"/>
    <mergeCell ref="D50:D51"/>
    <mergeCell ref="C58:C59"/>
    <mergeCell ref="D58:D59"/>
    <mergeCell ref="R21:S22"/>
    <mergeCell ref="C23:C24"/>
    <mergeCell ref="I38:I39"/>
    <mergeCell ref="J38:J39"/>
    <mergeCell ref="I54:I55"/>
    <mergeCell ref="J54:J55"/>
    <mergeCell ref="I58:I59"/>
    <mergeCell ref="M21:M22"/>
    <mergeCell ref="L13:L14"/>
    <mergeCell ref="M13:M14"/>
    <mergeCell ref="L8:N8"/>
    <mergeCell ref="N13:N14"/>
    <mergeCell ref="N19:N20"/>
    <mergeCell ref="N21:N22"/>
    <mergeCell ref="L25:L26"/>
    <mergeCell ref="M25:M26"/>
    <mergeCell ref="M62:N62"/>
    <mergeCell ref="M63:N63"/>
    <mergeCell ref="L28:L29"/>
    <mergeCell ref="M28:M29"/>
    <mergeCell ref="L40:L42"/>
    <mergeCell ref="M40:M42"/>
    <mergeCell ref="L50:L51"/>
    <mergeCell ref="M50:M51"/>
    <mergeCell ref="L58:L59"/>
    <mergeCell ref="M58:M59"/>
    <mergeCell ref="M61:N61"/>
    <mergeCell ref="N50:N51"/>
    <mergeCell ref="N54:N55"/>
    <mergeCell ref="L54:L55"/>
    <mergeCell ref="M54:M55"/>
    <mergeCell ref="N58:N59"/>
    <mergeCell ref="N40:N42"/>
  </mergeCells>
  <pageMargins left="0.75" right="0.7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workbookViewId="0">
      <selection activeCell="C9" sqref="C9"/>
    </sheetView>
  </sheetViews>
  <sheetFormatPr defaultRowHeight="15" x14ac:dyDescent="0.25"/>
  <cols>
    <col min="1" max="1" width="86.140625" customWidth="1"/>
    <col min="2" max="2" width="18.7109375" customWidth="1"/>
    <col min="3" max="3" width="27.28515625" customWidth="1"/>
  </cols>
  <sheetData>
    <row r="1" spans="1:3" x14ac:dyDescent="0.25">
      <c r="A1" s="99" t="s">
        <v>223</v>
      </c>
    </row>
    <row r="2" spans="1:3" x14ac:dyDescent="0.25">
      <c r="A2" s="100" t="s">
        <v>224</v>
      </c>
    </row>
    <row r="3" spans="1:3" x14ac:dyDescent="0.25">
      <c r="A3" s="100" t="s">
        <v>225</v>
      </c>
      <c r="C3" s="113">
        <f>A4+A10+A15+B21+A27+A33+A39+A45+A51+A57+A63+A69+A75+A81+A87+A93</f>
        <v>88126000</v>
      </c>
    </row>
    <row r="4" spans="1:3" x14ac:dyDescent="0.25">
      <c r="A4" s="101">
        <v>7420000</v>
      </c>
    </row>
    <row r="5" spans="1:3" x14ac:dyDescent="0.25">
      <c r="A5" s="100"/>
      <c r="C5" s="111">
        <f>A4+A10+A15+A21+A27+A33+A39+A45+A51+A57+A63+A69+A75+A81+A87+A93</f>
        <v>84296000</v>
      </c>
    </row>
    <row r="6" spans="1:3" x14ac:dyDescent="0.25">
      <c r="A6" s="102"/>
    </row>
    <row r="7" spans="1:3" x14ac:dyDescent="0.25">
      <c r="A7" s="99" t="s">
        <v>226</v>
      </c>
    </row>
    <row r="8" spans="1:3" x14ac:dyDescent="0.25">
      <c r="A8" s="100" t="s">
        <v>227</v>
      </c>
    </row>
    <row r="9" spans="1:3" x14ac:dyDescent="0.25">
      <c r="A9" s="100" t="s">
        <v>228</v>
      </c>
    </row>
    <row r="10" spans="1:3" x14ac:dyDescent="0.25">
      <c r="A10" s="101">
        <v>1680000</v>
      </c>
    </row>
    <row r="11" spans="1:3" x14ac:dyDescent="0.25">
      <c r="A11" s="102"/>
    </row>
    <row r="12" spans="1:3" x14ac:dyDescent="0.25">
      <c r="A12" s="99" t="s">
        <v>229</v>
      </c>
    </row>
    <row r="13" spans="1:3" x14ac:dyDescent="0.25">
      <c r="A13" s="100" t="s">
        <v>230</v>
      </c>
    </row>
    <row r="14" spans="1:3" x14ac:dyDescent="0.25">
      <c r="A14" s="100" t="s">
        <v>231</v>
      </c>
    </row>
    <row r="15" spans="1:3" x14ac:dyDescent="0.25">
      <c r="A15" s="101">
        <v>5950000</v>
      </c>
    </row>
    <row r="16" spans="1:3" x14ac:dyDescent="0.25">
      <c r="A16" s="100"/>
    </row>
    <row r="17" spans="1:2" x14ac:dyDescent="0.25">
      <c r="A17" s="102"/>
    </row>
    <row r="18" spans="1:2" x14ac:dyDescent="0.25">
      <c r="A18" s="99" t="s">
        <v>232</v>
      </c>
    </row>
    <row r="19" spans="1:2" x14ac:dyDescent="0.25">
      <c r="A19" s="100" t="s">
        <v>233</v>
      </c>
    </row>
    <row r="20" spans="1:2" x14ac:dyDescent="0.25">
      <c r="A20" s="100" t="s">
        <v>234</v>
      </c>
    </row>
    <row r="21" spans="1:2" x14ac:dyDescent="0.25">
      <c r="A21" s="103">
        <v>5250000</v>
      </c>
      <c r="B21" s="112">
        <v>9080000</v>
      </c>
    </row>
    <row r="22" spans="1:2" x14ac:dyDescent="0.25">
      <c r="A22" s="100"/>
    </row>
    <row r="23" spans="1:2" x14ac:dyDescent="0.25">
      <c r="A23" s="102"/>
    </row>
    <row r="24" spans="1:2" x14ac:dyDescent="0.25">
      <c r="A24" s="99" t="s">
        <v>235</v>
      </c>
    </row>
    <row r="25" spans="1:2" x14ac:dyDescent="0.25">
      <c r="A25" s="100" t="s">
        <v>236</v>
      </c>
    </row>
    <row r="26" spans="1:2" x14ac:dyDescent="0.25">
      <c r="A26" s="100" t="s">
        <v>237</v>
      </c>
    </row>
    <row r="27" spans="1:2" x14ac:dyDescent="0.25">
      <c r="A27" s="101">
        <v>2360000</v>
      </c>
    </row>
    <row r="28" spans="1:2" x14ac:dyDescent="0.25">
      <c r="A28" s="100"/>
    </row>
    <row r="29" spans="1:2" x14ac:dyDescent="0.25">
      <c r="A29" s="102"/>
    </row>
    <row r="30" spans="1:2" x14ac:dyDescent="0.25">
      <c r="A30" s="99" t="s">
        <v>238</v>
      </c>
    </row>
    <row r="31" spans="1:2" x14ac:dyDescent="0.25">
      <c r="A31" s="100" t="s">
        <v>227</v>
      </c>
    </row>
    <row r="32" spans="1:2" x14ac:dyDescent="0.25">
      <c r="A32" s="100" t="s">
        <v>239</v>
      </c>
    </row>
    <row r="33" spans="1:1" x14ac:dyDescent="0.25">
      <c r="A33" s="101">
        <v>1760000</v>
      </c>
    </row>
    <row r="34" spans="1:1" x14ac:dyDescent="0.25">
      <c r="A34" s="100"/>
    </row>
    <row r="35" spans="1:1" x14ac:dyDescent="0.25">
      <c r="A35" s="102"/>
    </row>
    <row r="36" spans="1:1" x14ac:dyDescent="0.25">
      <c r="A36" s="99" t="s">
        <v>240</v>
      </c>
    </row>
    <row r="37" spans="1:1" x14ac:dyDescent="0.25">
      <c r="A37" s="100" t="s">
        <v>241</v>
      </c>
    </row>
    <row r="38" spans="1:1" x14ac:dyDescent="0.25">
      <c r="A38" s="100" t="s">
        <v>242</v>
      </c>
    </row>
    <row r="39" spans="1:1" x14ac:dyDescent="0.25">
      <c r="A39" s="101">
        <v>3060000</v>
      </c>
    </row>
    <row r="40" spans="1:1" x14ac:dyDescent="0.25">
      <c r="A40" s="100"/>
    </row>
    <row r="41" spans="1:1" x14ac:dyDescent="0.25">
      <c r="A41" s="102"/>
    </row>
    <row r="42" spans="1:1" x14ac:dyDescent="0.25">
      <c r="A42" s="99" t="s">
        <v>243</v>
      </c>
    </row>
    <row r="43" spans="1:1" x14ac:dyDescent="0.25">
      <c r="A43" s="100" t="s">
        <v>244</v>
      </c>
    </row>
    <row r="44" spans="1:1" x14ac:dyDescent="0.25">
      <c r="A44" s="100" t="s">
        <v>245</v>
      </c>
    </row>
    <row r="45" spans="1:1" x14ac:dyDescent="0.25">
      <c r="A45" s="101">
        <v>1184000</v>
      </c>
    </row>
    <row r="46" spans="1:1" x14ac:dyDescent="0.25">
      <c r="A46" s="100"/>
    </row>
    <row r="47" spans="1:1" x14ac:dyDescent="0.25">
      <c r="A47" s="102"/>
    </row>
    <row r="48" spans="1:1" x14ac:dyDescent="0.25">
      <c r="A48" s="99" t="s">
        <v>246</v>
      </c>
    </row>
    <row r="49" spans="1:1" x14ac:dyDescent="0.25">
      <c r="A49" s="100" t="s">
        <v>247</v>
      </c>
    </row>
    <row r="50" spans="1:1" x14ac:dyDescent="0.25">
      <c r="A50" s="100" t="s">
        <v>237</v>
      </c>
    </row>
    <row r="51" spans="1:1" x14ac:dyDescent="0.25">
      <c r="A51" s="101">
        <v>2420000</v>
      </c>
    </row>
    <row r="52" spans="1:1" x14ac:dyDescent="0.25">
      <c r="A52" s="100"/>
    </row>
    <row r="53" spans="1:1" x14ac:dyDescent="0.25">
      <c r="A53" s="102"/>
    </row>
    <row r="54" spans="1:1" x14ac:dyDescent="0.25">
      <c r="A54" s="99" t="s">
        <v>248</v>
      </c>
    </row>
    <row r="55" spans="1:1" x14ac:dyDescent="0.25">
      <c r="A55" s="100" t="s">
        <v>249</v>
      </c>
    </row>
    <row r="56" spans="1:1" x14ac:dyDescent="0.25">
      <c r="A56" s="100" t="s">
        <v>250</v>
      </c>
    </row>
    <row r="57" spans="1:1" x14ac:dyDescent="0.25">
      <c r="A57" s="101">
        <v>4760000</v>
      </c>
    </row>
    <row r="58" spans="1:1" x14ac:dyDescent="0.25">
      <c r="A58" s="100"/>
    </row>
    <row r="59" spans="1:1" x14ac:dyDescent="0.25">
      <c r="A59" s="102"/>
    </row>
    <row r="60" spans="1:1" x14ac:dyDescent="0.25">
      <c r="A60" s="99" t="s">
        <v>251</v>
      </c>
    </row>
    <row r="61" spans="1:1" x14ac:dyDescent="0.25">
      <c r="A61" s="100" t="s">
        <v>252</v>
      </c>
    </row>
    <row r="62" spans="1:1" x14ac:dyDescent="0.25">
      <c r="A62" s="100" t="s">
        <v>253</v>
      </c>
    </row>
    <row r="63" spans="1:1" x14ac:dyDescent="0.25">
      <c r="A63" s="101">
        <v>1499000</v>
      </c>
    </row>
    <row r="64" spans="1:1" x14ac:dyDescent="0.25">
      <c r="A64" s="100"/>
    </row>
    <row r="65" spans="1:1" x14ac:dyDescent="0.25">
      <c r="A65" s="102"/>
    </row>
    <row r="66" spans="1:1" x14ac:dyDescent="0.25">
      <c r="A66" s="99" t="s">
        <v>254</v>
      </c>
    </row>
    <row r="67" spans="1:1" x14ac:dyDescent="0.25">
      <c r="A67" s="100" t="s">
        <v>255</v>
      </c>
    </row>
    <row r="68" spans="1:1" x14ac:dyDescent="0.25">
      <c r="A68" s="100" t="s">
        <v>256</v>
      </c>
    </row>
    <row r="69" spans="1:1" x14ac:dyDescent="0.25">
      <c r="A69" s="101">
        <v>1574000</v>
      </c>
    </row>
    <row r="70" spans="1:1" x14ac:dyDescent="0.25">
      <c r="A70" s="100"/>
    </row>
    <row r="71" spans="1:1" x14ac:dyDescent="0.25">
      <c r="A71" s="102"/>
    </row>
    <row r="72" spans="1:1" x14ac:dyDescent="0.25">
      <c r="A72" s="99" t="s">
        <v>257</v>
      </c>
    </row>
    <row r="73" spans="1:1" x14ac:dyDescent="0.25">
      <c r="A73" s="100" t="s">
        <v>258</v>
      </c>
    </row>
    <row r="74" spans="1:1" x14ac:dyDescent="0.25">
      <c r="A74" s="100" t="s">
        <v>259</v>
      </c>
    </row>
    <row r="75" spans="1:1" x14ac:dyDescent="0.25">
      <c r="A75" s="101">
        <v>2665000</v>
      </c>
    </row>
    <row r="76" spans="1:1" x14ac:dyDescent="0.25">
      <c r="A76" s="100"/>
    </row>
    <row r="77" spans="1:1" x14ac:dyDescent="0.25">
      <c r="A77" s="102"/>
    </row>
    <row r="78" spans="1:1" x14ac:dyDescent="0.25">
      <c r="A78" s="99" t="s">
        <v>260</v>
      </c>
    </row>
    <row r="79" spans="1:1" x14ac:dyDescent="0.25">
      <c r="A79" s="100" t="s">
        <v>261</v>
      </c>
    </row>
    <row r="80" spans="1:1" x14ac:dyDescent="0.25">
      <c r="A80" s="100" t="s">
        <v>262</v>
      </c>
    </row>
    <row r="81" spans="1:1" x14ac:dyDescent="0.25">
      <c r="A81" s="101">
        <v>414000</v>
      </c>
    </row>
    <row r="82" spans="1:1" x14ac:dyDescent="0.25">
      <c r="A82" s="100"/>
    </row>
    <row r="83" spans="1:1" x14ac:dyDescent="0.25">
      <c r="A83" s="102"/>
    </row>
    <row r="84" spans="1:1" x14ac:dyDescent="0.25">
      <c r="A84" s="99" t="s">
        <v>263</v>
      </c>
    </row>
    <row r="85" spans="1:1" x14ac:dyDescent="0.25">
      <c r="A85" s="100" t="s">
        <v>264</v>
      </c>
    </row>
    <row r="86" spans="1:1" x14ac:dyDescent="0.25">
      <c r="A86" s="100" t="s">
        <v>265</v>
      </c>
    </row>
    <row r="87" spans="1:1" x14ac:dyDescent="0.25">
      <c r="A87" s="101">
        <v>20360000</v>
      </c>
    </row>
    <row r="88" spans="1:1" x14ac:dyDescent="0.25">
      <c r="A88" s="100"/>
    </row>
    <row r="89" spans="1:1" x14ac:dyDescent="0.25">
      <c r="A89" s="102"/>
    </row>
    <row r="90" spans="1:1" x14ac:dyDescent="0.25">
      <c r="A90" s="99" t="s">
        <v>266</v>
      </c>
    </row>
    <row r="91" spans="1:1" x14ac:dyDescent="0.25">
      <c r="A91" s="100" t="s">
        <v>267</v>
      </c>
    </row>
    <row r="92" spans="1:1" x14ac:dyDescent="0.25">
      <c r="A92" s="100" t="s">
        <v>268</v>
      </c>
    </row>
    <row r="93" spans="1:1" x14ac:dyDescent="0.25">
      <c r="A93" s="101">
        <v>21940000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свод</vt:lpstr>
      <vt:lpstr>свод_ВК,ВС</vt:lpstr>
      <vt:lpstr>КП прил. к конкурсу</vt:lpstr>
      <vt:lpstr>Лист2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2025-05-20T09:14:38Z</dcterms:modified>
</cp:coreProperties>
</file>