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0" yWindow="0" windowWidth="12585" windowHeight="4500" activeTab="2"/>
  </bookViews>
  <sheets>
    <sheet name="сроки" sheetId="1" r:id="rId1"/>
    <sheet name="сметы" sheetId="2" r:id="rId2"/>
    <sheet name="здания" sheetId="3" r:id="rId3"/>
    <sheet name="Лист2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E27" i="2"/>
  <c r="D27" i="2"/>
  <c r="C27" i="2" s="1"/>
  <c r="N27" i="2" s="1"/>
  <c r="L26" i="2"/>
  <c r="K26" i="2"/>
  <c r="J26" i="2"/>
  <c r="I26" i="2"/>
  <c r="H26" i="2"/>
  <c r="G26" i="2"/>
  <c r="F26" i="2"/>
  <c r="E26" i="2"/>
  <c r="D26" i="2"/>
  <c r="C26" i="2"/>
  <c r="C29" i="2" s="1"/>
  <c r="N25" i="2"/>
  <c r="F25" i="2"/>
  <c r="N24" i="2"/>
  <c r="F24" i="2"/>
  <c r="C24" i="2"/>
  <c r="N23" i="2"/>
  <c r="F23" i="2"/>
  <c r="C23" i="2"/>
  <c r="N22" i="2"/>
  <c r="F22" i="2"/>
  <c r="C22" i="2"/>
  <c r="N21" i="2"/>
  <c r="F21" i="2"/>
  <c r="C21" i="2"/>
  <c r="N20" i="2"/>
  <c r="F20" i="2"/>
  <c r="C20" i="2"/>
  <c r="N19" i="2"/>
  <c r="F19" i="2"/>
  <c r="C19" i="2"/>
  <c r="N18" i="2"/>
  <c r="F18" i="2"/>
  <c r="C18" i="2"/>
  <c r="N17" i="2"/>
  <c r="F17" i="2"/>
  <c r="C17" i="2"/>
  <c r="N16" i="2"/>
  <c r="F16" i="2"/>
  <c r="C16" i="2"/>
  <c r="N15" i="2"/>
  <c r="F15" i="2"/>
  <c r="C15" i="2"/>
  <c r="N14" i="2"/>
  <c r="F14" i="2"/>
  <c r="C14" i="2"/>
  <c r="N13" i="2"/>
  <c r="F13" i="2"/>
  <c r="C13" i="2"/>
  <c r="N12" i="2"/>
  <c r="F12" i="2"/>
  <c r="C12" i="2"/>
  <c r="N11" i="2"/>
  <c r="F11" i="2"/>
  <c r="C11" i="2"/>
  <c r="N10" i="2"/>
  <c r="F10" i="2"/>
  <c r="C10" i="2"/>
  <c r="N9" i="2"/>
  <c r="F9" i="2"/>
  <c r="C9" i="2"/>
  <c r="N8" i="2"/>
  <c r="F8" i="2"/>
  <c r="C8" i="2"/>
  <c r="N7" i="2"/>
  <c r="F7" i="2"/>
  <c r="C7" i="2"/>
  <c r="N6" i="2"/>
  <c r="F6" i="2"/>
  <c r="C6" i="2"/>
  <c r="N5" i="2"/>
  <c r="F5" i="2"/>
  <c r="C5" i="2"/>
  <c r="N4" i="2"/>
  <c r="N26" i="2" s="1"/>
  <c r="O26" i="2" s="1"/>
  <c r="F4" i="2"/>
  <c r="C4" i="2"/>
  <c r="C30" i="2" l="1"/>
  <c r="C31" i="2" s="1"/>
  <c r="C32" i="2" s="1"/>
</calcChain>
</file>

<file path=xl/sharedStrings.xml><?xml version="1.0" encoding="utf-8"?>
<sst xmlns="http://schemas.openxmlformats.org/spreadsheetml/2006/main" count="185" uniqueCount="180">
  <si>
    <t>№</t>
  </si>
  <si>
    <t>Наименование шифра</t>
  </si>
  <si>
    <t>Шифр РД</t>
  </si>
  <si>
    <t>Начало выполнения работ</t>
  </si>
  <si>
    <t>Окончание выполнения работ</t>
  </si>
  <si>
    <t>Внутренние системы водоснабжения и канализации. Крытый склад №1.</t>
  </si>
  <si>
    <t>1632-2021-3.1-ВК</t>
  </si>
  <si>
    <t>Внутренние системы водоснабжения и канализации. Крытый склад №2.</t>
  </si>
  <si>
    <t>1632-2021-3.2-ВК</t>
  </si>
  <si>
    <t>Крытые склады №1 и №2 Воздухоснабжение</t>
  </si>
  <si>
    <t>1632-2021-3.1, 3.2-ВС</t>
  </si>
  <si>
    <t>Купольный склад Внутренние системы водоснабжения и канализации</t>
  </si>
  <si>
    <t>1632-2021-3.3-ВК</t>
  </si>
  <si>
    <t>Купольный склад Воздухоснабжение</t>
  </si>
  <si>
    <t>1632-2021-3.3-ВС</t>
  </si>
  <si>
    <t>Внутренние системы водоснабжения и канализации. Конвейерная галерея №1.</t>
  </si>
  <si>
    <t>1632-2021-2.1.1-ВК</t>
  </si>
  <si>
    <t>Конвейерная галерея №1 Воздухоснабжение</t>
  </si>
  <si>
    <t>1632-2021-2.1.1-ВС</t>
  </si>
  <si>
    <t>Внутренние системы водоснабжения и канализации. Конвейерные галереи №2 и №7 в осях 8-14.</t>
  </si>
  <si>
    <t>1632-2021-2.1.2, 2.1.7-ВК2</t>
  </si>
  <si>
    <t>Внутренние системы водоснабжения и канализации. Конвейерные галереи №2 и №7 в осях 15-23.</t>
  </si>
  <si>
    <t>1632-2021-2.1.2, 2.1.7-ВК3</t>
  </si>
  <si>
    <t>Внутренние системы водоснабжения и канализации. Конвейерные галереи №2 и №7 в осях 1-7.</t>
  </si>
  <si>
    <t>1632-2021-2.1.2, 2.1.7-ВК1</t>
  </si>
  <si>
    <t>Конвейерная галерея №2 и конвейерная галерея №7. Воздухоснабжение</t>
  </si>
  <si>
    <t>1632-2021-2.1.2, 2.1.7-ВС</t>
  </si>
  <si>
    <t>Внутренние системы водоснабжения и канализации. Конвейерная галерея №3.</t>
  </si>
  <si>
    <t>1632-2021-2.1.3-ВК</t>
  </si>
  <si>
    <t>Конвейерная галерея №3 и приводная станция. Воздухоснабжение</t>
  </si>
  <si>
    <t>1632-2021-2.1.3, 2.2.7-ВС</t>
  </si>
  <si>
    <t>Внутренние системы водоснабжения и канализации. Конвейерная галерея №4.</t>
  </si>
  <si>
    <t>1632-2021-2.1.4-ВК</t>
  </si>
  <si>
    <t>Конвейерная галерея №4 Воздухоснабжение</t>
  </si>
  <si>
    <t>1632-2021-2.1.4-ВС</t>
  </si>
  <si>
    <t>С Даты заключения Договора</t>
  </si>
  <si>
    <t xml:space="preserve">В течении 11 календарных дней </t>
  </si>
  <si>
    <t>Внутренние системы водоснабжения и канализации. Конвейерная галерея №5.</t>
  </si>
  <si>
    <t>1632-2021-2.1.5-ВК</t>
  </si>
  <si>
    <t>Конвейерная галерея №6 Воздухоснабжение</t>
  </si>
  <si>
    <t>1632-2021-2.1.6-ВС</t>
  </si>
  <si>
    <t>Внутренние системы водоснабжения и канализации. Пересыпная станция №4, Конвейерная галерея №6.</t>
  </si>
  <si>
    <t>1632-2021-2.2.4, 2.1.6-ВК</t>
  </si>
  <si>
    <t>Внутренние системы водоснабжения и канализации. Конвейерная галерея №11.</t>
  </si>
  <si>
    <t>1632-2021-2.1.11-ВК</t>
  </si>
  <si>
    <t>Внутренние системы водоснабжения и канализации. Конвейерная галерея №12.</t>
  </si>
  <si>
    <t>1632-2021-2.1.12-ВК</t>
  </si>
  <si>
    <t>Внутренние системы водоснабжения и канализации. Тоннель. Пересыпная станция №1.</t>
  </si>
  <si>
    <t>1632-2021-2.1.0, 2.2.1-ВК</t>
  </si>
  <si>
    <t>Конвейерная галерея №8, конвейерная галерея №9 и конвейерная галерея №10</t>
  </si>
  <si>
    <t>1632-2021-2.1.8, 2.1.9, 2.1.10-ВС</t>
  </si>
  <si>
    <t>Конвейерная галерея №11 Воздухоснабжение</t>
  </si>
  <si>
    <t>1632-2021-2.1.11-ВС</t>
  </si>
  <si>
    <t>Пересыпная станция №1 Воздухоснабжение</t>
  </si>
  <si>
    <t>1632-2021-2.2.1-ВС</t>
  </si>
  <si>
    <t>Внутренние системы водоснабжения и канализации. Пересыпная станция №2.</t>
  </si>
  <si>
    <t>1632-2021-2.2.2-ВК</t>
  </si>
  <si>
    <t xml:space="preserve">В течении 36 календарных дней </t>
  </si>
  <si>
    <t>Пересыпная станция №2 Воздухоснабжение</t>
  </si>
  <si>
    <t>1632-2021-2.2.2-ВС</t>
  </si>
  <si>
    <t>Внутренние системы водоснабжения и канализации. Пересыпная станция №3.</t>
  </si>
  <si>
    <t>1632-2021-2.2.3-ВК</t>
  </si>
  <si>
    <t>Пересыпная станция №3 Воздухоснабжение</t>
  </si>
  <si>
    <t>1632-2021-2.2.3-ВС</t>
  </si>
  <si>
    <t>Пересыпная станция №4. Воздухоснабжение</t>
  </si>
  <si>
    <t>1632-2021-2.2.4-ВС</t>
  </si>
  <si>
    <t>Пересыпная станция №5 и конвейерная галерея №13 Воздухоснабжение</t>
  </si>
  <si>
    <t>1632-2021-2.2.5, 2.1.13-ВС</t>
  </si>
  <si>
    <t>Внутренние системы водоснабжения и канализации. Пересыпная станция №6.</t>
  </si>
  <si>
    <t>1632-2021-2.2.6-ВК</t>
  </si>
  <si>
    <t>Пересыпная станция №6 Воздухоснабжение</t>
  </si>
  <si>
    <t>1632-2021-2.2.6-ВС</t>
  </si>
  <si>
    <t>Внутренние системы водоснабжения и канализации. Станция разгрузки вагонов. Трансбордер.</t>
  </si>
  <si>
    <t>1632-2021-1.1, 1.2-ВК</t>
  </si>
  <si>
    <t>Станция разгрузки вагонов Воздухоснабжение</t>
  </si>
  <si>
    <t>1632-2021-1.1-ВС</t>
  </si>
  <si>
    <t>Внутренние системы водоснабжения и канализации. Приводная станция.</t>
  </si>
  <si>
    <t>1632-2021-2.2.7-ВК</t>
  </si>
  <si>
    <t xml:space="preserve">В течении 25 календарных дней </t>
  </si>
  <si>
    <t>Внутренние системы водоснабжения и канализации. Пересыпная станция №5 и конвейерная галерея №13.</t>
  </si>
  <si>
    <t>1632-2021-2.2.5, 2.1.13-ВК</t>
  </si>
  <si>
    <t>№ п.п.</t>
  </si>
  <si>
    <t>Наименование работ и затрат</t>
  </si>
  <si>
    <t>Цена, руб. без НДС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</si>
  <si>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</si>
  <si>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</si>
  <si>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</si>
  <si>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</si>
  <si>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ММ 2%</t>
  </si>
  <si>
    <t>Непредвиденные 3%</t>
  </si>
  <si>
    <t>Кдог.</t>
  </si>
  <si>
    <t>ИТОГО, руб. без НДС</t>
  </si>
  <si>
    <t>Работы</t>
  </si>
  <si>
    <t>Материалы</t>
  </si>
  <si>
    <t>Оборудование</t>
  </si>
  <si>
    <t>всего, без 3%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</si>
  <si>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</si>
  <si>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</si>
  <si>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</si>
  <si>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 екселе название перепутано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</si>
  <si>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</si>
  <si>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</si>
  <si>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</si>
  <si>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</si>
  <si>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</si>
  <si>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</si>
  <si>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</si>
  <si>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</si>
  <si>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</si>
  <si>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Внутренние системы водоснабжения и канализации, Пересыпная станция № 4. Конвейерная галерея № 6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</si>
  <si>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</si>
  <si>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</si>
  <si>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</si>
  <si>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</si>
  <si>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</si>
  <si>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</si>
  <si>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</si>
  <si>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</si>
  <si>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нет в списке смет (прил. 7.2 к конкурсу)</t>
  </si>
  <si>
    <t>ВСЕГО</t>
  </si>
  <si>
    <t>Прочее</t>
  </si>
  <si>
    <t>Итоговая стоимость, Руб. без НДС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</si>
  <si>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</si>
  <si>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</si>
  <si>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Руб.с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</si>
  <si>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</si>
  <si>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</si>
  <si>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</si>
  <si>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</si>
  <si>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</si>
  <si>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</si>
  <si>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</si>
  <si>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</si>
  <si>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</si>
  <si>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</si>
  <si>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</si>
  <si>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</si>
  <si>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</si>
  <si>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</si>
  <si>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</si>
  <si>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</si>
  <si>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</si>
  <si>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</si>
  <si>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Станция разгрузки вагонов, Здание трансбордера</t>
  </si>
  <si>
    <t>Пересыпная станция №1, Тоннель</t>
  </si>
  <si>
    <t>Конвейерная галерея №1</t>
  </si>
  <si>
    <t xml:space="preserve"> Конвейерная галерея №6</t>
  </si>
  <si>
    <t>Конвейерная галерея №3</t>
  </si>
  <si>
    <t>Конвейерная галерея №4</t>
  </si>
  <si>
    <t>Конвейерная галерея №5</t>
  </si>
  <si>
    <t>Конвейерная галерея №11</t>
  </si>
  <si>
    <t>Конвейерная галерея №12</t>
  </si>
  <si>
    <t>Пересыпная станция №2</t>
  </si>
  <si>
    <t>Пересыпная станция №3</t>
  </si>
  <si>
    <t xml:space="preserve"> Пересыпная станция №6</t>
  </si>
  <si>
    <t>Приводная станция</t>
  </si>
  <si>
    <t>Крытый склад № 1</t>
  </si>
  <si>
    <t>Крытый склад № 2</t>
  </si>
  <si>
    <t>Купольный склад</t>
  </si>
  <si>
    <t>Конвейерная галерея № 6</t>
  </si>
  <si>
    <t>Пересыпная станция №13</t>
  </si>
  <si>
    <t>Пересыпная станция №5</t>
  </si>
  <si>
    <t>Конвейерная галерея №7</t>
  </si>
  <si>
    <t>Конвейерная галерея № 2</t>
  </si>
  <si>
    <t>Пересыпная станция № 4</t>
  </si>
  <si>
    <t>Наименование</t>
  </si>
  <si>
    <t>№ п/п</t>
  </si>
  <si>
    <t>№ п\п</t>
  </si>
  <si>
    <t>Наименование конкурса</t>
  </si>
  <si>
    <t>Ввод в эксплуатацию внутренних систем водоснабжения, канализации, воздухоснабжения в рамках реализации проекта «Терминал по перевалке минеральных удобрений в морском торговом порту Усть-Луга. Береговые объекты терминала».</t>
  </si>
  <si>
    <t>Сведения о НМЦ</t>
  </si>
  <si>
    <t>нет</t>
  </si>
  <si>
    <t>Виды работ</t>
  </si>
  <si>
    <t xml:space="preserve">1. 1632-2021-3.1-ВК. Внутренние системы водоснабжения и канализации. Крытый склад №1.
2. 1632-2021-3.2-ВК. Внутренние системы водоснабжения и канализации. Крытый склад №2.
3. 1632-2021-3.1, 3.2-ВС. Крытые склады №1 и №2
4. 1632-2021-3.3-ВК. Купольный склад. Внутренние системы водоснабжения и канализации
5. 1632-2021-3.3-ВС. Купольный склад. Воздухоснабжение
6. 1632-2021-2.1.1-ВК. Внутренние системы водоснабжения и канализации. Конвейерная галерея №1.
7. 1632-2021-2.1.1-ВС. Конвейерная галерея №1 Воздухоснабжение
8. 1632-2021-2.1.2, 2.1.7-ВК2. Внутренние системы водоснабжения и канализации. Конвейерные галереи №2 и №7 в осях 8-14.
9. 1632-2021-2.1.2, 2.1.7-ВК3. Внутренние системы водоснабжения и канализации. Конвейерные галереи №2 и №7 в осях 15-23.
10. 1632-2021-2.1.2, 2.1.7-ВК1. Внутренние системы водоснабжения и канализации. Конвейерные галереи №2 и №7 в осях 1-7.
11. 1632-2021-2.1.2, 2.1.7-ВС. Конвейерная галерея №2 и конвейерная галерея №7. Воздухоснабжение
12. 1632-2021-2.1.3-ВК. Внутренние системы водоснабжения и канализации. Конвейерная галерея №3.
13. 1632-2021-2.1.3, 2.2.7-ВС. Конвейерная галерея №3 и приводная станция.  Воздухоснабжение
14. 1632-2021-2.1.4-ВК. Внутренние системы водоснабжения и канализации. Конвейерная галерея №4.
15. 1632-2021-2.1.4-ВС. Конвейерная галерея №4. Воздухоснабжение
16. 1632-2021-2.1.5-ВК. Внутренние системы водоснабжения и канализации. Конвейерная галерея №5.
17. 1632-2021-2.1.6-ВС. Конвейерная галерея №6. Воздухоснабжение
18. 1632-2021-2.2.4, 2.1.6-ВК. Внутренние системы водоснабжения и канализации. Пересыпная станция №4, Конвейерная галерея №6.
19. 1632-2021-2.1.11-ВК. Внутренние системы водоснабжения и канализации. Конвейерная галерея №11.
20. 1632-2021-2.1.12-ВК. Внутренние системы водоснабжения и канализации. Конвейерная галерея №12.
21. 1632-2021-2.1.0, 2.2.1-ВК. Внутренние системы водоснабжения и канализации. Тоннель. Пересыпная станция №1.
22. 1632-2021-2.1.8, 2.1.9, 2.1.10-ВС. Конвейерная галерея №8, конвейерная галерея №9 и конвейерная галерея №10. Воздухоснабжение 
23. 1632-2021-2.1.11-ВС. Конвейерная галерея №11. Воздухоснабжение
24. 1632-2021-2.2.1-ВС. Пересыпная станция №1. Воздухоснабжение
25. 1632-2021-2.2.2-ВК. Внутренние системы водоснабжения и канализации. Пересыпная станция №2.
26. 1632-2021-2.2.2-ВС. Пересыпная станция №2. Воздухоснабжение
27. 1632-2021-2.2.3-ВК. Внутренние системы водоснабжения и канализации. Пересыпная станция №3.
28. 1632-2021-2.2.3-ВС. Пересыпная станция №3. Воздухоснабжение
29. 1632-2021-2.2.4-ВС. Пересыпная станция №4. Воздухоснабжение
30. 1632-2021-2.2.5, 2.1.13-ВС. Пересыпная станция №5 и конвейерная галерея №13. Воздухоснабжение
31. 1632-2021-2.2.6-ВК. Внутренние системы водоснабжения и канализации. Пересыпная станция №6.
32. 1632-2021-2.2.6-ВС. Пересыпная станция №6. Воздухоснабжение
33. 1632-2021-1.1, 1.2-ВК. Внутренние системы водоснабжения и канализации. Станция разгрузки вагонов. Трансбордер.
34. 1632-2021-1.1-ВС. Станция разгрузки вагонов Воздухоснабжение
35. 1632-2021-2.2.7-ВК. Внутренние системы водоснабжения и канализации. Приводная станция.
36. 1632-2021-2.2.5, 2.1.13-ВК. Внутренние системы водоснабжения и канализации. Пересыпная станция №5 и конвейерная галерея №13.
</t>
  </si>
  <si>
    <t>Наличие смет</t>
  </si>
  <si>
    <t>вк-да/вс-нет</t>
  </si>
  <si>
    <t>Наличие РД</t>
  </si>
  <si>
    <t>да</t>
  </si>
  <si>
    <t>Срок производства работ</t>
  </si>
  <si>
    <t>Завершение работ не более 365 календарных дней с даты заключения Договора. Сроки окончания выполнения отдельных видов Работ определяются Приложением №1.
Сроки, указанные в Приложении 1, могут быть скорректированы по согласованию Сторон при подписании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</si>
</sst>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6E3B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9" fillId="3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3" fontId="0" fillId="0" borderId="0" xfId="0" applyNumberFormat="1"/>
    <xf numFmtId="0" fontId="7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4" fontId="10" fillId="0" borderId="16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4" fontId="7" fillId="0" borderId="16" xfId="0" applyNumberFormat="1" applyFont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4" fontId="12" fillId="4" borderId="4" xfId="0" applyNumberFormat="1" applyFont="1" applyFill="1" applyBorder="1" applyAlignment="1">
      <alignment horizontal="right" vertical="center"/>
    </xf>
    <xf numFmtId="4" fontId="4" fillId="4" borderId="4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 wrapText="1"/>
    </xf>
    <xf numFmtId="0" fontId="15" fillId="5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right" vertical="center" wrapText="1"/>
    </xf>
    <xf numFmtId="0" fontId="15" fillId="5" borderId="19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18" fillId="0" borderId="0" xfId="0" applyFont="1"/>
    <xf numFmtId="0" fontId="3" fillId="2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" fontId="16" fillId="5" borderId="7" xfId="0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vertical="center"/>
    </xf>
    <xf numFmtId="0" fontId="20" fillId="0" borderId="27" xfId="0" applyFont="1" applyBorder="1" applyAlignment="1">
      <alignment horizontal="left" vertical="center" wrapText="1" shrinkToFit="1"/>
    </xf>
    <xf numFmtId="0" fontId="20" fillId="0" borderId="28" xfId="0" applyFont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4" fontId="20" fillId="0" borderId="29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1" fillId="0" borderId="37" xfId="0" applyFont="1" applyBorder="1" applyAlignment="1">
      <alignment vertical="center"/>
    </xf>
    <xf numFmtId="0" fontId="20" fillId="0" borderId="3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 refreshError="1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 refreshError="1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 refreshError="1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2-ВК ПС №2 - Полн"/>
    </sheetNames>
    <sheetDataSet>
      <sheetData sheetId="0" refreshError="1">
        <row r="265">
          <cell r="L265">
            <v>3786272</v>
          </cell>
        </row>
        <row r="279">
          <cell r="L279">
            <v>6451214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 refreshError="1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 refreshError="1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 refreshError="1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 refreshError="1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 refreshError="1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 refreshError="1">
        <row r="342">
          <cell r="L342">
            <v>336268.3</v>
          </cell>
        </row>
        <row r="356">
          <cell r="L356">
            <v>2580122.21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 refreshError="1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 refreshError="1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 refreshError="1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 refreshError="1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 refreshError="1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 refreshError="1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 refreshError="1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 refreshError="1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 refreshError="1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 refreshError="1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 refreshError="1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 refreshError="1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41"/>
  <sheetViews>
    <sheetView topLeftCell="A16" workbookViewId="0">
      <selection activeCell="K24" sqref="K24"/>
    </sheetView>
  </sheetViews>
  <sheetFormatPr defaultRowHeight="15" x14ac:dyDescent="0.25"/>
  <cols>
    <col min="3" max="3" width="67.42578125" customWidth="1"/>
    <col min="5" max="5" width="13.85546875" customWidth="1"/>
    <col min="6" max="6" width="16.85546875" customWidth="1"/>
    <col min="8" max="8" width="24.28515625" customWidth="1"/>
    <col min="9" max="9" width="11.42578125" bestFit="1" customWidth="1"/>
  </cols>
  <sheetData>
    <row r="4" spans="2:9" ht="25.5" x14ac:dyDescent="0.25">
      <c r="B4" s="1" t="s">
        <v>0</v>
      </c>
      <c r="C4" s="2" t="s">
        <v>1</v>
      </c>
      <c r="D4" s="62" t="s">
        <v>2</v>
      </c>
      <c r="E4" s="62"/>
      <c r="F4" s="63" t="s">
        <v>3</v>
      </c>
      <c r="G4" s="63"/>
      <c r="H4" s="1" t="s">
        <v>4</v>
      </c>
    </row>
    <row r="5" spans="2:9" ht="21.75" customHeight="1" x14ac:dyDescent="0.25">
      <c r="B5" s="3">
        <v>1</v>
      </c>
      <c r="C5" s="4" t="s">
        <v>5</v>
      </c>
      <c r="D5" s="56" t="s">
        <v>6</v>
      </c>
      <c r="E5" s="56"/>
      <c r="F5" s="58">
        <v>45983</v>
      </c>
      <c r="G5" s="58"/>
      <c r="H5" s="5">
        <v>46032</v>
      </c>
      <c r="I5" s="15"/>
    </row>
    <row r="6" spans="2:9" ht="21.75" customHeight="1" x14ac:dyDescent="0.25">
      <c r="B6" s="3">
        <v>2</v>
      </c>
      <c r="C6" s="4" t="s">
        <v>7</v>
      </c>
      <c r="D6" s="56" t="s">
        <v>8</v>
      </c>
      <c r="E6" s="56"/>
      <c r="F6" s="58">
        <v>46112</v>
      </c>
      <c r="G6" s="58"/>
      <c r="H6" s="5">
        <v>46156</v>
      </c>
      <c r="I6" s="15"/>
    </row>
    <row r="7" spans="2:9" x14ac:dyDescent="0.25">
      <c r="B7" s="3">
        <v>3</v>
      </c>
      <c r="C7" s="4" t="s">
        <v>9</v>
      </c>
      <c r="D7" s="56" t="s">
        <v>10</v>
      </c>
      <c r="E7" s="56"/>
      <c r="F7" s="58">
        <v>46121</v>
      </c>
      <c r="G7" s="58"/>
      <c r="H7" s="5">
        <v>46146</v>
      </c>
    </row>
    <row r="8" spans="2:9" x14ac:dyDescent="0.25">
      <c r="B8" s="3">
        <v>4</v>
      </c>
      <c r="C8" s="4" t="s">
        <v>11</v>
      </c>
      <c r="D8" s="56" t="s">
        <v>12</v>
      </c>
      <c r="E8" s="56"/>
      <c r="F8" s="58">
        <v>45838</v>
      </c>
      <c r="G8" s="58"/>
      <c r="H8" s="5">
        <v>45857</v>
      </c>
      <c r="I8" s="15"/>
    </row>
    <row r="9" spans="2:9" x14ac:dyDescent="0.25">
      <c r="B9" s="3">
        <v>5</v>
      </c>
      <c r="C9" s="4" t="s">
        <v>13</v>
      </c>
      <c r="D9" s="56" t="s">
        <v>14</v>
      </c>
      <c r="E9" s="56"/>
      <c r="F9" s="58">
        <v>45808</v>
      </c>
      <c r="G9" s="58"/>
      <c r="H9" s="5">
        <v>45886</v>
      </c>
    </row>
    <row r="10" spans="2:9" x14ac:dyDescent="0.25">
      <c r="B10" s="3">
        <v>6</v>
      </c>
      <c r="C10" s="4" t="s">
        <v>15</v>
      </c>
      <c r="D10" s="56" t="s">
        <v>16</v>
      </c>
      <c r="E10" s="56"/>
      <c r="F10" s="58">
        <v>45914</v>
      </c>
      <c r="G10" s="58"/>
      <c r="H10" s="5">
        <v>45933</v>
      </c>
      <c r="I10" s="15"/>
    </row>
    <row r="11" spans="2:9" x14ac:dyDescent="0.25">
      <c r="B11" s="3">
        <v>7</v>
      </c>
      <c r="C11" s="4" t="s">
        <v>17</v>
      </c>
      <c r="D11" s="56" t="s">
        <v>18</v>
      </c>
      <c r="E11" s="56"/>
      <c r="F11" s="58">
        <v>45891</v>
      </c>
      <c r="G11" s="58"/>
      <c r="H11" s="5">
        <v>45910</v>
      </c>
    </row>
    <row r="12" spans="2:9" ht="25.5" x14ac:dyDescent="0.25">
      <c r="B12" s="3">
        <v>8</v>
      </c>
      <c r="C12" s="4" t="s">
        <v>19</v>
      </c>
      <c r="D12" s="56" t="s">
        <v>20</v>
      </c>
      <c r="E12" s="56"/>
      <c r="F12" s="58">
        <v>45953</v>
      </c>
      <c r="G12" s="58"/>
      <c r="H12" s="5">
        <v>45960</v>
      </c>
      <c r="I12" s="15"/>
    </row>
    <row r="13" spans="2:9" ht="25.5" x14ac:dyDescent="0.25">
      <c r="B13" s="3">
        <v>9</v>
      </c>
      <c r="C13" s="4" t="s">
        <v>21</v>
      </c>
      <c r="D13" s="56" t="s">
        <v>22</v>
      </c>
      <c r="E13" s="56"/>
      <c r="F13" s="58">
        <v>45960</v>
      </c>
      <c r="G13" s="58"/>
      <c r="H13" s="5">
        <v>45974</v>
      </c>
      <c r="I13" s="15"/>
    </row>
    <row r="14" spans="2:9" ht="25.5" x14ac:dyDescent="0.25">
      <c r="B14" s="3">
        <v>10</v>
      </c>
      <c r="C14" s="4" t="s">
        <v>23</v>
      </c>
      <c r="D14" s="56" t="s">
        <v>24</v>
      </c>
      <c r="E14" s="56"/>
      <c r="F14" s="58">
        <v>45946</v>
      </c>
      <c r="G14" s="58"/>
      <c r="H14" s="5">
        <v>45960</v>
      </c>
      <c r="I14" s="15"/>
    </row>
    <row r="15" spans="2:9" x14ac:dyDescent="0.25">
      <c r="B15" s="3">
        <v>11</v>
      </c>
      <c r="C15" s="4" t="s">
        <v>25</v>
      </c>
      <c r="D15" s="56" t="s">
        <v>26</v>
      </c>
      <c r="E15" s="56"/>
      <c r="F15" s="58">
        <v>45960</v>
      </c>
      <c r="G15" s="58"/>
      <c r="H15" s="5">
        <v>45974</v>
      </c>
    </row>
    <row r="16" spans="2:9" x14ac:dyDescent="0.25">
      <c r="B16" s="3">
        <v>12</v>
      </c>
      <c r="C16" s="4" t="s">
        <v>27</v>
      </c>
      <c r="D16" s="56" t="s">
        <v>28</v>
      </c>
      <c r="E16" s="56"/>
      <c r="F16" s="58">
        <v>45940</v>
      </c>
      <c r="G16" s="58"/>
      <c r="H16" s="5">
        <v>45959</v>
      </c>
    </row>
    <row r="17" spans="2:8" x14ac:dyDescent="0.25">
      <c r="B17" s="3">
        <v>13</v>
      </c>
      <c r="C17" s="4" t="s">
        <v>29</v>
      </c>
      <c r="D17" s="56" t="s">
        <v>30</v>
      </c>
      <c r="E17" s="56"/>
      <c r="F17" s="58">
        <v>45960</v>
      </c>
      <c r="G17" s="58"/>
      <c r="H17" s="5">
        <v>45989</v>
      </c>
    </row>
    <row r="18" spans="2:8" x14ac:dyDescent="0.25">
      <c r="B18" s="3">
        <v>14</v>
      </c>
      <c r="C18" s="6" t="s">
        <v>31</v>
      </c>
      <c r="D18" s="61" t="s">
        <v>32</v>
      </c>
      <c r="E18" s="61"/>
      <c r="F18" s="58">
        <v>45808</v>
      </c>
      <c r="G18" s="58"/>
      <c r="H18" s="5">
        <v>45822</v>
      </c>
    </row>
    <row r="19" spans="2:8" ht="25.5" x14ac:dyDescent="0.25">
      <c r="B19" s="3">
        <v>15</v>
      </c>
      <c r="C19" s="6" t="s">
        <v>33</v>
      </c>
      <c r="D19" s="61" t="s">
        <v>34</v>
      </c>
      <c r="E19" s="61"/>
      <c r="F19" s="57" t="s">
        <v>35</v>
      </c>
      <c r="G19" s="57"/>
      <c r="H19" s="7" t="s">
        <v>36</v>
      </c>
    </row>
    <row r="20" spans="2:8" x14ac:dyDescent="0.25">
      <c r="B20" s="3">
        <v>16</v>
      </c>
      <c r="C20" s="4" t="s">
        <v>37</v>
      </c>
      <c r="D20" s="61" t="s">
        <v>38</v>
      </c>
      <c r="E20" s="61"/>
      <c r="F20" s="58">
        <v>45896</v>
      </c>
      <c r="G20" s="58"/>
      <c r="H20" s="5">
        <v>45909</v>
      </c>
    </row>
    <row r="21" spans="2:8" x14ac:dyDescent="0.25">
      <c r="B21" s="3">
        <v>17</v>
      </c>
      <c r="C21" s="4" t="s">
        <v>39</v>
      </c>
      <c r="D21" s="61" t="s">
        <v>40</v>
      </c>
      <c r="E21" s="61"/>
      <c r="F21" s="58">
        <v>45983</v>
      </c>
      <c r="G21" s="58"/>
      <c r="H21" s="5">
        <v>45999</v>
      </c>
    </row>
    <row r="22" spans="2:8" ht="25.5" x14ac:dyDescent="0.25">
      <c r="B22" s="3">
        <v>18</v>
      </c>
      <c r="C22" s="4" t="s">
        <v>41</v>
      </c>
      <c r="D22" s="56" t="s">
        <v>42</v>
      </c>
      <c r="E22" s="56"/>
      <c r="F22" s="58">
        <v>45950</v>
      </c>
      <c r="G22" s="58"/>
      <c r="H22" s="5">
        <v>45969</v>
      </c>
    </row>
    <row r="23" spans="2:8" x14ac:dyDescent="0.25">
      <c r="B23" s="3">
        <v>19</v>
      </c>
      <c r="C23" s="4" t="s">
        <v>43</v>
      </c>
      <c r="D23" s="56" t="s">
        <v>44</v>
      </c>
      <c r="E23" s="56"/>
      <c r="F23" s="58">
        <v>45902</v>
      </c>
      <c r="G23" s="58"/>
      <c r="H23" s="5">
        <v>45921</v>
      </c>
    </row>
    <row r="24" spans="2:8" x14ac:dyDescent="0.25">
      <c r="B24" s="3">
        <v>20</v>
      </c>
      <c r="C24" s="4" t="s">
        <v>45</v>
      </c>
      <c r="D24" s="56" t="s">
        <v>46</v>
      </c>
      <c r="E24" s="56"/>
      <c r="F24" s="58">
        <v>45954</v>
      </c>
      <c r="G24" s="58"/>
      <c r="H24" s="5">
        <v>45970</v>
      </c>
    </row>
    <row r="25" spans="2:8" ht="25.5" x14ac:dyDescent="0.25">
      <c r="B25" s="3">
        <v>21</v>
      </c>
      <c r="C25" s="4" t="s">
        <v>47</v>
      </c>
      <c r="D25" s="56" t="s">
        <v>48</v>
      </c>
      <c r="E25" s="56"/>
      <c r="F25" s="58">
        <v>45870</v>
      </c>
      <c r="G25" s="58"/>
      <c r="H25" s="5">
        <v>45921</v>
      </c>
    </row>
    <row r="26" spans="2:8" x14ac:dyDescent="0.25">
      <c r="B26" s="3">
        <v>22</v>
      </c>
      <c r="C26" s="4" t="s">
        <v>49</v>
      </c>
      <c r="D26" s="56" t="s">
        <v>50</v>
      </c>
      <c r="E26" s="56"/>
      <c r="F26" s="58">
        <v>45906</v>
      </c>
      <c r="G26" s="58"/>
      <c r="H26" s="5">
        <v>45922</v>
      </c>
    </row>
    <row r="27" spans="2:8" x14ac:dyDescent="0.25">
      <c r="B27" s="3">
        <v>23</v>
      </c>
      <c r="C27" s="4" t="s">
        <v>51</v>
      </c>
      <c r="D27" s="56" t="s">
        <v>52</v>
      </c>
      <c r="E27" s="56"/>
      <c r="F27" s="58">
        <v>45902</v>
      </c>
      <c r="G27" s="58"/>
      <c r="H27" s="5">
        <v>45922</v>
      </c>
    </row>
    <row r="28" spans="2:8" x14ac:dyDescent="0.25">
      <c r="B28" s="59">
        <v>24</v>
      </c>
      <c r="C28" s="60" t="s">
        <v>53</v>
      </c>
      <c r="D28" s="56" t="s">
        <v>54</v>
      </c>
      <c r="E28" s="56"/>
      <c r="F28" s="58">
        <v>45918</v>
      </c>
      <c r="G28" s="58"/>
      <c r="H28" s="58">
        <v>45963</v>
      </c>
    </row>
    <row r="29" spans="2:8" x14ac:dyDescent="0.25">
      <c r="B29" s="59"/>
      <c r="C29" s="60"/>
      <c r="D29" s="56"/>
      <c r="E29" s="56"/>
      <c r="F29" s="58"/>
      <c r="G29" s="58"/>
      <c r="H29" s="58"/>
    </row>
    <row r="30" spans="2:8" ht="25.5" x14ac:dyDescent="0.25">
      <c r="B30" s="3">
        <v>25</v>
      </c>
      <c r="C30" s="4" t="s">
        <v>55</v>
      </c>
      <c r="D30" s="56" t="s">
        <v>56</v>
      </c>
      <c r="E30" s="56"/>
      <c r="F30" s="57" t="s">
        <v>35</v>
      </c>
      <c r="G30" s="57"/>
      <c r="H30" s="7" t="s">
        <v>57</v>
      </c>
    </row>
    <row r="31" spans="2:8" ht="25.5" x14ac:dyDescent="0.25">
      <c r="B31" s="3">
        <v>26</v>
      </c>
      <c r="C31" s="4" t="s">
        <v>58</v>
      </c>
      <c r="D31" s="56" t="s">
        <v>59</v>
      </c>
      <c r="E31" s="56"/>
      <c r="F31" s="57" t="s">
        <v>35</v>
      </c>
      <c r="G31" s="57"/>
      <c r="H31" s="7" t="s">
        <v>57</v>
      </c>
    </row>
    <row r="32" spans="2:8" x14ac:dyDescent="0.25">
      <c r="B32" s="3">
        <v>27</v>
      </c>
      <c r="C32" s="4" t="s">
        <v>60</v>
      </c>
      <c r="D32" s="56" t="s">
        <v>61</v>
      </c>
      <c r="E32" s="56"/>
      <c r="F32" s="58">
        <v>45899</v>
      </c>
      <c r="G32" s="58"/>
      <c r="H32" s="5">
        <v>45919</v>
      </c>
    </row>
    <row r="33" spans="2:8" x14ac:dyDescent="0.25">
      <c r="B33" s="3">
        <v>28</v>
      </c>
      <c r="C33" s="4" t="s">
        <v>62</v>
      </c>
      <c r="D33" s="56" t="s">
        <v>63</v>
      </c>
      <c r="E33" s="56"/>
      <c r="F33" s="58">
        <v>45902</v>
      </c>
      <c r="G33" s="58"/>
      <c r="H33" s="5">
        <v>45917</v>
      </c>
    </row>
    <row r="34" spans="2:8" x14ac:dyDescent="0.25">
      <c r="B34" s="3">
        <v>29</v>
      </c>
      <c r="C34" s="4" t="s">
        <v>64</v>
      </c>
      <c r="D34" s="56" t="s">
        <v>65</v>
      </c>
      <c r="E34" s="56"/>
      <c r="F34" s="58">
        <v>45950</v>
      </c>
      <c r="G34" s="58"/>
      <c r="H34" s="5">
        <v>45966</v>
      </c>
    </row>
    <row r="35" spans="2:8" x14ac:dyDescent="0.25">
      <c r="B35" s="3">
        <v>30</v>
      </c>
      <c r="C35" s="4" t="s">
        <v>66</v>
      </c>
      <c r="D35" s="56" t="s">
        <v>67</v>
      </c>
      <c r="E35" s="56"/>
      <c r="F35" s="58">
        <v>45930</v>
      </c>
      <c r="G35" s="58"/>
      <c r="H35" s="5">
        <v>45949</v>
      </c>
    </row>
    <row r="36" spans="2:8" x14ac:dyDescent="0.25">
      <c r="B36" s="3">
        <v>31</v>
      </c>
      <c r="C36" s="4" t="s">
        <v>68</v>
      </c>
      <c r="D36" s="56" t="s">
        <v>69</v>
      </c>
      <c r="E36" s="56"/>
      <c r="F36" s="58">
        <v>45959</v>
      </c>
      <c r="G36" s="58"/>
      <c r="H36" s="5">
        <v>45974</v>
      </c>
    </row>
    <row r="37" spans="2:8" x14ac:dyDescent="0.25">
      <c r="B37" s="3">
        <v>32</v>
      </c>
      <c r="C37" s="4" t="s">
        <v>70</v>
      </c>
      <c r="D37" s="56" t="s">
        <v>71</v>
      </c>
      <c r="E37" s="56"/>
      <c r="F37" s="58">
        <v>45962</v>
      </c>
      <c r="G37" s="58"/>
      <c r="H37" s="5">
        <v>45982</v>
      </c>
    </row>
    <row r="38" spans="2:8" ht="25.5" x14ac:dyDescent="0.25">
      <c r="B38" s="3">
        <v>33</v>
      </c>
      <c r="C38" s="4" t="s">
        <v>72</v>
      </c>
      <c r="D38" s="56" t="s">
        <v>73</v>
      </c>
      <c r="E38" s="56"/>
      <c r="F38" s="58">
        <v>45955</v>
      </c>
      <c r="G38" s="58"/>
      <c r="H38" s="5">
        <v>46000</v>
      </c>
    </row>
    <row r="39" spans="2:8" x14ac:dyDescent="0.25">
      <c r="B39" s="3">
        <v>34</v>
      </c>
      <c r="C39" s="4" t="s">
        <v>74</v>
      </c>
      <c r="D39" s="56" t="s">
        <v>75</v>
      </c>
      <c r="E39" s="56"/>
      <c r="F39" s="58">
        <v>45955</v>
      </c>
      <c r="G39" s="58"/>
      <c r="H39" s="5">
        <v>46004</v>
      </c>
    </row>
    <row r="40" spans="2:8" ht="25.5" x14ac:dyDescent="0.25">
      <c r="B40" s="3">
        <v>35</v>
      </c>
      <c r="C40" s="4" t="s">
        <v>76</v>
      </c>
      <c r="D40" s="56" t="s">
        <v>77</v>
      </c>
      <c r="E40" s="56"/>
      <c r="F40" s="57" t="s">
        <v>35</v>
      </c>
      <c r="G40" s="57"/>
      <c r="H40" s="7" t="s">
        <v>78</v>
      </c>
    </row>
    <row r="41" spans="2:8" ht="25.5" x14ac:dyDescent="0.25">
      <c r="B41" s="3">
        <v>36</v>
      </c>
      <c r="C41" s="4" t="s">
        <v>79</v>
      </c>
      <c r="D41" s="56" t="s">
        <v>80</v>
      </c>
      <c r="E41" s="56"/>
      <c r="F41" s="58">
        <v>45930</v>
      </c>
      <c r="G41" s="58"/>
      <c r="H41" s="5">
        <v>45959</v>
      </c>
    </row>
  </sheetData>
  <mergeCells count="77"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30:E30"/>
    <mergeCell ref="F30:G30"/>
    <mergeCell ref="D25:E25"/>
    <mergeCell ref="F25:G25"/>
    <mergeCell ref="D26:E26"/>
    <mergeCell ref="F26:G26"/>
    <mergeCell ref="D27:E27"/>
    <mergeCell ref="F27:G27"/>
    <mergeCell ref="B28:B29"/>
    <mergeCell ref="C28:C29"/>
    <mergeCell ref="D28:E29"/>
    <mergeCell ref="F28:G29"/>
    <mergeCell ref="H28:H29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40:E40"/>
    <mergeCell ref="F40:G40"/>
    <mergeCell ref="D41:E41"/>
    <mergeCell ref="F41:G41"/>
    <mergeCell ref="D37:E37"/>
    <mergeCell ref="F37:G37"/>
    <mergeCell ref="D38:E38"/>
    <mergeCell ref="F38:G38"/>
    <mergeCell ref="D39:E39"/>
    <mergeCell ref="F39:G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A16" workbookViewId="0">
      <selection activeCell="N18" sqref="N18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55" hidden="1" customWidth="1" outlineLevel="1"/>
    <col min="11" max="11" width="12.42578125" style="55" hidden="1" customWidth="1" outlineLevel="1"/>
    <col min="12" max="12" width="10.7109375" style="55" hidden="1" customWidth="1" outlineLevel="1"/>
    <col min="13" max="13" width="10.7109375" style="55" customWidth="1" outlineLevel="1"/>
    <col min="14" max="14" width="19.7109375" customWidth="1"/>
    <col min="15" max="15" width="18.5703125" customWidth="1"/>
    <col min="16" max="16" width="17.5703125" customWidth="1"/>
    <col min="17" max="17" width="22.28515625" customWidth="1"/>
  </cols>
  <sheetData>
    <row r="1" spans="1:18" ht="15.75" thickBot="1" x14ac:dyDescent="0.3">
      <c r="A1" s="98" t="s">
        <v>81</v>
      </c>
      <c r="B1" s="98" t="s">
        <v>82</v>
      </c>
      <c r="C1" s="104" t="s">
        <v>83</v>
      </c>
      <c r="D1" s="105"/>
      <c r="E1" s="106"/>
      <c r="F1" s="8"/>
      <c r="G1" s="94" t="s">
        <v>84</v>
      </c>
      <c r="H1" s="94" t="s">
        <v>85</v>
      </c>
      <c r="I1" s="94" t="s">
        <v>86</v>
      </c>
      <c r="J1" s="94" t="s">
        <v>87</v>
      </c>
      <c r="K1" s="94" t="s">
        <v>88</v>
      </c>
      <c r="L1" s="94" t="s">
        <v>89</v>
      </c>
      <c r="M1" s="96" t="s">
        <v>90</v>
      </c>
      <c r="N1" s="98" t="s">
        <v>91</v>
      </c>
    </row>
    <row r="2" spans="1:18" ht="26.25" thickBot="1" x14ac:dyDescent="0.3">
      <c r="A2" s="103"/>
      <c r="B2" s="103"/>
      <c r="C2" s="9" t="s">
        <v>92</v>
      </c>
      <c r="D2" s="9" t="s">
        <v>93</v>
      </c>
      <c r="E2" s="9" t="s">
        <v>94</v>
      </c>
      <c r="F2" s="10" t="s">
        <v>95</v>
      </c>
      <c r="G2" s="95"/>
      <c r="H2" s="95"/>
      <c r="I2" s="95"/>
      <c r="J2" s="95"/>
      <c r="K2" s="95"/>
      <c r="L2" s="95"/>
      <c r="M2" s="97"/>
      <c r="N2" s="99"/>
    </row>
    <row r="3" spans="1:18" ht="15.75" thickBot="1" x14ac:dyDescent="0.3">
      <c r="A3" s="11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3">
        <v>1.052</v>
      </c>
      <c r="H3" s="13">
        <v>1.0209999999999999</v>
      </c>
      <c r="I3" s="13">
        <v>1.0349999999999999</v>
      </c>
      <c r="J3" s="13">
        <v>1.0249999999999999</v>
      </c>
      <c r="K3" s="13">
        <v>1.02</v>
      </c>
      <c r="L3" s="14">
        <v>1</v>
      </c>
      <c r="M3" s="14">
        <v>1</v>
      </c>
      <c r="N3" s="12">
        <v>7</v>
      </c>
      <c r="O3" s="15"/>
    </row>
    <row r="4" spans="1:18" s="23" customFormat="1" ht="64.5" thickBot="1" x14ac:dyDescent="0.3">
      <c r="A4" s="16">
        <v>1</v>
      </c>
      <c r="B4" s="17" t="s">
        <v>96</v>
      </c>
      <c r="C4" s="18">
        <f>3527508.16*M3</f>
        <v>3527508.16</v>
      </c>
      <c r="D4" s="19">
        <v>5598719.8399999999</v>
      </c>
      <c r="E4" s="19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22">
        <f>C4+D4+E4</f>
        <v>10310110</v>
      </c>
    </row>
    <row r="5" spans="1:18" ht="51.75" thickBot="1" x14ac:dyDescent="0.3">
      <c r="A5" s="24">
        <v>2</v>
      </c>
      <c r="B5" s="25" t="s">
        <v>97</v>
      </c>
      <c r="C5" s="18">
        <f>1382523.39*M3</f>
        <v>1382523.39</v>
      </c>
      <c r="D5" s="19">
        <v>4237843.6100000003</v>
      </c>
      <c r="E5" s="19">
        <v>813011</v>
      </c>
      <c r="F5" s="20">
        <f>'[2]1632-2021-2.1.0,2.2.1-ВК Тоннел'!$L$408*L3</f>
        <v>6433378</v>
      </c>
      <c r="G5" s="26"/>
      <c r="H5" s="26"/>
      <c r="I5" s="26"/>
      <c r="J5" s="26"/>
      <c r="K5" s="26"/>
      <c r="L5" s="27"/>
      <c r="M5" s="27"/>
      <c r="N5" s="22">
        <f t="shared" ref="N5:N27" si="0">C5+D5+E5</f>
        <v>6433378</v>
      </c>
    </row>
    <row r="6" spans="1:18" ht="39" thickBot="1" x14ac:dyDescent="0.3">
      <c r="A6" s="24">
        <v>3</v>
      </c>
      <c r="B6" s="25" t="s">
        <v>98</v>
      </c>
      <c r="C6" s="18">
        <f>309400.37*M3</f>
        <v>309400.37</v>
      </c>
      <c r="D6" s="19">
        <v>1214817.6299999999</v>
      </c>
      <c r="E6" s="19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28"/>
      <c r="M6" s="28"/>
      <c r="N6" s="22">
        <f t="shared" si="0"/>
        <v>1533781</v>
      </c>
    </row>
    <row r="7" spans="1:18" ht="26.25" thickBot="1" x14ac:dyDescent="0.3">
      <c r="A7" s="24">
        <v>4</v>
      </c>
      <c r="B7" s="29" t="s">
        <v>23</v>
      </c>
      <c r="C7" s="18">
        <f>756811.59*M3</f>
        <v>756811.59</v>
      </c>
      <c r="D7" s="19">
        <v>2322081.41</v>
      </c>
      <c r="E7" s="19">
        <v>282429</v>
      </c>
      <c r="F7" s="20">
        <f>'[4]1632-2021-2.1.2,2.1.7-ВК1 КГ№2 '!$L$296*L3</f>
        <v>3361322</v>
      </c>
      <c r="G7" s="26"/>
      <c r="H7" s="26"/>
      <c r="I7" s="26"/>
      <c r="J7" s="26"/>
      <c r="K7" s="26"/>
      <c r="L7" s="27"/>
      <c r="M7" s="27"/>
      <c r="N7" s="22">
        <f t="shared" si="0"/>
        <v>3361322</v>
      </c>
      <c r="O7" t="s">
        <v>99</v>
      </c>
    </row>
    <row r="8" spans="1:18" ht="26.25" thickBot="1" x14ac:dyDescent="0.3">
      <c r="A8" s="24">
        <v>5</v>
      </c>
      <c r="B8" s="25" t="s">
        <v>100</v>
      </c>
      <c r="C8" s="18">
        <f>374558.33*M3</f>
        <v>374558.33</v>
      </c>
      <c r="D8" s="19">
        <v>1093775.67</v>
      </c>
      <c r="E8" s="19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28"/>
      <c r="M8" s="28"/>
      <c r="N8" s="22">
        <f t="shared" si="0"/>
        <v>1483842</v>
      </c>
    </row>
    <row r="9" spans="1:18" ht="26.25" thickBot="1" x14ac:dyDescent="0.3">
      <c r="A9" s="24">
        <v>6</v>
      </c>
      <c r="B9" s="30" t="s">
        <v>101</v>
      </c>
      <c r="C9" s="18">
        <f>632031.55*M3</f>
        <v>632031.55000000005</v>
      </c>
      <c r="D9" s="19">
        <v>1995255.45</v>
      </c>
      <c r="E9" s="19">
        <v>280214</v>
      </c>
      <c r="F9" s="20">
        <f>'[6]1632-2021-2.1.2,2.1.7-ВК3 КГ №2'!$L$296*L3</f>
        <v>2907501</v>
      </c>
      <c r="G9" s="26"/>
      <c r="H9" s="26"/>
      <c r="I9" s="26"/>
      <c r="J9" s="26"/>
      <c r="K9" s="26"/>
      <c r="L9" s="26"/>
      <c r="M9" s="26"/>
      <c r="N9" s="22">
        <f t="shared" si="0"/>
        <v>2907501</v>
      </c>
    </row>
    <row r="10" spans="1:18" ht="39" thickBot="1" x14ac:dyDescent="0.3">
      <c r="A10" s="24">
        <v>7</v>
      </c>
      <c r="B10" s="25" t="s">
        <v>102</v>
      </c>
      <c r="C10" s="18">
        <f>1196632.67*M3</f>
        <v>1196632.67</v>
      </c>
      <c r="D10" s="19">
        <v>1300882.33</v>
      </c>
      <c r="E10" s="19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28"/>
      <c r="M10" s="28"/>
      <c r="N10" s="22">
        <f t="shared" si="0"/>
        <v>2530026</v>
      </c>
    </row>
    <row r="11" spans="1:18" ht="39" thickBot="1" x14ac:dyDescent="0.3">
      <c r="A11" s="24">
        <v>8</v>
      </c>
      <c r="B11" s="25" t="s">
        <v>103</v>
      </c>
      <c r="C11" s="18">
        <f>217309.14*M3</f>
        <v>217309.14</v>
      </c>
      <c r="D11" s="19">
        <v>290531.86</v>
      </c>
      <c r="E11" s="19">
        <v>9753</v>
      </c>
      <c r="F11" s="20">
        <f>'[8]1632-2021-2.1.4-ВК КГ №4 - Полн'!$L$116*L3</f>
        <v>517594</v>
      </c>
      <c r="G11" s="26"/>
      <c r="H11" s="26"/>
      <c r="I11" s="26"/>
      <c r="J11" s="26"/>
      <c r="K11" s="26"/>
      <c r="L11" s="27"/>
      <c r="M11" s="27"/>
      <c r="N11" s="22">
        <f t="shared" si="0"/>
        <v>517594</v>
      </c>
    </row>
    <row r="12" spans="1:18" ht="39" thickBot="1" x14ac:dyDescent="0.3">
      <c r="A12" s="24">
        <v>9</v>
      </c>
      <c r="B12" s="25" t="s">
        <v>104</v>
      </c>
      <c r="C12" s="18">
        <f>250307.94*M3</f>
        <v>250307.94</v>
      </c>
      <c r="D12" s="19">
        <v>712702.06</v>
      </c>
      <c r="E12" s="19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28"/>
      <c r="M12" s="28"/>
      <c r="N12" s="22">
        <f t="shared" si="0"/>
        <v>972840</v>
      </c>
    </row>
    <row r="13" spans="1:18" ht="39" thickBot="1" x14ac:dyDescent="0.3">
      <c r="A13" s="24">
        <v>10</v>
      </c>
      <c r="B13" s="25" t="s">
        <v>105</v>
      </c>
      <c r="C13" s="18">
        <f>215482.46*M3</f>
        <v>215482.46</v>
      </c>
      <c r="D13" s="19">
        <v>305628.53999999998</v>
      </c>
      <c r="E13" s="19">
        <v>9753</v>
      </c>
      <c r="F13" s="20">
        <f>'[10]1632-2021-2.1.11-ВК КГ №11 - По'!$L$112*L3</f>
        <v>530864</v>
      </c>
      <c r="G13" s="26"/>
      <c r="H13" s="26"/>
      <c r="I13" s="26"/>
      <c r="J13" s="26"/>
      <c r="K13" s="26"/>
      <c r="L13" s="27"/>
      <c r="M13" s="27"/>
      <c r="N13" s="22">
        <f t="shared" si="0"/>
        <v>530864</v>
      </c>
    </row>
    <row r="14" spans="1:18" ht="39" thickBot="1" x14ac:dyDescent="0.3">
      <c r="A14" s="24">
        <v>11</v>
      </c>
      <c r="B14" s="25" t="s">
        <v>106</v>
      </c>
      <c r="C14" s="18">
        <f>210631.2*M3</f>
        <v>210631.2</v>
      </c>
      <c r="D14" s="19">
        <v>704670.8</v>
      </c>
      <c r="E14" s="19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28"/>
      <c r="M14" s="28"/>
      <c r="N14" s="22">
        <f t="shared" si="0"/>
        <v>921948</v>
      </c>
    </row>
    <row r="15" spans="1:18" ht="39" thickBot="1" x14ac:dyDescent="0.3">
      <c r="A15" s="24">
        <v>12</v>
      </c>
      <c r="B15" s="25" t="s">
        <v>107</v>
      </c>
      <c r="C15" s="18">
        <f>1661108.39*M3</f>
        <v>1661108.39</v>
      </c>
      <c r="D15" s="19">
        <v>4400658.6100000003</v>
      </c>
      <c r="E15" s="19">
        <v>389447</v>
      </c>
      <c r="F15" s="20">
        <f>'[12]1632-2021-2.2.2-ВК ПС №2 - Полн'!$L$279*L3</f>
        <v>6451214</v>
      </c>
      <c r="G15" s="26"/>
      <c r="H15" s="26"/>
      <c r="I15" s="26"/>
      <c r="J15" s="26"/>
      <c r="K15" s="26"/>
      <c r="L15" s="27"/>
      <c r="M15" s="27"/>
      <c r="N15" s="22">
        <f t="shared" si="0"/>
        <v>6451214</v>
      </c>
      <c r="O15" s="31"/>
      <c r="P15" s="31"/>
      <c r="Q15" s="31"/>
      <c r="R15" s="31"/>
    </row>
    <row r="16" spans="1:18" ht="39" thickBot="1" x14ac:dyDescent="0.3">
      <c r="A16" s="24">
        <v>13</v>
      </c>
      <c r="B16" s="25" t="s">
        <v>108</v>
      </c>
      <c r="C16" s="18">
        <f>427555.53*M3</f>
        <v>427555.53</v>
      </c>
      <c r="D16" s="19">
        <v>760673.47</v>
      </c>
      <c r="E16" s="19">
        <v>265006</v>
      </c>
      <c r="F16" s="20">
        <f>'[13]1632-2021-2.2.3-ВК ПС №3 - Полн'!$L$295*L3</f>
        <v>1453235</v>
      </c>
      <c r="G16" s="26"/>
      <c r="H16" s="26"/>
      <c r="I16" s="26"/>
      <c r="J16" s="26"/>
      <c r="K16" s="26"/>
      <c r="L16" s="27"/>
      <c r="M16" s="27"/>
      <c r="N16" s="22">
        <f t="shared" si="0"/>
        <v>1453235</v>
      </c>
    </row>
    <row r="17" spans="1:18" ht="26.25" thickBot="1" x14ac:dyDescent="0.3">
      <c r="A17" s="24">
        <v>14</v>
      </c>
      <c r="B17" s="29" t="s">
        <v>109</v>
      </c>
      <c r="C17" s="18">
        <f>1029370.28*M3</f>
        <v>1029370.28</v>
      </c>
      <c r="D17" s="19">
        <v>2639261.7200000002</v>
      </c>
      <c r="E17" s="19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28"/>
      <c r="M17" s="28"/>
      <c r="N17" s="22">
        <f t="shared" si="0"/>
        <v>3901843</v>
      </c>
    </row>
    <row r="18" spans="1:18" ht="64.5" thickBot="1" x14ac:dyDescent="0.3">
      <c r="A18" s="24">
        <v>15</v>
      </c>
      <c r="B18" s="25" t="s">
        <v>110</v>
      </c>
      <c r="C18" s="18">
        <f>4548109.01*M3</f>
        <v>4548109.01</v>
      </c>
      <c r="D18" s="19">
        <v>917095.99</v>
      </c>
      <c r="E18" s="19">
        <v>367058</v>
      </c>
      <c r="F18" s="20">
        <f>'[15]1632-2021-2.2.5,2.1.13-ВК ПС №5'!$L$303*L3</f>
        <v>5832263</v>
      </c>
      <c r="G18" s="26"/>
      <c r="H18" s="26"/>
      <c r="I18" s="26"/>
      <c r="J18" s="26"/>
      <c r="K18" s="26"/>
      <c r="L18" s="27"/>
      <c r="M18" s="27"/>
      <c r="N18" s="22">
        <f t="shared" si="0"/>
        <v>5832263</v>
      </c>
    </row>
    <row r="19" spans="1:18" ht="39" thickBot="1" x14ac:dyDescent="0.3">
      <c r="A19" s="24">
        <v>16</v>
      </c>
      <c r="B19" s="25" t="s">
        <v>111</v>
      </c>
      <c r="C19" s="18">
        <f>319633.58*M3</f>
        <v>319633.58</v>
      </c>
      <c r="D19" s="19">
        <v>842356.42</v>
      </c>
      <c r="E19" s="19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28"/>
      <c r="M19" s="28"/>
      <c r="N19" s="22">
        <f t="shared" si="0"/>
        <v>1345214</v>
      </c>
    </row>
    <row r="20" spans="1:18" ht="39" thickBot="1" x14ac:dyDescent="0.3">
      <c r="A20" s="24">
        <v>17</v>
      </c>
      <c r="B20" s="25" t="s">
        <v>112</v>
      </c>
      <c r="C20" s="18">
        <f>332563.16*M3</f>
        <v>332563.15999999997</v>
      </c>
      <c r="D20" s="19">
        <v>1019499.84</v>
      </c>
      <c r="E20" s="19">
        <v>96670</v>
      </c>
      <c r="F20" s="20">
        <f>'[17]1632-2021-2.2.7-ВК ПрС - Полный'!$L$287*L3</f>
        <v>1448733</v>
      </c>
      <c r="G20" s="26"/>
      <c r="H20" s="26"/>
      <c r="I20" s="26"/>
      <c r="J20" s="26"/>
      <c r="K20" s="26"/>
      <c r="L20" s="26"/>
      <c r="M20" s="26"/>
      <c r="N20" s="22">
        <f t="shared" si="0"/>
        <v>1448733</v>
      </c>
    </row>
    <row r="21" spans="1:18" ht="39" thickBot="1" x14ac:dyDescent="0.3">
      <c r="A21" s="24">
        <v>18</v>
      </c>
      <c r="B21" s="25" t="s">
        <v>113</v>
      </c>
      <c r="C21" s="18">
        <f>2180753.41*M3</f>
        <v>2180753.41</v>
      </c>
      <c r="D21" s="19">
        <v>390833.51</v>
      </c>
      <c r="E21" s="19">
        <v>8535.2900000000009</v>
      </c>
      <c r="F21" s="20">
        <f>'[18]1632-2021-3.1-ВК Крытый склад №'!$L$356*L3</f>
        <v>2580122.21</v>
      </c>
      <c r="G21" s="21"/>
      <c r="H21" s="21"/>
      <c r="I21" s="21"/>
      <c r="J21" s="21"/>
      <c r="K21" s="21"/>
      <c r="L21" s="28"/>
      <c r="M21" s="28"/>
      <c r="N21" s="22">
        <f t="shared" si="0"/>
        <v>2580122.21</v>
      </c>
    </row>
    <row r="22" spans="1:18" ht="39" thickBot="1" x14ac:dyDescent="0.3">
      <c r="A22" s="24">
        <v>19</v>
      </c>
      <c r="B22" s="25" t="s">
        <v>114</v>
      </c>
      <c r="C22" s="18">
        <f>2003276.87*M3</f>
        <v>2003276.87</v>
      </c>
      <c r="D22" s="19">
        <v>430391.9</v>
      </c>
      <c r="E22" s="19">
        <v>8535.2900000000009</v>
      </c>
      <c r="F22" s="20">
        <f>'[19]1632-2021-3.2-ВК Крытый склад №'!$L$354*L3</f>
        <v>2442204.06</v>
      </c>
      <c r="G22" s="26"/>
      <c r="H22" s="26"/>
      <c r="I22" s="26"/>
      <c r="J22" s="26"/>
      <c r="K22" s="26"/>
      <c r="L22" s="27"/>
      <c r="M22" s="27"/>
      <c r="N22" s="22">
        <f t="shared" si="0"/>
        <v>2442204.06</v>
      </c>
    </row>
    <row r="23" spans="1:18" ht="39" thickBot="1" x14ac:dyDescent="0.3">
      <c r="A23" s="24">
        <v>20</v>
      </c>
      <c r="B23" s="25" t="s">
        <v>115</v>
      </c>
      <c r="C23" s="18">
        <f>245898.54*M3</f>
        <v>245898.54</v>
      </c>
      <c r="D23" s="19">
        <v>77803.95</v>
      </c>
      <c r="E23" s="19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28"/>
      <c r="M23" s="28"/>
      <c r="N23" s="22">
        <f t="shared" si="0"/>
        <v>709934.21</v>
      </c>
    </row>
    <row r="24" spans="1:18" ht="26.25" thickBot="1" x14ac:dyDescent="0.3">
      <c r="A24" s="24">
        <v>21</v>
      </c>
      <c r="B24" s="25" t="s">
        <v>116</v>
      </c>
      <c r="C24" s="18">
        <f>337715.4*M3</f>
        <v>337715.4</v>
      </c>
      <c r="D24" s="19">
        <v>976022.8</v>
      </c>
      <c r="E24" s="19">
        <v>0</v>
      </c>
      <c r="F24" s="20">
        <f>'[21]1632-2021-3.3-ВС Куп.склады - П'!$L$104*L3</f>
        <v>1313738.2</v>
      </c>
      <c r="G24" s="26"/>
      <c r="H24" s="26"/>
      <c r="I24" s="26"/>
      <c r="J24" s="26"/>
      <c r="K24" s="26"/>
      <c r="L24" s="27"/>
      <c r="M24" s="27"/>
      <c r="N24" s="22">
        <f t="shared" si="0"/>
        <v>1313738.2000000002</v>
      </c>
    </row>
    <row r="25" spans="1:18" ht="39" thickBot="1" x14ac:dyDescent="0.3">
      <c r="A25" s="32">
        <v>22</v>
      </c>
      <c r="B25" s="33" t="s">
        <v>117</v>
      </c>
      <c r="C25" s="34">
        <v>0</v>
      </c>
      <c r="D25" s="35">
        <v>0</v>
      </c>
      <c r="E25" s="35">
        <v>0</v>
      </c>
      <c r="F25" s="36">
        <f>'[22]1632-2021-8.4-ВК - Полный локал'!$L$486*L3</f>
        <v>1598284.39</v>
      </c>
      <c r="G25" s="37"/>
      <c r="H25" s="37"/>
      <c r="I25" s="37"/>
      <c r="J25" s="37"/>
      <c r="K25" s="37"/>
      <c r="L25" s="38"/>
      <c r="M25" s="38"/>
      <c r="N25" s="39">
        <f>C25+D25+E25</f>
        <v>0</v>
      </c>
      <c r="O25" t="s">
        <v>118</v>
      </c>
    </row>
    <row r="26" spans="1:18" ht="16.5" thickTop="1" thickBot="1" x14ac:dyDescent="0.3">
      <c r="A26" s="40"/>
      <c r="B26" s="41" t="s">
        <v>119</v>
      </c>
      <c r="C26" s="42">
        <f>SUM(C4:C25)</f>
        <v>22159180.969999995</v>
      </c>
      <c r="D26" s="43">
        <f t="shared" ref="D26:L26" si="1">SUM(D4:D25)</f>
        <v>32231507.409999993</v>
      </c>
      <c r="E26" s="43">
        <f t="shared" si="1"/>
        <v>4591018.3</v>
      </c>
      <c r="F26" s="43">
        <f t="shared" si="1"/>
        <v>60579991.070000008</v>
      </c>
      <c r="G26" s="43">
        <f t="shared" si="1"/>
        <v>0</v>
      </c>
      <c r="H26" s="43">
        <f t="shared" si="1"/>
        <v>0</v>
      </c>
      <c r="I26" s="43">
        <f t="shared" si="1"/>
        <v>0</v>
      </c>
      <c r="J26" s="43">
        <f t="shared" si="1"/>
        <v>0</v>
      </c>
      <c r="K26" s="43">
        <f t="shared" si="1"/>
        <v>0</v>
      </c>
      <c r="L26" s="43">
        <f t="shared" si="1"/>
        <v>0</v>
      </c>
      <c r="M26" s="44"/>
      <c r="N26" s="43">
        <f>SUM(N4:N25)</f>
        <v>58981706.680000007</v>
      </c>
      <c r="O26" s="31">
        <f>N26-C29</f>
        <v>0</v>
      </c>
      <c r="P26" s="31"/>
      <c r="Q26" s="31"/>
      <c r="R26" s="31"/>
    </row>
    <row r="27" spans="1:18" ht="15.75" hidden="1" thickBot="1" x14ac:dyDescent="0.3">
      <c r="A27" s="24">
        <v>24</v>
      </c>
      <c r="B27" s="25"/>
      <c r="C27" s="22">
        <f t="shared" ref="C27" si="2">F27-E27-D27</f>
        <v>0</v>
      </c>
      <c r="D27" s="19">
        <f>'[1]1632-2021-1.1, 1.2-ВК СРВ, Тран'!$L$755*G26*H26*I26*J26*K26*L26*M26</f>
        <v>0</v>
      </c>
      <c r="E27" s="19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28"/>
      <c r="M27" s="28"/>
      <c r="N27" s="22">
        <f t="shared" si="0"/>
        <v>0</v>
      </c>
      <c r="O27" s="31"/>
      <c r="P27" s="31"/>
      <c r="Q27" s="31"/>
      <c r="R27" s="31"/>
    </row>
    <row r="28" spans="1:18" ht="15.75" hidden="1" thickBot="1" x14ac:dyDescent="0.3">
      <c r="A28" s="45"/>
      <c r="B28" s="46" t="s">
        <v>120</v>
      </c>
      <c r="C28" s="100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2"/>
      <c r="O28" s="31"/>
      <c r="P28" s="31"/>
      <c r="Q28" s="31"/>
      <c r="R28" s="31"/>
    </row>
    <row r="29" spans="1:18" ht="15.75" thickBot="1" x14ac:dyDescent="0.3">
      <c r="A29" s="45"/>
      <c r="B29" s="47" t="s">
        <v>121</v>
      </c>
      <c r="C29" s="82">
        <f>C26+D26+E26</f>
        <v>58981706.679999985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  <c r="O29" s="31"/>
      <c r="P29" s="31"/>
      <c r="Q29" s="31"/>
      <c r="R29" s="31"/>
    </row>
    <row r="30" spans="1:18" ht="15.75" thickBot="1" x14ac:dyDescent="0.3">
      <c r="A30" s="48"/>
      <c r="B30" s="49" t="s">
        <v>122</v>
      </c>
      <c r="C30" s="82">
        <f>C29*0.03</f>
        <v>1769451.2003999995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  <c r="O30" s="31"/>
      <c r="P30" s="31"/>
      <c r="Q30" s="31"/>
      <c r="R30" s="31"/>
    </row>
    <row r="31" spans="1:18" ht="26.25" thickBot="1" x14ac:dyDescent="0.3">
      <c r="A31" s="50"/>
      <c r="B31" s="51" t="s">
        <v>123</v>
      </c>
      <c r="C31" s="85">
        <f>C29+C30</f>
        <v>60751157.880399987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  <c r="O31" s="31"/>
      <c r="P31" s="31"/>
      <c r="Q31" s="31"/>
      <c r="R31" s="31"/>
    </row>
    <row r="32" spans="1:18" ht="15.75" thickBot="1" x14ac:dyDescent="0.3">
      <c r="A32" s="52"/>
      <c r="B32" s="53" t="s">
        <v>124</v>
      </c>
      <c r="C32" s="85">
        <f>C31*1.2</f>
        <v>72901389.456479982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31"/>
      <c r="P32" s="31"/>
      <c r="Q32" s="31"/>
      <c r="R32" s="31"/>
    </row>
    <row r="33" spans="1:18" x14ac:dyDescent="0.25">
      <c r="A33" s="67"/>
      <c r="B33" s="70" t="s">
        <v>125</v>
      </c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31"/>
      <c r="P33" s="31"/>
      <c r="Q33" s="31"/>
      <c r="R33" s="31"/>
    </row>
    <row r="34" spans="1:18" ht="43.5" customHeight="1" thickBot="1" x14ac:dyDescent="0.3">
      <c r="A34" s="69"/>
      <c r="B34" s="72"/>
      <c r="C34" s="91" t="s">
        <v>126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3"/>
      <c r="O34" s="31"/>
      <c r="P34" s="31"/>
      <c r="Q34" s="31"/>
      <c r="R34" s="31"/>
    </row>
    <row r="35" spans="1:18" ht="42.75" customHeight="1" thickBot="1" x14ac:dyDescent="0.3">
      <c r="A35" s="48"/>
      <c r="B35" s="54" t="s">
        <v>127</v>
      </c>
      <c r="C35" s="64" t="s">
        <v>128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</row>
    <row r="36" spans="1:18" ht="15.75" thickBot="1" x14ac:dyDescent="0.3">
      <c r="A36" s="48"/>
      <c r="B36" s="54" t="s">
        <v>129</v>
      </c>
      <c r="C36" s="64" t="s">
        <v>130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6"/>
    </row>
    <row r="37" spans="1:18" ht="51" customHeight="1" thickBot="1" x14ac:dyDescent="0.3">
      <c r="A37" s="48"/>
      <c r="B37" s="54" t="s">
        <v>131</v>
      </c>
      <c r="C37" s="64" t="s">
        <v>132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/>
    </row>
    <row r="38" spans="1:18" x14ac:dyDescent="0.25">
      <c r="A38" s="67"/>
      <c r="B38" s="70" t="s">
        <v>133</v>
      </c>
      <c r="C38" s="73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5"/>
    </row>
    <row r="39" spans="1:18" x14ac:dyDescent="0.25">
      <c r="A39" s="68"/>
      <c r="B39" s="71"/>
      <c r="C39" s="76" t="s">
        <v>134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</row>
    <row r="40" spans="1:18" ht="15.75" thickBot="1" x14ac:dyDescent="0.3">
      <c r="A40" s="69"/>
      <c r="B40" s="72"/>
      <c r="C40" s="79" t="s">
        <v>135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</row>
    <row r="41" spans="1:18" ht="15.75" thickBot="1" x14ac:dyDescent="0.3">
      <c r="A41" s="48"/>
      <c r="B41" s="54" t="s">
        <v>136</v>
      </c>
      <c r="C41" s="64" t="s">
        <v>137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</row>
    <row r="42" spans="1:18" ht="15.75" thickBot="1" x14ac:dyDescent="0.3">
      <c r="A42" s="48"/>
      <c r="B42" s="54" t="s">
        <v>138</v>
      </c>
      <c r="C42" s="64" t="s">
        <v>139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</row>
    <row r="43" spans="1:18" ht="15.75" thickBot="1" x14ac:dyDescent="0.3">
      <c r="A43" s="48"/>
      <c r="B43" s="54" t="s">
        <v>140</v>
      </c>
      <c r="C43" s="64" t="s">
        <v>141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</row>
    <row r="44" spans="1:18" ht="26.25" thickBot="1" x14ac:dyDescent="0.3">
      <c r="A44" s="48"/>
      <c r="B44" s="54" t="s">
        <v>142</v>
      </c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6"/>
    </row>
  </sheetData>
  <mergeCells count="32">
    <mergeCell ref="C28:N28"/>
    <mergeCell ref="A1:A2"/>
    <mergeCell ref="B1:B2"/>
    <mergeCell ref="C1:E1"/>
    <mergeCell ref="G1:G2"/>
    <mergeCell ref="H1:H2"/>
    <mergeCell ref="I1:I2"/>
    <mergeCell ref="J1:J2"/>
    <mergeCell ref="K1:K2"/>
    <mergeCell ref="L1:L2"/>
    <mergeCell ref="M1:M2"/>
    <mergeCell ref="N1:N2"/>
    <mergeCell ref="C29:N29"/>
    <mergeCell ref="C30:N30"/>
    <mergeCell ref="C31:N31"/>
    <mergeCell ref="C32:N32"/>
    <mergeCell ref="A33:A34"/>
    <mergeCell ref="B33:B34"/>
    <mergeCell ref="C33:N33"/>
    <mergeCell ref="C34:N34"/>
    <mergeCell ref="A38:A40"/>
    <mergeCell ref="B38:B40"/>
    <mergeCell ref="C38:N38"/>
    <mergeCell ref="C39:N39"/>
    <mergeCell ref="C40:N40"/>
    <mergeCell ref="C41:N41"/>
    <mergeCell ref="C42:N42"/>
    <mergeCell ref="C43:N43"/>
    <mergeCell ref="C44:N44"/>
    <mergeCell ref="C35:N35"/>
    <mergeCell ref="C36:N36"/>
    <mergeCell ref="C37:N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27"/>
  <sheetViews>
    <sheetView tabSelected="1" workbookViewId="0">
      <selection activeCell="H19" sqref="H19"/>
    </sheetView>
  </sheetViews>
  <sheetFormatPr defaultRowHeight="15" x14ac:dyDescent="0.25"/>
  <cols>
    <col min="4" max="4" width="50.7109375" bestFit="1" customWidth="1"/>
  </cols>
  <sheetData>
    <row r="5" spans="3:4" x14ac:dyDescent="0.25">
      <c r="C5" s="107" t="s">
        <v>166</v>
      </c>
      <c r="D5" s="107" t="s">
        <v>165</v>
      </c>
    </row>
    <row r="6" spans="3:4" x14ac:dyDescent="0.25">
      <c r="C6" s="108">
        <v>1</v>
      </c>
      <c r="D6" s="109" t="s">
        <v>143</v>
      </c>
    </row>
    <row r="7" spans="3:4" x14ac:dyDescent="0.25">
      <c r="C7" s="108">
        <v>2</v>
      </c>
      <c r="D7" s="109" t="s">
        <v>144</v>
      </c>
    </row>
    <row r="8" spans="3:4" x14ac:dyDescent="0.25">
      <c r="C8" s="108">
        <v>3</v>
      </c>
      <c r="D8" s="109" t="s">
        <v>145</v>
      </c>
    </row>
    <row r="9" spans="3:4" x14ac:dyDescent="0.25">
      <c r="C9" s="108">
        <v>4</v>
      </c>
      <c r="D9" s="109" t="s">
        <v>163</v>
      </c>
    </row>
    <row r="10" spans="3:4" x14ac:dyDescent="0.25">
      <c r="C10" s="108">
        <v>5</v>
      </c>
      <c r="D10" s="109" t="s">
        <v>162</v>
      </c>
    </row>
    <row r="11" spans="3:4" x14ac:dyDescent="0.25">
      <c r="C11" s="108">
        <v>6</v>
      </c>
      <c r="D11" s="109" t="s">
        <v>146</v>
      </c>
    </row>
    <row r="12" spans="3:4" x14ac:dyDescent="0.25">
      <c r="C12" s="108">
        <v>7</v>
      </c>
      <c r="D12" s="109" t="s">
        <v>147</v>
      </c>
    </row>
    <row r="13" spans="3:4" x14ac:dyDescent="0.25">
      <c r="C13" s="108">
        <v>8</v>
      </c>
      <c r="D13" s="109" t="s">
        <v>148</v>
      </c>
    </row>
    <row r="14" spans="3:4" x14ac:dyDescent="0.25">
      <c r="C14" s="108">
        <v>9</v>
      </c>
      <c r="D14" s="109" t="s">
        <v>149</v>
      </c>
    </row>
    <row r="15" spans="3:4" x14ac:dyDescent="0.25">
      <c r="C15" s="108">
        <v>10</v>
      </c>
      <c r="D15" s="109" t="s">
        <v>150</v>
      </c>
    </row>
    <row r="16" spans="3:4" x14ac:dyDescent="0.25">
      <c r="C16" s="108">
        <v>11</v>
      </c>
      <c r="D16" s="109" t="s">
        <v>151</v>
      </c>
    </row>
    <row r="17" spans="3:4" x14ac:dyDescent="0.25">
      <c r="C17" s="108">
        <v>12</v>
      </c>
      <c r="D17" s="109" t="s">
        <v>152</v>
      </c>
    </row>
    <row r="18" spans="3:4" x14ac:dyDescent="0.25">
      <c r="C18" s="108">
        <v>13</v>
      </c>
      <c r="D18" s="109" t="s">
        <v>153</v>
      </c>
    </row>
    <row r="19" spans="3:4" x14ac:dyDescent="0.25">
      <c r="C19" s="108">
        <v>14</v>
      </c>
      <c r="D19" s="109" t="s">
        <v>164</v>
      </c>
    </row>
    <row r="20" spans="3:4" x14ac:dyDescent="0.25">
      <c r="C20" s="108">
        <v>15</v>
      </c>
      <c r="D20" s="109" t="s">
        <v>159</v>
      </c>
    </row>
    <row r="21" spans="3:4" x14ac:dyDescent="0.25">
      <c r="C21" s="108">
        <v>16</v>
      </c>
      <c r="D21" s="109" t="s">
        <v>161</v>
      </c>
    </row>
    <row r="22" spans="3:4" x14ac:dyDescent="0.25">
      <c r="C22" s="108">
        <v>17</v>
      </c>
      <c r="D22" s="109" t="s">
        <v>160</v>
      </c>
    </row>
    <row r="23" spans="3:4" x14ac:dyDescent="0.25">
      <c r="C23" s="108">
        <v>18</v>
      </c>
      <c r="D23" s="109" t="s">
        <v>154</v>
      </c>
    </row>
    <row r="24" spans="3:4" x14ac:dyDescent="0.25">
      <c r="C24" s="108">
        <v>19</v>
      </c>
      <c r="D24" s="109" t="s">
        <v>155</v>
      </c>
    </row>
    <row r="25" spans="3:4" x14ac:dyDescent="0.25">
      <c r="C25" s="108">
        <v>20</v>
      </c>
      <c r="D25" s="109" t="s">
        <v>156</v>
      </c>
    </row>
    <row r="26" spans="3:4" x14ac:dyDescent="0.25">
      <c r="C26" s="108">
        <v>21</v>
      </c>
      <c r="D26" s="109" t="s">
        <v>157</v>
      </c>
    </row>
    <row r="27" spans="3:4" x14ac:dyDescent="0.25">
      <c r="C27" s="108">
        <v>22</v>
      </c>
      <c r="D27" s="109" t="s">
        <v>158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8"/>
  <sheetViews>
    <sheetView workbookViewId="0">
      <selection activeCell="E10" sqref="E10"/>
    </sheetView>
  </sheetViews>
  <sheetFormatPr defaultColWidth="8.85546875" defaultRowHeight="15" x14ac:dyDescent="0.25"/>
  <cols>
    <col min="1" max="3" width="8.85546875" style="110"/>
    <col min="4" max="4" width="26.7109375" style="110" bestFit="1" customWidth="1"/>
    <col min="5" max="5" width="79.28515625" style="111" customWidth="1"/>
    <col min="6" max="16384" width="8.85546875" style="110"/>
  </cols>
  <sheetData>
    <row r="1" spans="3:5" ht="15.75" thickBot="1" x14ac:dyDescent="0.3"/>
    <row r="2" spans="3:5" ht="60" x14ac:dyDescent="0.25">
      <c r="C2" s="112" t="s">
        <v>167</v>
      </c>
      <c r="D2" s="113" t="s">
        <v>168</v>
      </c>
      <c r="E2" s="114" t="s">
        <v>169</v>
      </c>
    </row>
    <row r="3" spans="3:5" x14ac:dyDescent="0.25">
      <c r="C3" s="115">
        <v>1</v>
      </c>
      <c r="D3" s="116" t="s">
        <v>170</v>
      </c>
      <c r="E3" s="117" t="s">
        <v>171</v>
      </c>
    </row>
    <row r="4" spans="3:5" x14ac:dyDescent="0.25">
      <c r="C4" s="118">
        <v>2</v>
      </c>
      <c r="D4" s="119" t="s">
        <v>172</v>
      </c>
      <c r="E4" s="120" t="s">
        <v>173</v>
      </c>
    </row>
    <row r="5" spans="3:5" ht="264.75" customHeight="1" x14ac:dyDescent="0.25">
      <c r="C5" s="121"/>
      <c r="D5" s="122"/>
      <c r="E5" s="123"/>
    </row>
    <row r="6" spans="3:5" x14ac:dyDescent="0.25">
      <c r="C6" s="115">
        <v>3</v>
      </c>
      <c r="D6" s="116" t="s">
        <v>174</v>
      </c>
      <c r="E6" s="124" t="s">
        <v>175</v>
      </c>
    </row>
    <row r="7" spans="3:5" x14ac:dyDescent="0.25">
      <c r="C7" s="115">
        <v>4</v>
      </c>
      <c r="D7" s="116" t="s">
        <v>176</v>
      </c>
      <c r="E7" s="124" t="s">
        <v>177</v>
      </c>
    </row>
    <row r="8" spans="3:5" ht="75.75" thickBot="1" x14ac:dyDescent="0.3">
      <c r="C8" s="125">
        <v>5</v>
      </c>
      <c r="D8" s="126" t="s">
        <v>178</v>
      </c>
      <c r="E8" s="127" t="s">
        <v>179</v>
      </c>
    </row>
  </sheetData>
  <mergeCells count="3"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сроки</vt:lpstr>
      <vt:lpstr>сметы</vt:lpstr>
      <vt:lpstr>здания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2025-05-01T18:52:10Z</dcterms:created>
  <dcterms:modified xsi:type="dcterms:W3CDTF">2025-05-03T08:57:50Z</dcterms:modified>
</cp:coreProperties>
</file>