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ЖД\КП\"/>
    </mc:Choice>
  </mc:AlternateContent>
  <bookViews>
    <workbookView xWindow="0" yWindow="0" windowWidth="28800" windowHeight="12285" tabRatio="965" activeTab="4"/>
  </bookViews>
  <sheets>
    <sheet name="прил.7.2" sheetId="44" r:id="rId1"/>
    <sheet name="01-01-01" sheetId="1" r:id="rId2"/>
    <sheet name="01-01-02" sheetId="2" r:id="rId3"/>
    <sheet name="02-01-01" sheetId="14" r:id="rId4"/>
    <sheet name="02-02-01" sheetId="13" r:id="rId5"/>
    <sheet name="02-03-01" sheetId="3" r:id="rId6"/>
    <sheet name="01-02-05" sheetId="5" r:id="rId7"/>
    <sheet name="01-02-03" sheetId="15" r:id="rId8"/>
    <sheet name="01-02-01" sheetId="9" r:id="rId9"/>
    <sheet name="01-02-02" sheetId="10" r:id="rId10"/>
  </sheets>
  <definedNames>
    <definedName name="_xlnm._FilterDatabase" localSheetId="1" hidden="1">'01-01-01'!$A$9:$M$33</definedName>
    <definedName name="_xlnm._FilterDatabase" localSheetId="2" hidden="1">'01-01-02'!$A$9:$M$70</definedName>
    <definedName name="_xlnm._FilterDatabase" localSheetId="8" hidden="1">'01-02-01'!$A$11:$BR$35</definedName>
    <definedName name="_xlnm._FilterDatabase" localSheetId="9" hidden="1">'01-02-02'!$A$10:$BR$34</definedName>
    <definedName name="_xlnm._FilterDatabase" localSheetId="7" hidden="1">'01-02-03'!$A$11:$BO$11</definedName>
    <definedName name="_xlnm._FilterDatabase" localSheetId="3" hidden="1">'02-01-01'!$A$11:$BS$56</definedName>
    <definedName name="_xlnm._FilterDatabase" localSheetId="4" hidden="1">'02-02-01'!$A$10:$M$245</definedName>
    <definedName name="_xlnm._FilterDatabase" localSheetId="5" hidden="1">'02-03-01'!$A$9:$M$168</definedName>
    <definedName name="_xlnm._FilterDatabase" localSheetId="0" hidden="1">прил.7.2!$A$9:$O$80</definedName>
    <definedName name="_xlnm.Print_Titles" localSheetId="1">'01-01-01'!$9:$9</definedName>
    <definedName name="_xlnm.Print_Titles" localSheetId="2">'01-01-02'!$9:$9</definedName>
    <definedName name="_xlnm.Print_Titles" localSheetId="8">'01-02-01'!#REF!</definedName>
    <definedName name="_xlnm.Print_Titles" localSheetId="9">'01-02-02'!#REF!</definedName>
    <definedName name="_xlnm.Print_Titles" localSheetId="7">'01-02-03'!#REF!</definedName>
    <definedName name="_xlnm.Print_Titles" localSheetId="6">'01-02-05'!#REF!</definedName>
    <definedName name="_xlnm.Print_Titles" localSheetId="3">'02-01-01'!#REF!</definedName>
    <definedName name="_xlnm.Print_Titles" localSheetId="4">'02-02-01'!#REF!</definedName>
    <definedName name="_xlnm.Print_Titles" localSheetId="5">'02-03-01'!#REF!</definedName>
  </definedNames>
  <calcPr calcId="152511"/>
</workbook>
</file>

<file path=xl/calcChain.xml><?xml version="1.0" encoding="utf-8"?>
<calcChain xmlns="http://schemas.openxmlformats.org/spreadsheetml/2006/main">
  <c r="I59" i="44" l="1"/>
  <c r="I40" i="44"/>
  <c r="I28" i="44"/>
  <c r="I15" i="44"/>
  <c r="I16" i="44"/>
  <c r="H20" i="10" l="1"/>
  <c r="H19" i="10"/>
  <c r="H17" i="10"/>
  <c r="H13" i="10"/>
  <c r="J20" i="10"/>
  <c r="J19" i="10"/>
  <c r="J17" i="10"/>
  <c r="J13" i="10"/>
  <c r="H31" i="10"/>
  <c r="H30" i="10"/>
  <c r="H29" i="10"/>
  <c r="H22" i="10"/>
  <c r="H25" i="10"/>
  <c r="J25" i="10"/>
  <c r="J22" i="10"/>
  <c r="J30" i="10"/>
  <c r="J31" i="10"/>
  <c r="J29" i="10"/>
  <c r="H33" i="9"/>
  <c r="H32" i="9"/>
  <c r="H30" i="9"/>
  <c r="H26" i="9"/>
  <c r="H23" i="9"/>
  <c r="H21" i="9"/>
  <c r="H20" i="9"/>
  <c r="H18" i="9"/>
  <c r="J33" i="9"/>
  <c r="J32" i="9"/>
  <c r="J30" i="9"/>
  <c r="J26" i="9"/>
  <c r="J23" i="9"/>
  <c r="J21" i="9"/>
  <c r="J20" i="9"/>
  <c r="J18" i="9"/>
  <c r="J14" i="9"/>
  <c r="H14" i="15"/>
  <c r="H15" i="15"/>
  <c r="H13" i="15"/>
  <c r="J14" i="15"/>
  <c r="J15" i="15"/>
  <c r="J13" i="15"/>
  <c r="H13" i="5"/>
  <c r="H15" i="5"/>
  <c r="H17" i="5"/>
  <c r="H18" i="5"/>
  <c r="H12" i="5"/>
  <c r="J13" i="5"/>
  <c r="J15" i="5"/>
  <c r="J17" i="5"/>
  <c r="J18" i="5"/>
  <c r="J12" i="5"/>
  <c r="M12" i="3"/>
  <c r="L12" i="3"/>
  <c r="M25" i="3"/>
  <c r="L25" i="3"/>
  <c r="M38" i="3"/>
  <c r="L38" i="3"/>
  <c r="M51" i="3"/>
  <c r="L51" i="3"/>
  <c r="M115" i="3"/>
  <c r="L115" i="3"/>
  <c r="L64" i="3"/>
  <c r="M64" i="3" s="1"/>
  <c r="L69" i="3"/>
  <c r="M69" i="3" s="1"/>
  <c r="M104" i="3"/>
  <c r="L104" i="3"/>
  <c r="L124" i="3"/>
  <c r="M124" i="3" s="1"/>
  <c r="M122" i="3"/>
  <c r="L122" i="3"/>
  <c r="M132" i="3"/>
  <c r="L132" i="3"/>
  <c r="M131" i="3"/>
  <c r="L131" i="3"/>
  <c r="M129" i="3"/>
  <c r="L129" i="3"/>
  <c r="L133" i="3"/>
  <c r="M133" i="3" s="1"/>
  <c r="L138" i="3"/>
  <c r="M138" i="3" s="1"/>
  <c r="L139" i="3"/>
  <c r="M139" i="3" s="1"/>
  <c r="L140" i="3"/>
  <c r="M142" i="3"/>
  <c r="M141" i="3"/>
  <c r="L142" i="3"/>
  <c r="L141" i="3"/>
  <c r="M140" i="3"/>
  <c r="M143" i="3"/>
  <c r="L143" i="3"/>
  <c r="M159" i="3"/>
  <c r="L159" i="3"/>
  <c r="M162" i="3"/>
  <c r="L162" i="3"/>
  <c r="M165" i="3"/>
  <c r="L165" i="3"/>
  <c r="H164" i="3"/>
  <c r="H161" i="3"/>
  <c r="H157" i="3"/>
  <c r="H155" i="3"/>
  <c r="J164" i="3"/>
  <c r="J161" i="3"/>
  <c r="J157" i="3"/>
  <c r="J155" i="3"/>
  <c r="H152" i="3"/>
  <c r="H153" i="3"/>
  <c r="H151" i="3"/>
  <c r="J152" i="3"/>
  <c r="J153" i="3"/>
  <c r="J151" i="3"/>
  <c r="H149" i="3"/>
  <c r="H148" i="3"/>
  <c r="H147" i="3"/>
  <c r="J148" i="3"/>
  <c r="J149" i="3"/>
  <c r="J147" i="3"/>
  <c r="H127" i="3"/>
  <c r="J127" i="3"/>
  <c r="H120" i="3"/>
  <c r="J120" i="3"/>
  <c r="H115" i="3"/>
  <c r="J115" i="3"/>
  <c r="H104" i="3"/>
  <c r="J104" i="3"/>
  <c r="H101" i="3"/>
  <c r="H99" i="3"/>
  <c r="J101" i="3"/>
  <c r="J99" i="3"/>
  <c r="H92" i="3"/>
  <c r="H93" i="3"/>
  <c r="H94" i="3"/>
  <c r="H95" i="3"/>
  <c r="H96" i="3"/>
  <c r="H97" i="3"/>
  <c r="H91" i="3"/>
  <c r="J92" i="3"/>
  <c r="J93" i="3"/>
  <c r="J94" i="3"/>
  <c r="J95" i="3"/>
  <c r="J96" i="3"/>
  <c r="J97" i="3"/>
  <c r="J91" i="3"/>
  <c r="M88" i="3"/>
  <c r="M86" i="3"/>
  <c r="L88" i="3"/>
  <c r="L86" i="3"/>
  <c r="H84" i="3"/>
  <c r="J84" i="3"/>
  <c r="M82" i="3"/>
  <c r="L82" i="3"/>
  <c r="M80" i="3"/>
  <c r="L80" i="3"/>
  <c r="J78" i="3"/>
  <c r="M76" i="3"/>
  <c r="L76" i="3"/>
  <c r="M74" i="3"/>
  <c r="L74" i="3"/>
  <c r="H69" i="3"/>
  <c r="J69" i="3"/>
  <c r="J64" i="3"/>
  <c r="J51" i="3"/>
  <c r="J38" i="3"/>
  <c r="J25" i="3"/>
  <c r="J12" i="3"/>
  <c r="K162" i="13"/>
  <c r="M237" i="13"/>
  <c r="L237" i="13"/>
  <c r="M229" i="13"/>
  <c r="L229" i="13"/>
  <c r="M228" i="13"/>
  <c r="M202" i="13"/>
  <c r="L202" i="13"/>
  <c r="M185" i="13"/>
  <c r="L185" i="13"/>
  <c r="M182" i="13"/>
  <c r="L182" i="13"/>
  <c r="M179" i="13"/>
  <c r="L179" i="13"/>
  <c r="M176" i="13"/>
  <c r="L176" i="13"/>
  <c r="M173" i="13"/>
  <c r="L173" i="13"/>
  <c r="M166" i="13"/>
  <c r="L166" i="13"/>
  <c r="M162" i="13"/>
  <c r="M161" i="13"/>
  <c r="K161" i="13"/>
  <c r="M146" i="13"/>
  <c r="L146" i="13"/>
  <c r="L127" i="13"/>
  <c r="M127" i="13" s="1"/>
  <c r="L109" i="13"/>
  <c r="M109" i="13" s="1"/>
  <c r="M105" i="13"/>
  <c r="L105" i="13"/>
  <c r="M67" i="13"/>
  <c r="L67" i="13"/>
  <c r="M66" i="13"/>
  <c r="L66" i="13"/>
  <c r="M59" i="13"/>
  <c r="L59" i="13"/>
  <c r="L60" i="13"/>
  <c r="M60" i="13" s="1"/>
  <c r="M53" i="13"/>
  <c r="L53" i="13"/>
  <c r="M48" i="13"/>
  <c r="L48" i="13"/>
  <c r="M40" i="13"/>
  <c r="L40" i="13"/>
  <c r="M39" i="13"/>
  <c r="L39" i="13"/>
  <c r="M33" i="13"/>
  <c r="L33" i="13"/>
  <c r="M28" i="13"/>
  <c r="L28" i="13"/>
  <c r="M27" i="13"/>
  <c r="L27" i="13"/>
  <c r="J239" i="13"/>
  <c r="J231" i="13"/>
  <c r="J220" i="13"/>
  <c r="J202" i="13"/>
  <c r="J197" i="13"/>
  <c r="J194" i="13"/>
  <c r="J191" i="13"/>
  <c r="J188" i="13"/>
  <c r="J184" i="13"/>
  <c r="J181" i="13"/>
  <c r="J178" i="13"/>
  <c r="J175" i="13"/>
  <c r="J172" i="13"/>
  <c r="J168" i="13"/>
  <c r="J163" i="13"/>
  <c r="J150" i="13"/>
  <c r="J144" i="13"/>
  <c r="J127" i="13"/>
  <c r="J124" i="13"/>
  <c r="J109" i="13"/>
  <c r="J103" i="13"/>
  <c r="J88" i="13"/>
  <c r="J85" i="13"/>
  <c r="J70" i="13"/>
  <c r="J63" i="13"/>
  <c r="J56" i="13"/>
  <c r="J51" i="13"/>
  <c r="J46" i="13"/>
  <c r="J43" i="13"/>
  <c r="J36" i="13"/>
  <c r="J31" i="13"/>
  <c r="J24" i="13"/>
  <c r="J14" i="13"/>
  <c r="J19" i="13"/>
  <c r="I14" i="44"/>
  <c r="M51" i="14"/>
  <c r="L51" i="14"/>
  <c r="M53" i="14"/>
  <c r="L53" i="14"/>
  <c r="M52" i="14"/>
  <c r="L52" i="14"/>
  <c r="J18" i="14"/>
  <c r="J16" i="14"/>
  <c r="J15" i="14"/>
  <c r="J14" i="14"/>
  <c r="J28" i="14"/>
  <c r="J26" i="14"/>
  <c r="J24" i="14"/>
  <c r="J23" i="14"/>
  <c r="J22" i="14"/>
  <c r="J20" i="14"/>
  <c r="J19" i="14"/>
  <c r="M38" i="14"/>
  <c r="M39" i="14"/>
  <c r="L39" i="14"/>
  <c r="J35" i="14"/>
  <c r="J34" i="14"/>
  <c r="J32" i="14"/>
  <c r="J31" i="14"/>
  <c r="J37" i="14"/>
  <c r="J44" i="14"/>
  <c r="J42" i="14"/>
  <c r="J48" i="14"/>
  <c r="M29" i="14"/>
  <c r="L29" i="14"/>
  <c r="I13" i="44" l="1"/>
  <c r="J67" i="2"/>
  <c r="J66" i="2"/>
  <c r="J64" i="2"/>
  <c r="J52" i="2"/>
  <c r="J49" i="2"/>
  <c r="J48" i="2"/>
  <c r="J36" i="2"/>
  <c r="I36" i="2"/>
  <c r="J24" i="2"/>
  <c r="J12" i="2"/>
  <c r="I12" i="44"/>
  <c r="L31" i="1"/>
  <c r="I78" i="44"/>
  <c r="J30" i="1"/>
  <c r="J28" i="1"/>
  <c r="J27" i="1"/>
  <c r="J25" i="1"/>
  <c r="M29" i="1"/>
  <c r="L29" i="1"/>
  <c r="M24" i="1"/>
  <c r="L24" i="1"/>
  <c r="J23" i="1"/>
  <c r="J21" i="1"/>
  <c r="J19" i="1"/>
  <c r="J17" i="1"/>
  <c r="J15" i="1"/>
  <c r="J13" i="1"/>
  <c r="L32" i="10"/>
  <c r="I32" i="10"/>
  <c r="I33" i="10" s="1"/>
  <c r="L34" i="9"/>
  <c r="I34" i="9"/>
  <c r="I35" i="9" s="1"/>
  <c r="L16" i="15"/>
  <c r="I16" i="15"/>
  <c r="I17" i="15" s="1"/>
  <c r="L19" i="5"/>
  <c r="I19" i="5"/>
  <c r="I20" i="5" s="1"/>
  <c r="L166" i="3"/>
  <c r="I166" i="3"/>
  <c r="L243" i="13"/>
  <c r="I243" i="13"/>
  <c r="L54" i="14"/>
  <c r="I54" i="14"/>
  <c r="M31" i="1"/>
  <c r="I31" i="1"/>
  <c r="M68" i="2"/>
  <c r="L68" i="2"/>
  <c r="I68" i="2"/>
  <c r="J68" i="2"/>
  <c r="I70" i="2" s="1"/>
  <c r="I167" i="3" l="1"/>
  <c r="I244" i="13"/>
  <c r="I55" i="14"/>
  <c r="J31" i="1"/>
  <c r="I33" i="1" s="1"/>
  <c r="I32" i="1"/>
  <c r="I79" i="44"/>
  <c r="I80" i="44" s="1"/>
  <c r="I69" i="2"/>
  <c r="M19" i="5" l="1"/>
  <c r="J19" i="5"/>
  <c r="I21" i="5" s="1"/>
  <c r="J16" i="15"/>
  <c r="I18" i="15" s="1"/>
  <c r="M16" i="15"/>
  <c r="M54" i="14"/>
  <c r="J54" i="14"/>
  <c r="M243" i="13"/>
  <c r="M32" i="10"/>
  <c r="J32" i="10"/>
  <c r="I34" i="10" s="1"/>
  <c r="M34" i="9"/>
  <c r="J34" i="9"/>
  <c r="I36" i="9" s="1"/>
  <c r="M166" i="3"/>
  <c r="I56" i="14" l="1"/>
  <c r="J243" i="13"/>
  <c r="I245" i="13" s="1"/>
  <c r="J166" i="3"/>
  <c r="I168" i="3" s="1"/>
</calcChain>
</file>

<file path=xl/sharedStrings.xml><?xml version="1.0" encoding="utf-8"?>
<sst xmlns="http://schemas.openxmlformats.org/spreadsheetml/2006/main" count="2575" uniqueCount="832">
  <si>
    <t>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</t>
  </si>
  <si>
    <t/>
  </si>
  <si>
    <t>(наименование стройки)</t>
  </si>
  <si>
    <t xml:space="preserve">на Разборка звеньевого пути, </t>
  </si>
  <si>
    <t>(наименование работ и затрат, наименование объекта)</t>
  </si>
  <si>
    <t>Основание:</t>
  </si>
  <si>
    <t>1146-ПЖ.ВР2</t>
  </si>
  <si>
    <t>№ п/п</t>
  </si>
  <si>
    <t>Обоснование</t>
  </si>
  <si>
    <t>Наименование работ и затрат</t>
  </si>
  <si>
    <t>Ед. изм.</t>
  </si>
  <si>
    <t>Кол-во</t>
  </si>
  <si>
    <t>Раздел 1. Работы по звеньевому пути</t>
  </si>
  <si>
    <t>Работы по разборке верхнего строения пути</t>
  </si>
  <si>
    <t>Разборка звеньевого пути из рельсов Р-65 на ж.б. шпалах при 1840 шп/км</t>
  </si>
  <si>
    <t>1</t>
  </si>
  <si>
    <t>ФЕР28-01-006-02</t>
  </si>
  <si>
    <t>Разборка пути звеньями рельсошпальной решетки, шпалы: железобетонные</t>
  </si>
  <si>
    <t>км пути</t>
  </si>
  <si>
    <t>Разборка звеньевого пути из рельсов Р-65 на ж.б. шпалах при 2000 шп/км</t>
  </si>
  <si>
    <t>2</t>
  </si>
  <si>
    <t>Разборка обыкновенных стрелочных переводов из рельсов Р-65 марки 1/9 на ЖББ с закрестовинными блоками</t>
  </si>
  <si>
    <t>3</t>
  </si>
  <si>
    <t>ФЕР28-01-022-01</t>
  </si>
  <si>
    <t>Разборка: стрелочных переводов обыкновенных</t>
  </si>
  <si>
    <t>компл</t>
  </si>
  <si>
    <t>Разборка изолирующего стыка</t>
  </si>
  <si>
    <t>4</t>
  </si>
  <si>
    <t>ФЕР28-03-035-01</t>
  </si>
  <si>
    <t>Установка стыков изолирующих: в пути с металлическими накладками без резки рельсов</t>
  </si>
  <si>
    <t>10 пар</t>
  </si>
  <si>
    <t>26.1.02.08-0101</t>
  </si>
  <si>
    <t>Стыки изолирующие</t>
  </si>
  <si>
    <t>0
0</t>
  </si>
  <si>
    <t>Разборка путевого рельсового упора</t>
  </si>
  <si>
    <t>5</t>
  </si>
  <si>
    <t>ФЕР28-01-100-01</t>
  </si>
  <si>
    <t>Разборка упорной призмы и конструкции упора</t>
  </si>
  <si>
    <t>шт</t>
  </si>
  <si>
    <t>разборка упорной призмы (L-79 км)</t>
  </si>
  <si>
    <t>6</t>
  </si>
  <si>
    <t>ФЕР01-01-012-07</t>
  </si>
  <si>
    <t>Разработка грунта с погрузкой на автомобили-самосвалы экскаваторами с ковшом вместимостью: 1,6 (1,25-1,6) м3, группа грунтов 1</t>
  </si>
  <si>
    <t>1000 м3</t>
  </si>
  <si>
    <t>02.2.05.04-1777</t>
  </si>
  <si>
    <t>Щебень М 800, фракция 20-40 мм, группа 2</t>
  </si>
  <si>
    <t>м3</t>
  </si>
  <si>
    <t>7</t>
  </si>
  <si>
    <t>ФССЦпг-03-21-01-079</t>
  </si>
  <si>
    <t>Перевозка грузов I класса автомобилями-самосвалами грузоподъемностью 10 т работающих вне карьера на расстояние до 79 км</t>
  </si>
  <si>
    <t>1 т груза</t>
  </si>
  <si>
    <t>Срезка щебеночного балласта бульдозером (L-79 км)</t>
  </si>
  <si>
    <t>8</t>
  </si>
  <si>
    <t>ФЕР01-01-031-06</t>
  </si>
  <si>
    <t>Разработка грунта с перемещением до 10 м бульдозерами мощностью: 121 кВт (165 л.с.), группа грунтов 2</t>
  </si>
  <si>
    <t>9</t>
  </si>
  <si>
    <t>10</t>
  </si>
  <si>
    <t xml:space="preserve">  ВСЕГО по смете</t>
  </si>
  <si>
    <t xml:space="preserve">на Демонтаж водоотвода, </t>
  </si>
  <si>
    <t>1146-ПЖ.ВР3</t>
  </si>
  <si>
    <t>Раздел 1. Демонтаж лотков</t>
  </si>
  <si>
    <t>Демонтаж железобетонного лотка II типа h-1,50 м (междупутного)</t>
  </si>
  <si>
    <t>ФЕР30-07-030-06</t>
  </si>
  <si>
    <t>Устройство железобетонных водоотводных лотков междупутных глубиной: до 1,5 м</t>
  </si>
  <si>
    <t>100 м</t>
  </si>
  <si>
    <t>01.2.03.03-0107</t>
  </si>
  <si>
    <t>Мастика битумно-масляная морозостойкая горячего применения</t>
  </si>
  <si>
    <t>т</t>
  </si>
  <si>
    <t>01.3.01.08-0002</t>
  </si>
  <si>
    <t>Топливо дизельное из малосернистых нефтей</t>
  </si>
  <si>
    <t>01.7.07.29-0111</t>
  </si>
  <si>
    <t>Пакля пропитанная</t>
  </si>
  <si>
    <t>кг</t>
  </si>
  <si>
    <t>01.7.15.06-0111</t>
  </si>
  <si>
    <t>Гвозди строительные</t>
  </si>
  <si>
    <t>П,Н</t>
  </si>
  <si>
    <t>02.2.05.04</t>
  </si>
  <si>
    <t>Щебень из природного камня для строительных работ</t>
  </si>
  <si>
    <t>02.3.01.02-1012</t>
  </si>
  <si>
    <t>Песок природный II класс, средний, круглые сита</t>
  </si>
  <si>
    <t>04.3.01.09-0015</t>
  </si>
  <si>
    <t>Раствор готовый кладочный, цементный, М150</t>
  </si>
  <si>
    <t>05.1.01.10</t>
  </si>
  <si>
    <t>Конструкции сборные железобетонные</t>
  </si>
  <si>
    <t>11.1.03.06-0092</t>
  </si>
  <si>
    <t>Доска обрезная, хвойных пород, ширина 75-150 мм, толщина 32-40 мм, длина 4-6,5 м, сорт IV</t>
  </si>
  <si>
    <t>14.4.03.03-0002</t>
  </si>
  <si>
    <t>Лак битумный БТ-123</t>
  </si>
  <si>
    <t>Демонтаж железобетонного лотка II типа h-1,25 м (междупутного)</t>
  </si>
  <si>
    <t>ФЕР30-07-030-05</t>
  </si>
  <si>
    <t>Устройство железобетонных водоотводных лотков междупутных глубиной: до 1,25 м</t>
  </si>
  <si>
    <t>Демонтаж железобетонного лотка h-1,00 м (междупутного)</t>
  </si>
  <si>
    <t>Вывоз мусора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</si>
  <si>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</si>
  <si>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</si>
  <si>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Раздел 2. Разборка железобетонного колодца</t>
  </si>
  <si>
    <t>Разборка железобетонного колодца диаметром 1,0 м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</si>
  <si>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</si>
  <si>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</si>
  <si>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10 м3</t>
  </si>
  <si>
    <t>01.7.16.04-0013</t>
  </si>
  <si>
    <t>Опалубка металлическая</t>
  </si>
  <si>
    <t>03.2.01.01-0001</t>
  </si>
  <si>
    <t>Портландцемент общестроительного назначения бездобавочный М400 Д0 (ЦЕМ I 32,5Н)</t>
  </si>
  <si>
    <t>04.1.02.05-0006</t>
  </si>
  <si>
    <t>Смеси бетонные тяжелого бетона (БСТ), класс В15 (М200)</t>
  </si>
  <si>
    <t>04.3.01.03-0001</t>
  </si>
  <si>
    <t>Раствор асбоцементный</t>
  </si>
  <si>
    <t>04.3.01.09-0012</t>
  </si>
  <si>
    <t>Раствор готовый кладочный, цементный, М50</t>
  </si>
  <si>
    <t>05.1.01.09</t>
  </si>
  <si>
    <t>Кольца для колодцев сборные железобетонные диаметром 1000 мм</t>
  </si>
  <si>
    <t>м</t>
  </si>
  <si>
    <t>05.1.01.13</t>
  </si>
  <si>
    <t>Плиты сборные железобетонные</t>
  </si>
  <si>
    <t>07.2.05.01-0032</t>
  </si>
  <si>
    <t>Ограждения лестничных проемов, лестничные марши, пожарные лестницы</t>
  </si>
  <si>
    <t>08.1.02.06</t>
  </si>
  <si>
    <t>Люки чугунные</t>
  </si>
  <si>
    <t>Засыпка котлована местным грунтом</t>
  </si>
  <si>
    <t>ФЕР01-02-061-01</t>
  </si>
  <si>
    <t>Засыпка вручную траншей, пазух котлованов и ям, группа грунтов: 1</t>
  </si>
  <si>
    <t>100 м3</t>
  </si>
  <si>
    <t xml:space="preserve">на Железнодорожные пути. Водоотвод., </t>
  </si>
  <si>
    <t>Раздел 1. Устройство междупутных лотков</t>
  </si>
  <si>
    <t>Устройство железобетонного лотка II типа h-1,25 м (междупутного)</t>
  </si>
  <si>
    <t>Д</t>
  </si>
  <si>
    <t>ФССЦ-05.1.01.10-0104</t>
  </si>
  <si>
    <t>Лотки железобетонные водопропускные трапецеидального сечения</t>
  </si>
  <si>
    <t>Устройство железобетонного лотка h-1,00 м (междупутного)</t>
  </si>
  <si>
    <t>Устройство железобетонного лотка I типа h-0,70 м (междушпального)</t>
  </si>
  <si>
    <t>ФЕР30-07-030-03</t>
  </si>
  <si>
    <t>Устройство железобетонных водоотводных лотков междушпальных глубиной: до 0,7 м</t>
  </si>
  <si>
    <t>15
17,775</t>
  </si>
  <si>
    <t>Железобетонные крышки для междупутных лотков II типа-0,75 м</t>
  </si>
  <si>
    <t>ФЕР30-07-030-04</t>
  </si>
  <si>
    <t>Устройство железобетонных водоотводных лотков междупутных глубиной: до 0,75 м</t>
  </si>
  <si>
    <t>ФЕР07-06-002-05</t>
  </si>
  <si>
    <t>Устройство плит перекрытий каналов площадью: до 0,5 м2</t>
  </si>
  <si>
    <t>100 шт</t>
  </si>
  <si>
    <t>Н</t>
  </si>
  <si>
    <t>05.1.01.12</t>
  </si>
  <si>
    <t>ФССЦ-05.1.01.13-0043</t>
  </si>
  <si>
    <t>Плита железобетонная покрытий, перекрытий и днищ</t>
  </si>
  <si>
    <t>Железобетонные распорные крышки для междушпальных лотков l типа l-0,75 м</t>
  </si>
  <si>
    <t>Засыпка щебнем фракции 20-40 мм М 800 - работа учтена в ФЕР30-07-030</t>
  </si>
  <si>
    <t>ФССЦ-02.2.05.04-1777</t>
  </si>
  <si>
    <t>Щебеночная подготовка лотка (щебень фракции 20-40 мм М 800) - работа учтена в ФЕР30-07-030</t>
  </si>
  <si>
    <t>Устройство прилива по дну лотка монолитным бетоном В-15</t>
  </si>
  <si>
    <t>ФЕР06-01-001-01</t>
  </si>
  <si>
    <t>Устройство бетонной подготовки</t>
  </si>
  <si>
    <t>01.7.03.01-0001</t>
  </si>
  <si>
    <t>Вода</t>
  </si>
  <si>
    <t>01.7.07.12-0024</t>
  </si>
  <si>
    <t>Пленка полиэтиленовая, толщина 0,15 мм</t>
  </si>
  <si>
    <t>м2</t>
  </si>
  <si>
    <t>04.1.02.05</t>
  </si>
  <si>
    <t>Смеси бетонные тяжелого бетона</t>
  </si>
  <si>
    <t>ФССЦ-04.1.02.05-0006</t>
  </si>
  <si>
    <t>Смеси бетонные тяжелого бетона (БСТ), класс B15 (М200)</t>
  </si>
  <si>
    <t>Устройство наполнения начального/конечного звеньев лотка монолитным бетоном B-15</t>
  </si>
  <si>
    <t>Разработка котлована в грунте механизированным способом - учтено в ФЕР30-07-030</t>
  </si>
  <si>
    <t>Погрузка и вывоз грунта</t>
  </si>
  <si>
    <t>11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</si>
  <si>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</si>
  <si>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</si>
  <si>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12</t>
  </si>
  <si>
    <t>13</t>
  </si>
  <si>
    <t>ФССЦпг-03-21-01-154</t>
  </si>
  <si>
    <t>Перевозка грузов I класса автомобилями-самосвалами грузоподъемностью 10 т работающих вне карьера на расстояние до 154 км</t>
  </si>
  <si>
    <t>14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</si>
  <si>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</si>
  <si>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</si>
  <si>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15</t>
  </si>
  <si>
    <t>16</t>
  </si>
  <si>
    <t>ФЕР01-02-060-03</t>
  </si>
  <si>
    <t>Погрузка вручную неуплотненного грунта из штабелей и отвалов в транспортные средства, группа грунтов: 3</t>
  </si>
  <si>
    <t>17</t>
  </si>
  <si>
    <t>Обратная засыпка котлована</t>
  </si>
  <si>
    <t>18</t>
  </si>
  <si>
    <t>ФЕР01-02-061-02</t>
  </si>
  <si>
    <t>Засыпка вручную траншей, пазух котлованов и ям, группа грунтов: 2</t>
  </si>
  <si>
    <t>Планировка засыпки</t>
  </si>
  <si>
    <t>19</t>
  </si>
  <si>
    <t>ФЕР01-01-036-02</t>
  </si>
  <si>
    <t>Планировка площадей бульдозерами мощностью: 79 кВт (108 л.с.)</t>
  </si>
  <si>
    <t>1000 м2</t>
  </si>
  <si>
    <t>Раздел 2. Устройство водоотвода от централизованных стрелочных переводов</t>
  </si>
  <si>
    <t>Устройство железобетонного лотка I типа h-0,35 м (междушпального)</t>
  </si>
  <si>
    <t>20</t>
  </si>
  <si>
    <t>ФЕР30-07-030-01</t>
  </si>
  <si>
    <t>Устройство железобетонных водоотводных лотков междушпальных глубиной: до 0,35 м</t>
  </si>
  <si>
    <t>Железобетонные крышки для междупутных лотков  l типа-0,75 м</t>
  </si>
  <si>
    <t>21</t>
  </si>
  <si>
    <t>Устройство наполнения начального звена лотка монолитным бетоном B-15</t>
  </si>
  <si>
    <t>22</t>
  </si>
  <si>
    <t>Раздел 3. Водоотвод 10 пути</t>
  </si>
  <si>
    <t>Установка железобетонного колодца диаметром 1,5 м</t>
  </si>
  <si>
    <t>23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</si>
  <si>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</si>
  <si>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</si>
  <si>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Кольца для колодцев сборные железобетонные диаметром 1500 мм</t>
  </si>
  <si>
    <t>ФССЦ-02.3.01.02-1012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</si>
  <si>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</si>
  <si>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</si>
  <si>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ФССЦ-05.1.01.09-0062</t>
  </si>
  <si>
    <t>Кольцо стеновое смотровых колодцев КС15-10, бетон B20 (М250), объем 0,5 м3, расход арматуры 9,05 кг</t>
  </si>
  <si>
    <t>ФССЦ-05.1.01.09-0042</t>
  </si>
  <si>
    <t>Кольцо опорное КО-6 /бетон B15 (М200), объем 0,02 м3, расход арматуры 1,10 кг</t>
  </si>
  <si>
    <t>ФССЦ-05.1.01.11-0045</t>
  </si>
  <si>
    <t>Плита днища ПН15, бетон B15 (М200), объем 0,38 м3, расход арматуры 33,13 кг</t>
  </si>
  <si>
    <t>ФССЦ-08.1.02.06-0013</t>
  </si>
  <si>
    <t>Люк чугунный легкий Л(A30)-К-1-60</t>
  </si>
  <si>
    <t>Устройство дренажа</t>
  </si>
  <si>
    <t>Разработка котлована в грунте механизированным способом</t>
  </si>
  <si>
    <t>Срезка грунта бульдозером ИГЭ (1) (группа грунтов 1) + вывоз согласно транспортной схеме</t>
  </si>
  <si>
    <t>24</t>
  </si>
  <si>
    <t>ФЕР01-01-031-05</t>
  </si>
  <si>
    <t>Разработка грунта с перемещением до 10 м бульдозерами мощностью: 121 кВт (165 л.с.), группа грунтов 1</t>
  </si>
  <si>
    <t>25</t>
  </si>
  <si>
    <t>ФЕР01-01-020-01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</si>
  <si>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1</t>
  </si>
  <si>
    <t>26</t>
  </si>
  <si>
    <t>Срезка грунта бульдозером ИГЭ (3) (группа грунтов 3) + вывоз согласно транспортной схеме</t>
  </si>
  <si>
    <t>27</t>
  </si>
  <si>
    <t>ФЕР01-01-031-07</t>
  </si>
  <si>
    <t>Разработка грунта с перемещением до 10 м бульдозерами мощностью: 121 кВт (165 л.с.), группа грунтов 3</t>
  </si>
  <si>
    <t>28</t>
  </si>
  <si>
    <t>ФЕР01-01-020-02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</si>
  <si>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2</t>
  </si>
  <si>
    <t>29</t>
  </si>
  <si>
    <t>Срезка грунта бульдозером ИГЭ (3) (группа грунтов 3) в засыпку котлована</t>
  </si>
  <si>
    <t>30</t>
  </si>
  <si>
    <t>Труба дренажная ПНД160</t>
  </si>
  <si>
    <t>31</t>
  </si>
  <si>
    <t>ФЕР23-01-020-01</t>
  </si>
  <si>
    <t>Укладка канализационных безнапорных раструбных труб из поливинилхлорида (ПВХ) диаметром: 160 мм</t>
  </si>
  <si>
    <t>ФССЦ-24.3.03.13-0421</t>
  </si>
  <si>
    <t>Трубы напорные полиэтиленовые, среднего типа, ПНД, номинальный наружный диаметр 160 мм</t>
  </si>
  <si>
    <t>Засыпка дренирующим грунтом</t>
  </si>
  <si>
    <t>32</t>
  </si>
  <si>
    <t>33</t>
  </si>
  <si>
    <t>Засыпка щебнем фракции 20-40 мм М 800</t>
  </si>
  <si>
    <t>34</t>
  </si>
  <si>
    <t>35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</si>
  <si>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</si>
  <si>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</si>
  <si>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Щебень</t>
  </si>
  <si>
    <t>100 м2</t>
  </si>
  <si>
    <t>ФЕР09-02-018-02</t>
  </si>
  <si>
    <t>Монтаж пролетных строений галерей с опорами: горизонтального типа</t>
  </si>
  <si>
    <t>01.3.02.08-0001</t>
  </si>
  <si>
    <t>Кислород газообразный технический</t>
  </si>
  <si>
    <t>14.4.01.01-0003</t>
  </si>
  <si>
    <t>Грунтовка ГФ-021</t>
  </si>
  <si>
    <t>ФЕР09-03-029-01</t>
  </si>
  <si>
    <t>Монтаж лестниц прямолинейных и криволинейных, пожарных с ограждением</t>
  </si>
  <si>
    <t>36</t>
  </si>
  <si>
    <t>37</t>
  </si>
  <si>
    <t xml:space="preserve">на Демонтаж.Наружное электроснабжение и освещение., </t>
  </si>
  <si>
    <t>1146-ЭС2.ВР3</t>
  </si>
  <si>
    <t>Раздел 1. Демонтаж кабельной линии 0,4 кВ</t>
  </si>
  <si>
    <t>Разработка грунта с обратной засыпкой</t>
  </si>
  <si>
    <t>ФЕР01-01-009-02</t>
  </si>
  <si>
    <t>Разработка грунта в траншеях экскаватором «обратная лопата» с ковшом вместимостью 1 (1-1,2) м3, группа грунтов: 2</t>
  </si>
  <si>
    <t>ФЕР01-01-033-05</t>
  </si>
  <si>
    <t>Засыпка траншей и котлованов с перемещением грунта до 5 м бульдозерами мощностью: 79 кВт (108 л.с.), группа грунтов 2</t>
  </si>
  <si>
    <t>Демонтаж кабельных линий</t>
  </si>
  <si>
    <t>ФЕРм08-02-141-01</t>
  </si>
  <si>
    <t>Кабель до 35 кВ в готовых траншеях без покрытий, масса 1 м: до 1 кг</t>
  </si>
  <si>
    <t>Погрузка и вывоз с площадки</t>
  </si>
  <si>
    <t>08.1.02.11-0001</t>
  </si>
  <si>
    <t>Поковки из квадратных заготовок, масса 1,8 кг</t>
  </si>
  <si>
    <t>ФЕР01-02-040-02</t>
  </si>
  <si>
    <t>Укрепление откосов земляных сооружений посевом многолетних трав: механизированным способом</t>
  </si>
  <si>
    <t>16.2.01.02</t>
  </si>
  <si>
    <t>Земля растительная</t>
  </si>
  <si>
    <t>16.2.02.07</t>
  </si>
  <si>
    <t>Семена трав</t>
  </si>
  <si>
    <t>16.3.02.03-0004</t>
  </si>
  <si>
    <t>Удобрения сложно-смешанные гранулированные насыпью</t>
  </si>
  <si>
    <t>ФССЦ-16.2.01.02-0001</t>
  </si>
  <si>
    <t>ФССЦ-16.2.02.07-0161</t>
  </si>
  <si>
    <t>Семена газонных трав (смесь)</t>
  </si>
  <si>
    <t>1146-3-ИС.КЖ.ВР</t>
  </si>
  <si>
    <t>14.4.02.04-0142</t>
  </si>
  <si>
    <t>Краска масляная земляная МА-0115, мумия, сурик железный</t>
  </si>
  <si>
    <t>01.3.02.03-0001</t>
  </si>
  <si>
    <t>Ацетилен газообразный технический</t>
  </si>
  <si>
    <t>0,01
0,08</t>
  </si>
  <si>
    <t xml:space="preserve">на Демонтаж смотровой эстакады, </t>
  </si>
  <si>
    <t>Раздел 1. Демонтаж смотровой эстакады</t>
  </si>
  <si>
    <t>Демонтаж элементов пролетного строения автокраном г.п. до 40т</t>
  </si>
  <si>
    <t>Демонтаж элементов лестничных сходов автокраном г.п. до 40т</t>
  </si>
  <si>
    <t>Демонтаж элементов ограждений автокраном г.п. до 40т</t>
  </si>
  <si>
    <t>Демонтаж элементов опор автокраном г.п. до 16т</t>
  </si>
  <si>
    <t>Разработка грунта для демонтажа железобетонных фундаментов экскаватором с доработкой вручную, песчаный грунт</t>
  </si>
  <si>
    <t>ФЕР01-01-008-01</t>
  </si>
  <si>
    <t>Разработка грунта в отвал в котлованах объемом от 1000 до 3000 м3 экскаваторами с ковшом вместимостью 0,65 м3, группа грунтов: 1</t>
  </si>
  <si>
    <t>ФЕР01-02-055-01</t>
  </si>
  <si>
    <t>Разработка грунта вручную с креплениями в траншеях шириной до 2 м, глубиной: до 2 м, группа грунтов 1</t>
  </si>
  <si>
    <t>Демонтаж железобетонных фундаментов эксковатором с гидромолотом, доработка вручную отбойными молотками</t>
  </si>
  <si>
    <t>ФЕР46-09-005-01</t>
  </si>
  <si>
    <t>Разборка монолитных железобетонных конструкций гидромолотом на базе экскаватора</t>
  </si>
  <si>
    <t>0,31
4,4361</t>
  </si>
  <si>
    <t>1,46
20,8926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</si>
  <si>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</si>
  <si>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</si>
  <si>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0,26
0,4134</t>
  </si>
  <si>
    <t>2
3,18</t>
  </si>
  <si>
    <t>Обратная засыпка котлованов местным грунтом</t>
  </si>
  <si>
    <t xml:space="preserve">на Демонтаж пешеходной эстакады, </t>
  </si>
  <si>
    <t>1146-4-ИС.КЖ.ВР</t>
  </si>
  <si>
    <t>Раздел 1. Демонтаж пешеходной эстакады</t>
  </si>
  <si>
    <t>0,31
13,6152</t>
  </si>
  <si>
    <t>1,46
64,1232</t>
  </si>
  <si>
    <t>0,26
1,2688</t>
  </si>
  <si>
    <t>2
9,76</t>
  </si>
  <si>
    <t xml:space="preserve">на Железнодорожные пути. Верхнее строение пути., </t>
  </si>
  <si>
    <t>Раздел 1. Работы по устройству верхнего строения пути</t>
  </si>
  <si>
    <t>Укладка пути звеньями рельсошпальной решетки длиной 25 м, шпалы железобетонные (эпюра 1840 шт/км, скрепление АРС-4)</t>
  </si>
  <si>
    <t>Исключить материалы (использовать ранее демонтированные)</t>
  </si>
  <si>
    <t>ФЕР28-01-001-01</t>
  </si>
  <si>
    <t>Укладка пути звеньями рельсошпальной решетки длиной 25 м, шпалы железобетонные: без устройства разделительного слоя</t>
  </si>
  <si>
    <t>25.1.05.08</t>
  </si>
  <si>
    <t>Решетка рельсошпальная на железобетонных шпалах</t>
  </si>
  <si>
    <t>1000 м</t>
  </si>
  <si>
    <t>1
0,462</t>
  </si>
  <si>
    <t>Транспорт РШР от звеносборочной базы до стройплощадки согласно Транспортной схемы - 220 км</t>
  </si>
  <si>
    <t>В охранной зоне действующей контактной сети, в условиях движения по соседнему пути</t>
  </si>
  <si>
    <t>1
0,0762</t>
  </si>
  <si>
    <t>ФССЦ-25.1.05.08-0047</t>
  </si>
  <si>
    <t>Решетка рельсошпальная с применением новых материалов, рельсы Р65 категории Т1, шпалы железобетонные, скрепления АРС, эпюра шпал 1840 шт</t>
  </si>
  <si>
    <t>Укладка пути звеньями рельсошпальной решетки длиной 25 м, шпалы железобетонные (эпюра 1840 шт/км, скрепление АРС-4) с укладкой разделительного слоя из геотекстиля</t>
  </si>
  <si>
    <t>ФЕР28-01-001-02</t>
  </si>
  <si>
    <t>Укладка пути звеньями рельсошпальной решетки длиной 25 м, шпалы железобетонные: с укладкой геотекстиля</t>
  </si>
  <si>
    <t>01.7.12.16-0011</t>
  </si>
  <si>
    <t>Геотекстиль для разделительного слоя балластной призмы</t>
  </si>
  <si>
    <t>1
0,0078</t>
  </si>
  <si>
    <t>ФССЦ-01.7.12.16-0011</t>
  </si>
  <si>
    <t>4284,61538
33,42</t>
  </si>
  <si>
    <t>1
1,169</t>
  </si>
  <si>
    <t>1
0,23</t>
  </si>
  <si>
    <t>4284
985,32</t>
  </si>
  <si>
    <t>Укладка пути звеньями рельсошпальной решетки длиной 25 м, шпалы железобетонные (эпюра 2000 шт/км, скрепление АРС-4)</t>
  </si>
  <si>
    <t>1
1,293</t>
  </si>
  <si>
    <t>1
0,123</t>
  </si>
  <si>
    <t>ФССЦ-25.1.05.08-0048</t>
  </si>
  <si>
    <t>Решетка рельсошпальная с применением новых материалов, рельсы Р65 категории Т1, шпалы железобетонные, скрепления АРС, эпюра шпал 2000 шт</t>
  </si>
  <si>
    <t>1
0,0135</t>
  </si>
  <si>
    <t>Укладка пути звеньями рельсошпальной решетки длиной 25 м, шпалы железобетонные (эпюра 2000 шт/км, скрепление АРС-4) с укладкой разделительного слоя из геотекстиля</t>
  </si>
  <si>
    <t>4283,7037
57,83</t>
  </si>
  <si>
    <t>Укладка пути звеньями рельсошпальной решетки длиной 25 м, шпалы железобетонные (эпюра 2000 шт/км, скрепление АРС-4) с укладкой разделительного слоя</t>
  </si>
  <si>
    <t>1
0,161</t>
  </si>
  <si>
    <t>4284
689,724</t>
  </si>
  <si>
    <t>Укладка стрелочных переводов на железобетонных брусьях блоками кранами на железнодорожном ходу: 1/9 проект 2769.00.000</t>
  </si>
  <si>
    <t>Исключить материалы (использовать ранее демонтированные стрелочные переводы 7 комплектов)</t>
  </si>
  <si>
    <t>ФЕР28-01-017-03</t>
  </si>
  <si>
    <t>Сборка стрелочного перевода блоками при типе рельсов Р65 на железобетонных брусьях, марка перевода: 1/9</t>
  </si>
  <si>
    <t>05.1.02.03-0012</t>
  </si>
  <si>
    <t>Брусья железобетонные для стрелочных переводов</t>
  </si>
  <si>
    <t>20.2.02.01-0019</t>
  </si>
  <si>
    <t>Втулки изолирующие</t>
  </si>
  <si>
    <t>1000 шт</t>
  </si>
  <si>
    <t>0,192
1,344</t>
  </si>
  <si>
    <t>25.1.02.01-0035</t>
  </si>
  <si>
    <t>Шпалы железобетонные Ш1, объем бетона 0,106 м3, расход стали 7,25 кг</t>
  </si>
  <si>
    <t>25.1.03.01-0002</t>
  </si>
  <si>
    <t>Клемма ПК</t>
  </si>
  <si>
    <t>192
1344</t>
  </si>
  <si>
    <t>25.1.03.04-0013</t>
  </si>
  <si>
    <t>Скоба для изолирующей втулки, размер 65х40 мм</t>
  </si>
  <si>
    <t>25.1.03.06-0011</t>
  </si>
  <si>
    <t>Шайбы двухвитковые</t>
  </si>
  <si>
    <t>0,0461
0,3227</t>
  </si>
  <si>
    <t>25.1.04.01-0001</t>
  </si>
  <si>
    <t>Болты закладные для рельсовых скреплений железнодорожного пути с гайками, М22х175 мм</t>
  </si>
  <si>
    <t>0,146
1,022</t>
  </si>
  <si>
    <t>25.1.04.02-0001</t>
  </si>
  <si>
    <t>Болты клеммные для рельсовых скреплений железнодорожного пути с гайками, М22х75 мм</t>
  </si>
  <si>
    <t>0,09
0,63</t>
  </si>
  <si>
    <t>25.1.05.02-0006</t>
  </si>
  <si>
    <t>Подкладка раздельного скрепления железнодорожного пути КБ-65</t>
  </si>
  <si>
    <t>96
672</t>
  </si>
  <si>
    <t>25.1.05.05-0043</t>
  </si>
  <si>
    <t>Рельсы железнодорожные Р-65 категория Т1</t>
  </si>
  <si>
    <t>50
350</t>
  </si>
  <si>
    <t>25.1.06.03</t>
  </si>
  <si>
    <t>Знаки путевые и сигнальные железных дорог</t>
  </si>
  <si>
    <t>0,01
0,07</t>
  </si>
  <si>
    <t>25.1.06.15</t>
  </si>
  <si>
    <t>Перевод стрелочный</t>
  </si>
  <si>
    <t>1
7</t>
  </si>
  <si>
    <t>25.1.06.19-0051</t>
  </si>
  <si>
    <t>Прокладки повышенной упругости под подкладку КБ, КБ10 ЦП 328 из смеси РП 101-710</t>
  </si>
  <si>
    <t>25.1.06.19-0085</t>
  </si>
  <si>
    <t>Прокладки ПБР65х8 ЦП143 (ПБР 65х7 ЦП318) из смеси РП 101-710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</si>
  <si>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</si>
  <si>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</t>
  </si>
  <si>
    <t>Укладка стрелочных переводов на железобетонных брусьях блоками кранами на железнодорожном ходу: 1/9 проект 2769.00.000 с укладкой разделительного слоя из геотекстиля</t>
  </si>
  <si>
    <t>Исключить материалы (использовать ранее демонтированные стрелочные переводы 8 комплектов)</t>
  </si>
  <si>
    <t>0,192
1,536</t>
  </si>
  <si>
    <t>192
1536</t>
  </si>
  <si>
    <t>0,0461
0,3688</t>
  </si>
  <si>
    <t>0,146
1,168</t>
  </si>
  <si>
    <t>0,09
0,72</t>
  </si>
  <si>
    <t>96
768</t>
  </si>
  <si>
    <t>50
400</t>
  </si>
  <si>
    <t>1
8</t>
  </si>
  <si>
    <t>ФЕР28-01-018-08</t>
  </si>
  <si>
    <t>Укладка стрелочного перевода типа Р65 блоками кранами на железнодорожном ходу, брусья железобетонные, марка перевода: 1/9 с укладкой геотекстиля</t>
  </si>
  <si>
    <t>203,28
1626,24</t>
  </si>
  <si>
    <t>Рельсы Р65 на закрестовинных блоках новые - учтено в ФЕР28-01-017-03</t>
  </si>
  <si>
    <t>Новые стрелочные переводы</t>
  </si>
  <si>
    <t>0,192
0,576</t>
  </si>
  <si>
    <t>192
576</t>
  </si>
  <si>
    <t>0,0461
0,1383</t>
  </si>
  <si>
    <t>0,146
0,438</t>
  </si>
  <si>
    <t>0,09
0,27</t>
  </si>
  <si>
    <t>96
288</t>
  </si>
  <si>
    <t>50
150</t>
  </si>
  <si>
    <t>0,01
0,03</t>
  </si>
  <si>
    <t>1
3</t>
  </si>
  <si>
    <t>ФССЦ-25.1.06.15-0063</t>
  </si>
  <si>
    <t>Перевод стрелочный, тип рельсов Р-65, марка: 1/9 с железобетонными брусьями, 2769.00.000</t>
  </si>
  <si>
    <t>ФССЦ-05.1.02.03-0013</t>
  </si>
  <si>
    <t>Брусья железобетонные для стрелочных переводов марки 1/9 (комплект)</t>
  </si>
  <si>
    <t>203,28
609,84</t>
  </si>
  <si>
    <t>Укладка перекрестного съезда на ЖББ при типе рельсов Р65, марка пересечения 2/9, проект 2999.00.000 с устройством разделительного слоя из геотекстиля</t>
  </si>
  <si>
    <t>ФЕР28-01-021-04</t>
  </si>
  <si>
    <t>Укладка перекрестного съезда на деревянных брусьях поэлементно при типе рельсов Р65, марка съезда: 2/9</t>
  </si>
  <si>
    <t>01.3.04.08-0013</t>
  </si>
  <si>
    <t>Масло каменноугольное для пропитки древесины</t>
  </si>
  <si>
    <t>0,018
0,018</t>
  </si>
  <si>
    <t>05.1.02.07</t>
  </si>
  <si>
    <t>Столбики сигнальные железобетонные</t>
  </si>
  <si>
    <t>0,03
0,03</t>
  </si>
  <si>
    <t>25.1.01.02-0002</t>
  </si>
  <si>
    <t>Брусья деревянные из древесины хвойных пород для стрелочных переводов, пропитанные</t>
  </si>
  <si>
    <t>25.1.01.05-0012</t>
  </si>
  <si>
    <t>Шпалы деревянные пропитанные, тип II</t>
  </si>
  <si>
    <t>25.1.03.02-0001</t>
  </si>
  <si>
    <t>Костыли для железных дорог широкой колеи, сечение 16х16 мм, длина 165 мм</t>
  </si>
  <si>
    <t>0,933
0,933</t>
  </si>
  <si>
    <t>25.1.03.04-0011</t>
  </si>
  <si>
    <t>Скоба S-образная для укрепления концов шпал от растрескивания</t>
  </si>
  <si>
    <t>0,32
0,32</t>
  </si>
  <si>
    <t>25.1.04.07-0003</t>
  </si>
  <si>
    <t>Шурупы путевые, размер 24х170 мм</t>
  </si>
  <si>
    <t>0,755
0,755</t>
  </si>
  <si>
    <t>0,02
0,02</t>
  </si>
  <si>
    <t>25.1.06.19-0061</t>
  </si>
  <si>
    <t>Прокладки под подкладку Д65 и СД-65, ЦП67 из смеси РП 101-710</t>
  </si>
  <si>
    <t>830
830</t>
  </si>
  <si>
    <t>25.1.06.23</t>
  </si>
  <si>
    <t>Съезды перекрестные</t>
  </si>
  <si>
    <t>1
1</t>
  </si>
  <si>
    <t>ТЦ_59.1.25.01_33_3334008029_11.04.2025_01_4.1</t>
  </si>
  <si>
    <t>Съезд перекрестный типа Р65 марки 2/9 проекь 2999.00.000 колеи 1520мм с междпутьем 5,3м</t>
  </si>
  <si>
    <t>компл.</t>
  </si>
  <si>
    <t>ФЕР27-04-016-04</t>
  </si>
  <si>
    <t>Устройство прослойки из нетканого синтетического материала (НСМ) в земляном полотне: сплошной</t>
  </si>
  <si>
    <t>01.7.12.05-1018</t>
  </si>
  <si>
    <t>Геотекстиль нетканый, поверхностной плотностью 550 г/м2</t>
  </si>
  <si>
    <t>0,00013
0,0000428</t>
  </si>
  <si>
    <t>1007,8
331,596434</t>
  </si>
  <si>
    <t>Передвижка пути до 2 м, балласт щебеночный</t>
  </si>
  <si>
    <t>ФЕР28-01-092-01</t>
  </si>
  <si>
    <t>02.2.05.04-0061</t>
  </si>
  <si>
    <t>Щебень из плотных горных пород для балластного слоя железнодорожного пути, фракция от 25 до 60 мм</t>
  </si>
  <si>
    <t>Раздел 2. Работы по балластировке пути и стрелочных переводов</t>
  </si>
  <si>
    <t>балластировка пути и стрелочных переводов</t>
  </si>
  <si>
    <t>ФЕР28-01-027-04</t>
  </si>
  <si>
    <t>Балластировка пути и стрелочных переводов на железобетонных шпалах, балласт: щебеночный</t>
  </si>
  <si>
    <t>1180
8289,854</t>
  </si>
  <si>
    <t>балластировка пути и стрелочных переводов в охранной зоне действующей контактной сети, в условиях движения по соседнему пути</t>
  </si>
  <si>
    <t>1180
536,9</t>
  </si>
  <si>
    <t>дополнительно балластировка стрелочных переводов в охранной зоне действующей контактной сети, в условиях движения по соседнему пути</t>
  </si>
  <si>
    <t>1180
236</t>
  </si>
  <si>
    <t>дополнительно балластировка стрелочных переводов</t>
  </si>
  <si>
    <t>1180
1534</t>
  </si>
  <si>
    <t>Засыпка междупутий щебнем</t>
  </si>
  <si>
    <t>ФЕР01-02-061-03</t>
  </si>
  <si>
    <t>Засыпка вручную траншей, пазух котлованов и ям, группа грунтов: 3</t>
  </si>
  <si>
    <t>ФССЦ-02.2.05.04-0061</t>
  </si>
  <si>
    <t>Раздел 3. Работы по выправке пути и стрелочных переводов</t>
  </si>
  <si>
    <t>Выправочно-отделочные работы и окончательная выправка пути на железобетонных шпалах, балласт щебеночный  в охранной зоне действующей контактной сети, в условиях движения по соседнему пути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</si>
  <si>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</si>
  <si>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</si>
  <si>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Выправка стрелочного перевода обыкновенного на железобетонных брусьях, балласт щебеночный, марки 1/9</t>
  </si>
  <si>
    <t>ФЕР28-01-032-03</t>
  </si>
  <si>
    <t>Выправка стрелочного перевода обыкновенного на железобетонных брусьях, балласт щебеночный, марка перевода: 1/9</t>
  </si>
  <si>
    <t>стрелочный перевод</t>
  </si>
  <si>
    <t>Выправка стрелочного перевода двойного перекрестного на железобетонных брусьях, балласт щебеночный, марки 2/9 в охранной зоне действующей контактной сети, в условиях движения по соседнему пути</t>
  </si>
  <si>
    <t>ФЕР28-01-032-06</t>
  </si>
  <si>
    <t>Выправка стрелочного перевода двойного перекрестного на железобетонных брусьях, балласт щебеночный</t>
  </si>
  <si>
    <t>Раздел 4. Прочие работы</t>
  </si>
  <si>
    <t>Устройство путевого упора</t>
  </si>
  <si>
    <t>- устройство призмы тупикового упора (щебень М800, фракция 20-40 мм)</t>
  </si>
  <si>
    <t>ФЕР28-01-099-01</t>
  </si>
  <si>
    <t>Устройство упоров тупиковых рельсовых</t>
  </si>
  <si>
    <t>0,001
0,003</t>
  </si>
  <si>
    <t>01.7.11.07-0044</t>
  </si>
  <si>
    <t>Электроды сварочные Э42, диаметр 5 мм</t>
  </si>
  <si>
    <t>0,0005
0,0015</t>
  </si>
  <si>
    <t>01.7.15.02-0084</t>
  </si>
  <si>
    <t>Болты с шестигранной головкой, диаметр 12 (14) мм</t>
  </si>
  <si>
    <t>02.2.04.03</t>
  </si>
  <si>
    <t>Гравийная, щебеночная, гравийно (щебеночно)-песчаная смесь</t>
  </si>
  <si>
    <t>20
60</t>
  </si>
  <si>
    <t>08.3.05.02-0101</t>
  </si>
  <si>
    <t>Прокат толстолистовой горячекатаный в листах, марка стали ВСт3пс5, толщина 4-6 мм</t>
  </si>
  <si>
    <t>0,019
0,057</t>
  </si>
  <si>
    <t>08.3.08.01-0001</t>
  </si>
  <si>
    <t>Уголок горячекатаный, неравнополочный, марка стали Ст0, ширина большей полки 180-00 мм, толщина 11-16 мм</t>
  </si>
  <si>
    <t>11.1.03.01-0085</t>
  </si>
  <si>
    <t>Бруски обрезные, хвойных пород, длина 4-6,5 м, ширина 75-150 мм, толщина 150 мм и более, сорт I</t>
  </si>
  <si>
    <t>0,4
1,2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</si>
  <si>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</si>
  <si>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</si>
  <si>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25.1.01.05-0013</t>
  </si>
  <si>
    <t>Шпалы деревянные пропитанные, тип III</t>
  </si>
  <si>
    <t>27
81</t>
  </si>
  <si>
    <t>0,05
0,15</t>
  </si>
  <si>
    <t>25.1.04.04-0002</t>
  </si>
  <si>
    <t>Болты для рельсовых стыков железнодорожного пути с гайками, М24х150-160 мм</t>
  </si>
  <si>
    <t>25.1.05.01-0004</t>
  </si>
  <si>
    <t>Накладки рельсовые двухголовые Р50</t>
  </si>
  <si>
    <t>0,08
0,24</t>
  </si>
  <si>
    <t>25.1.05.02-0002</t>
  </si>
  <si>
    <t>Подкладка костыльного скрепления железнодорожного пути Д-50</t>
  </si>
  <si>
    <t>0,17
0,51</t>
  </si>
  <si>
    <t>25.1.05.07-0001</t>
  </si>
  <si>
    <t>Рельсы железнодорожные старогодные</t>
  </si>
  <si>
    <t>1,94
5,82</t>
  </si>
  <si>
    <t>Установка знаков путевых</t>
  </si>
  <si>
    <t>ФЕР28-01-098-01</t>
  </si>
  <si>
    <t>Установка знаков путевых на железобетонных столбах</t>
  </si>
  <si>
    <t>10 шт</t>
  </si>
  <si>
    <t>01.2.01.02-0054</t>
  </si>
  <si>
    <t>Битумы нефтяные строительные БН-90/10</t>
  </si>
  <si>
    <t>0,036
0,0144</t>
  </si>
  <si>
    <t>0,004
0,0016</t>
  </si>
  <si>
    <t>1,1
0,44</t>
  </si>
  <si>
    <t>14.4.02.04-0151</t>
  </si>
  <si>
    <t>Краска масляная и алкидная белила густотертые литопонные МА-021</t>
  </si>
  <si>
    <t>0,0052
0,00208</t>
  </si>
  <si>
    <t>0,0022
0,00088</t>
  </si>
  <si>
    <t>0,1
0,04</t>
  </si>
  <si>
    <t>ФССЦ-25.1.06.03-0040</t>
  </si>
  <si>
    <t>Знак путевой и сигнальный железных дорог: Граница подъездного пути</t>
  </si>
  <si>
    <t>0,025
0,01</t>
  </si>
  <si>
    <t>ФССЦ-25.1.06.03-0021</t>
  </si>
  <si>
    <t>Знак путевой и сигнальный</t>
  </si>
  <si>
    <t>0,075
0,03</t>
  </si>
  <si>
    <t>Установка пикетных столбиков + Установка предельных столбиков</t>
  </si>
  <si>
    <t>ФЕР27-09-004-01</t>
  </si>
  <si>
    <t>Установка столбиков сигнальных: железобетонных</t>
  </si>
  <si>
    <t>12.2.03.12-0002</t>
  </si>
  <si>
    <t>Фольга алюминиевая для технических целей мягкая, рулонная, толщина 0,1 мм</t>
  </si>
  <si>
    <t>0,55
0,154</t>
  </si>
  <si>
    <t>14.2.04.03-0015</t>
  </si>
  <si>
    <t>Смола эпоксидная ЭД-20</t>
  </si>
  <si>
    <t>0,0036
0,001008</t>
  </si>
  <si>
    <t>0,00812
0,0022736</t>
  </si>
  <si>
    <t>14.4.02.07-0002</t>
  </si>
  <si>
    <t>Эмаль перхлорвиниловая фасадная ХВ-161</t>
  </si>
  <si>
    <t>0,02784
0,0077952</t>
  </si>
  <si>
    <t>ФССЦ-05.1.02.07-0113</t>
  </si>
  <si>
    <t>Столбики сигнальные железобетонные СТ-1, СТ-2</t>
  </si>
  <si>
    <t>100
28</t>
  </si>
  <si>
    <t>Установка стыков изолирующих</t>
  </si>
  <si>
    <t>ФЕР28-03-035-03</t>
  </si>
  <si>
    <t>Установка стыков изолирующих: в пути с полимерными накладками без резки рельсов</t>
  </si>
  <si>
    <t>01.7.15.03-0043</t>
  </si>
  <si>
    <t>Болты строительные анкерные с гайками</t>
  </si>
  <si>
    <t>0,11
0,011</t>
  </si>
  <si>
    <t>20
2</t>
  </si>
  <si>
    <t xml:space="preserve">на Железнодорожные пути. Земляное полотно., </t>
  </si>
  <si>
    <t>1146-ПЖ.ВР1</t>
  </si>
  <si>
    <t>Раздел 1. Земляные работы</t>
  </si>
  <si>
    <t>Срезка грунта бульдозером ИГЭ (ПРС) (группа грунтов 1) + вывоз согласно транспортной схеме</t>
  </si>
  <si>
    <t>Срезка грунта бульдозером ИГЭ (3) (группа грунтов 3)</t>
  </si>
  <si>
    <t>Устройство насыпи из дренирующего грунта</t>
  </si>
  <si>
    <t>ФЕР01-01-046-02</t>
  </si>
  <si>
    <t>Устройство дорожных насыпей бульдозерами с перемещением грунта до 20 м, группа грунтов: 2</t>
  </si>
  <si>
    <t>Забивка пазух местным грунтом</t>
  </si>
  <si>
    <t>ФЕР01-01-031-03</t>
  </si>
  <si>
    <t>Разработка грунта с перемещением до 10 м бульдозерами мощностью: 96 кВт (130 л.с.), группа грунтов 3</t>
  </si>
  <si>
    <t>Уплотнение грунта земляного полотна слоями толщиной 0.30 м за 8-10 проходов катками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</si>
  <si>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</si>
  <si>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</si>
  <si>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ФЕР01-02-001-08</t>
  </si>
  <si>
    <t>На каждый последующий проход по одному следу добавлять: к расценке 01-02-001-02</t>
  </si>
  <si>
    <t>Укладка геотекстиля в основании защитного слоя</t>
  </si>
  <si>
    <t>0,00013
0,0000419</t>
  </si>
  <si>
    <t>ФССЦ-01.7.12.05-1018</t>
  </si>
  <si>
    <t>1020
328,746</t>
  </si>
  <si>
    <t>Раздел 2. Планировочные работы</t>
  </si>
  <si>
    <t>Планировка основной площадки земляного полотна</t>
  </si>
  <si>
    <t>ФЕР01-02-027-02</t>
  </si>
  <si>
    <t>Планировка площадей: механизированным способом, группа грунтов 2</t>
  </si>
  <si>
    <t>Планировка основания земляного полотна</t>
  </si>
  <si>
    <t>Планировка откосов насыпи вдоль пути №10 - укрепление не требуется, проектные решения ГП</t>
  </si>
  <si>
    <t>Планировка откоса выемки - учтено в ФЕР01-02-040-02</t>
  </si>
  <si>
    <t>Раздел 3. Укрепительные работы</t>
  </si>
  <si>
    <t>15,8
126,716</t>
  </si>
  <si>
    <t>2,7
21,654</t>
  </si>
  <si>
    <t>0,0034
0,027268</t>
  </si>
  <si>
    <t xml:space="preserve">на Демонтаж здания КПП, </t>
  </si>
  <si>
    <t>1146-АР.ВР1</t>
  </si>
  <si>
    <t>Раздел 1. Демонтаж здания КПП</t>
  </si>
  <si>
    <t>ФЕР46-06-009-01</t>
  </si>
  <si>
    <t>Разборка зданий методом обрушения: кирпичных отапливаемых</t>
  </si>
  <si>
    <t>100 м3 строительного объема, включая подвал</t>
  </si>
  <si>
    <t>Материалы</t>
  </si>
  <si>
    <t xml:space="preserve">
0,039024</t>
  </si>
  <si>
    <t xml:space="preserve">
0,004</t>
  </si>
  <si>
    <t>01-01-01</t>
  </si>
  <si>
    <t>01-01-02</t>
  </si>
  <si>
    <t xml:space="preserve">
4,47678</t>
  </si>
  <si>
    <t xml:space="preserve">
0,0076755</t>
  </si>
  <si>
    <t xml:space="preserve">
280,245</t>
  </si>
  <si>
    <t xml:space="preserve">
0,027489</t>
  </si>
  <si>
    <t xml:space="preserve">
0,49266</t>
  </si>
  <si>
    <t xml:space="preserve">
7,5327</t>
  </si>
  <si>
    <t xml:space="preserve">
0,3213</t>
  </si>
  <si>
    <t xml:space="preserve">
6,960915</t>
  </si>
  <si>
    <t xml:space="preserve">
0,011826</t>
  </si>
  <si>
    <t xml:space="preserve">
440,19</t>
  </si>
  <si>
    <t xml:space="preserve">
0,042705</t>
  </si>
  <si>
    <t xml:space="preserve">
0,77526</t>
  </si>
  <si>
    <t xml:space="preserve">
11,7603</t>
  </si>
  <si>
    <t xml:space="preserve">
0,49275</t>
  </si>
  <si>
    <t xml:space="preserve">
3,845985</t>
  </si>
  <si>
    <t xml:space="preserve">
0,006534</t>
  </si>
  <si>
    <t xml:space="preserve">
243,21</t>
  </si>
  <si>
    <t xml:space="preserve">
0,023595</t>
  </si>
  <si>
    <t xml:space="preserve">
0,42834</t>
  </si>
  <si>
    <t xml:space="preserve">
6,4977</t>
  </si>
  <si>
    <t xml:space="preserve">
0,27225</t>
  </si>
  <si>
    <t>02-03-01</t>
  </si>
  <si>
    <t xml:space="preserve">
29,655405</t>
  </si>
  <si>
    <t xml:space="preserve">
0,050382</t>
  </si>
  <si>
    <t xml:space="preserve">
1875,33</t>
  </si>
  <si>
    <t xml:space="preserve">
0,181935</t>
  </si>
  <si>
    <t xml:space="preserve">
3,30282</t>
  </si>
  <si>
    <t xml:space="preserve">
50,1021</t>
  </si>
  <si>
    <t xml:space="preserve">
2,09925</t>
  </si>
  <si>
    <t xml:space="preserve">
377,865</t>
  </si>
  <si>
    <t xml:space="preserve">
1,23375</t>
  </si>
  <si>
    <t xml:space="preserve">
71,91</t>
  </si>
  <si>
    <t xml:space="preserve">
0,0595</t>
  </si>
  <si>
    <t xml:space="preserve">
3,468</t>
  </si>
  <si>
    <t xml:space="preserve">
1,074</t>
  </si>
  <si>
    <t xml:space="preserve">
2,38825</t>
  </si>
  <si>
    <t xml:space="preserve">
3</t>
  </si>
  <si>
    <t xml:space="preserve">
2</t>
  </si>
  <si>
    <t xml:space="preserve">
7</t>
  </si>
  <si>
    <t xml:space="preserve">
0,003983</t>
  </si>
  <si>
    <t xml:space="preserve">
0,010811</t>
  </si>
  <si>
    <t xml:space="preserve">
0,1734</t>
  </si>
  <si>
    <t xml:space="preserve">
0,002975</t>
  </si>
  <si>
    <t xml:space="preserve">
8,1</t>
  </si>
  <si>
    <t xml:space="preserve">
0,6357</t>
  </si>
  <si>
    <t xml:space="preserve">
0,00108</t>
  </si>
  <si>
    <t xml:space="preserve">
40,2</t>
  </si>
  <si>
    <t xml:space="preserve">
0,0039</t>
  </si>
  <si>
    <t xml:space="preserve">
0,0708</t>
  </si>
  <si>
    <t xml:space="preserve">
0,045</t>
  </si>
  <si>
    <t xml:space="preserve">
1,4694</t>
  </si>
  <si>
    <t xml:space="preserve">
0,0024885</t>
  </si>
  <si>
    <t xml:space="preserve">
88,875</t>
  </si>
  <si>
    <t xml:space="preserve">
0,00948</t>
  </si>
  <si>
    <t xml:space="preserve">
0,148125</t>
  </si>
  <si>
    <t xml:space="preserve">
2,5833</t>
  </si>
  <si>
    <t xml:space="preserve">
0,10665</t>
  </si>
  <si>
    <t xml:space="preserve">
1,5879</t>
  </si>
  <si>
    <t xml:space="preserve">
0,0027255</t>
  </si>
  <si>
    <t xml:space="preserve">
103,095</t>
  </si>
  <si>
    <t xml:space="preserve">
0,010665</t>
  </si>
  <si>
    <t xml:space="preserve">
0,18723</t>
  </si>
  <si>
    <t xml:space="preserve">
2,87955</t>
  </si>
  <si>
    <t xml:space="preserve">
0,1185</t>
  </si>
  <si>
    <t xml:space="preserve">
24,885</t>
  </si>
  <si>
    <t xml:space="preserve">
2,6684</t>
  </si>
  <si>
    <t xml:space="preserve">
1906</t>
  </si>
  <si>
    <t xml:space="preserve">
70,522</t>
  </si>
  <si>
    <t xml:space="preserve">
0,2212</t>
  </si>
  <si>
    <t xml:space="preserve">
158</t>
  </si>
  <si>
    <t xml:space="preserve">
3,002</t>
  </si>
  <si>
    <t xml:space="preserve">
0,7875</t>
  </si>
  <si>
    <t xml:space="preserve">
0,00135</t>
  </si>
  <si>
    <t xml:space="preserve">
50,625</t>
  </si>
  <si>
    <t xml:space="preserve">
0,07875</t>
  </si>
  <si>
    <t xml:space="preserve">
0,05625</t>
  </si>
  <si>
    <t xml:space="preserve">
0,0714</t>
  </si>
  <si>
    <t xml:space="preserve">
51</t>
  </si>
  <si>
    <t>01-02-05</t>
  </si>
  <si>
    <t>01-02-01</t>
  </si>
  <si>
    <t>Демонтаж пролетных строений галерей с опорами: горизонтального типа</t>
  </si>
  <si>
    <t>Демонтаж лестниц прямолинейных и криволинейных, пожарных с ограждением</t>
  </si>
  <si>
    <t>01-02-02</t>
  </si>
  <si>
    <t>02-02-01</t>
  </si>
  <si>
    <t>02-01-01</t>
  </si>
  <si>
    <t>01-02-03</t>
  </si>
  <si>
    <t>КОММЕРЧЕСКОЕ ПРЕДЛОЖЕНИЕ</t>
  </si>
  <si>
    <t>Выполнение комплекса строительно-монтажных работ по строительству и реконструкции объектов железнодорожной инфраструктуры по объектам: «Терминал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1.1».</t>
  </si>
  <si>
    <t>Наименование Участника:</t>
  </si>
  <si>
    <t xml:space="preserve">ИНН Участника </t>
  </si>
  <si>
    <t>Наименование</t>
  </si>
  <si>
    <t>Требование ООО «ЕТУ»</t>
  </si>
  <si>
    <t>Предложение Участника, руб без НДС</t>
  </si>
  <si>
    <t>Выполнение комплекса работ</t>
  </si>
  <si>
    <t>Объем и состав работ в соответствии с ТЗ</t>
  </si>
  <si>
    <t>Шифр РД</t>
  </si>
  <si>
    <t>Пректная организация</t>
  </si>
  <si>
    <t>Работы</t>
  </si>
  <si>
    <t>ПНР, наладка</t>
  </si>
  <si>
    <t>Итого</t>
  </si>
  <si>
    <t xml:space="preserve"> Переустройство внутриплощадочных железнодорожных путей и инженерных сетей</t>
  </si>
  <si>
    <t>1. 1146-ПЖ. Железнодорожные пути</t>
  </si>
  <si>
    <t>1146-ПЖ</t>
  </si>
  <si>
    <t>ЛТП</t>
  </si>
  <si>
    <t>2. 1146-ГП. Генеральный план</t>
  </si>
  <si>
    <t>1146-ГП</t>
  </si>
  <si>
    <t>3. 1146-СС. Сети связи</t>
  </si>
  <si>
    <t>1146-СС</t>
  </si>
  <si>
    <t>4. 1146-ЭС1. Электрообогрев стрелочных переводов</t>
  </si>
  <si>
    <t>1146-ЭС1</t>
  </si>
  <si>
    <t>5. 1146-ЭС2. Наружное электроснабжение и освещение</t>
  </si>
  <si>
    <t xml:space="preserve">1146-ЭС2 </t>
  </si>
  <si>
    <t>6. 1146-ТБ. Транспортная безопасность</t>
  </si>
  <si>
    <t>1146-ТБ</t>
  </si>
  <si>
    <t>7. 1146-АД. Автомобильные дороги</t>
  </si>
  <si>
    <t>1146-АД</t>
  </si>
  <si>
    <t>8. 1146-1-АР. Архитектурные решения. Здание КПП</t>
  </si>
  <si>
    <t>1146-1-АР</t>
  </si>
  <si>
    <t>9. 1146-1-КЖ. Конструкции железобетонные. Здание КПП</t>
  </si>
  <si>
    <t>1146-1-КЖ</t>
  </si>
  <si>
    <t>10. 1146-1-КМ. Конструкции металлические. Здание КПП</t>
  </si>
  <si>
    <t>1146-1-КМ</t>
  </si>
  <si>
    <t>11. 1146-1-ОВ. Отопление, вентиляция и кондиционирование. Здание КПП</t>
  </si>
  <si>
    <t>1146-1-ОВ</t>
  </si>
  <si>
    <t>1146-1-АОВ</t>
  </si>
  <si>
    <t>13. 1146-1-ВК. Внутренние системы водоснабжения и канализации. Здание КПП</t>
  </si>
  <si>
    <t>1146-1-ВК</t>
  </si>
  <si>
    <t>14. 1146-1-ЭОМ. Внутреннее силовое электрооборудование и электрическое освещение. Здание КПП</t>
  </si>
  <si>
    <t>1146-1-ЭОМ</t>
  </si>
  <si>
    <t>15. 1146-2-КЖ. Конструкции железобетонные. Модульный пост ЭЦ</t>
  </si>
  <si>
    <t>1146-2-КЖ</t>
  </si>
  <si>
    <t>16. 1146-3-ИС.КЖ. Искусственные сооружения. Досмотровая эстакада. Опоры. Фундаменты</t>
  </si>
  <si>
    <t>1146-3-ИС.КЖ</t>
  </si>
  <si>
    <t>17. 1146-3-ИС.КМ2. Искусственные сооружения. Досмотровая эстакада. Опоры. Лестничные сходы</t>
  </si>
  <si>
    <t>1146-3-ИС.КМ2</t>
  </si>
  <si>
    <t>18. 1146-3-ИС.КМ1. Искусственные сооружения. Досмотровая эстакада. Пролетное строение</t>
  </si>
  <si>
    <t>1146-3-ИС.КМ1</t>
  </si>
  <si>
    <t>19. 1146-4-ИС.КЖ. Искусственные сооружения. Пешеходная эстакада. Опоры. Фундаменты</t>
  </si>
  <si>
    <t>1146-4-ИС.КЖ</t>
  </si>
  <si>
    <t>20. 1146-4-ИС.КМ2. Искусственные сооружения. Пешеходная эстакада. Опоры. Лестничные сходы</t>
  </si>
  <si>
    <t>1146-4-ИС.КМ2</t>
  </si>
  <si>
    <t>21. 1146-4-ИС.КМ1. Искусственные сооружения. Пешеходная эстакада. Пролетное строение</t>
  </si>
  <si>
    <t>1146-4-ИС.КМ1</t>
  </si>
  <si>
    <t>22. 1146-5-КЖ.  Конструкции железобетонные. Радиационные мониторы «Янтарь-1Ж»</t>
  </si>
  <si>
    <t>1146-5-КЖ</t>
  </si>
  <si>
    <t>23. 1146-7-КЖ. Конструкции железобетонные. Мачты освещения</t>
  </si>
  <si>
    <t>1146-7-КЖ</t>
  </si>
  <si>
    <t>24. 1146-8-КЖ. Конструкции железобетонные. Эстакады освещения</t>
  </si>
  <si>
    <t>1146-8-КЖ</t>
  </si>
  <si>
    <t>25. 1146-8-КМ. Конструкции металлические. Эстакады освещения</t>
  </si>
  <si>
    <t>1146-8-КМ</t>
  </si>
  <si>
    <t>Итоговая стоимость строительно-монтажных работ, руб. без НДС</t>
  </si>
  <si>
    <t>НДС</t>
  </si>
  <si>
    <r>
      <t xml:space="preserve">20% </t>
    </r>
    <r>
      <rPr>
        <sz val="10"/>
        <color rgb="FFFF0000"/>
        <rFont val="Times New Roman"/>
        <family val="1"/>
        <charset val="204"/>
      </rPr>
      <t>(если применимо)</t>
    </r>
  </si>
  <si>
    <t>Итоговая стоимость комплекса СМР, руб с НДС</t>
  </si>
  <si>
    <t>01-01-01-1146-ПЖ.ВР2 Разборка ВСП</t>
  </si>
  <si>
    <t>01-01-02-1146-ПЖ.ВР3 Разборка водоотвода</t>
  </si>
  <si>
    <t>02-01-01-1146-ПЖ.ВР1 Земляное полотно</t>
  </si>
  <si>
    <t>02-02-01-1146-ПЖ.ВР2 ВСП</t>
  </si>
  <si>
    <t>02-03-01-1146-ПЖ.ВР3 Водоотвод</t>
  </si>
  <si>
    <t>05-04-01-1146-ПЖ.СО</t>
  </si>
  <si>
    <t>07-01-01-1146-ГП.ВР территория проезда вдоль 9 железнодорожного пути</t>
  </si>
  <si>
    <t>07-01-02-1146-ГП.ВР территория проезда вдоль 8 железнодорожного пути</t>
  </si>
  <si>
    <t>07-01-03-1146-ГП.ВР территория модульного поста ЭЦ, КПП и досмотровой эстакады</t>
  </si>
  <si>
    <t>05-01-01-1146-СС.ВР1</t>
  </si>
  <si>
    <t>05-01-02-1146-СС.ВР2</t>
  </si>
  <si>
    <t>03-03-01-1146-ЭС1.ВР Электрообогрев стрелочных переводов</t>
  </si>
  <si>
    <t>01-02-05-1146-ЭС2.ВР3 Демонтаж ЭМ</t>
  </si>
  <si>
    <t>04-01-01-1146-ЭС2.ВР1 Наружное электроснабжение</t>
  </si>
  <si>
    <t>04-02-01-1146-ЭС2.СО2 Наружное электроснабжение и освещение</t>
  </si>
  <si>
    <t>09-01-01-1146-ЭС2.ВР1 ПНР</t>
  </si>
  <si>
    <t>09-01-04-1146- ЭС2.ВР2 ПНР</t>
  </si>
  <si>
    <t>05-02-01-1146-ТБ.ВР</t>
  </si>
  <si>
    <t>02-04-01-1146-АД.ВР пожарный проезд вдоль 8 пути</t>
  </si>
  <si>
    <t>02-04-02-1146-АД.ВР пожарный проезд вдоль 9 пути</t>
  </si>
  <si>
    <t>02-04-03-1146-АД.ВР пожарный проезд</t>
  </si>
  <si>
    <t>01-02-03-1146-АР.ВР1 Демонтаж здания</t>
  </si>
  <si>
    <t>03-01-02-1146-АР.ВР2 КПП</t>
  </si>
  <si>
    <t>03-01-01-1146-1-КЖ.ВР КПП КЖ</t>
  </si>
  <si>
    <t>03-01-06-1146-ОВ.ВР ОВ и К</t>
  </si>
  <si>
    <t>03-01-07-1146-1-АОВ.ВР</t>
  </si>
  <si>
    <t>12. 1146-1-АОВ. Автоматизация систем отопления, вентиляции и кондиционирования. Здание КПП</t>
  </si>
  <si>
    <t>03-01-04-1146-1-ВК.ВР1 КПП Водоснабжение</t>
  </si>
  <si>
    <t>03-01-05-1146-1-ВК.ВР2 КПП Водоотведение</t>
  </si>
  <si>
    <t>03-01-03-1146-1-ЭОМ.ВР КПП ЭОМ</t>
  </si>
  <si>
    <t>09-01-02-1146-1-ЭОМ.ВР КПП ЭОМ ПНР</t>
  </si>
  <si>
    <t>03-02-02-1146-2-КЖ.ВР пост ЭЦ КЖ</t>
  </si>
  <si>
    <t>01-02-01-1146-3-ИС.КЖ.ВР Демонтаж смотровой эстакады</t>
  </si>
  <si>
    <t>02-05-01-1146-3-ИС.КЖ.ВР Досмотровая эстакада Опоры</t>
  </si>
  <si>
    <t>02-05-03-1146-3-ИС.КЖ.ВР Досмотровая эстакада Лестничные сходы</t>
  </si>
  <si>
    <t>02-05-02-1146-3-ИС.КМ1.ВР Досмотровая эстакада Пролётное строение</t>
  </si>
  <si>
    <t>01-02-02-1146-4-ИС.КЖ.ВР Демонтаж пешеходной эстакады</t>
  </si>
  <si>
    <t>02-06-01-1146-4-ИС.КЖ.ВР Пешеходная эстакада Опоры</t>
  </si>
  <si>
    <t>02-06-03-1146-4-ИС.КЖ.ВР Пешеходная эстакада Лестничные сходы</t>
  </si>
  <si>
    <t>02-06-02-1146-4-ИС.КМ1.ВР Пешеходная эстакада Пролётное строение</t>
  </si>
  <si>
    <t>05-02-02-1146-5-КЖ.ВР фунд Янтарь-1Ж</t>
  </si>
  <si>
    <t>04-02-02-1146-7-КЖ.ВР фунд под мачту освещения</t>
  </si>
  <si>
    <t>04-02-03-1146-8-КЖ.ВР Эстакады освещения</t>
  </si>
  <si>
    <t>+</t>
  </si>
  <si>
    <t>Цена за ед.изм. работ, руб. без НДС</t>
  </si>
  <si>
    <t>Стоимость работ, всего, руб., без НДС</t>
  </si>
  <si>
    <t>Цена за ед.изм. материала, руб. без НДС</t>
  </si>
  <si>
    <t>Стоимость материалов, всего, руб. без НДС</t>
  </si>
  <si>
    <t>Стоимость работ, всего, руб., с НДС</t>
  </si>
  <si>
    <t>Стоимость материалов, всего, руб. с НДС</t>
  </si>
  <si>
    <t xml:space="preserve">  ВСЕГО , без НДС</t>
  </si>
  <si>
    <t xml:space="preserve">  ВСЕГО , с НДС</t>
  </si>
  <si>
    <t xml:space="preserve">  ВСЕГО ,без НДС</t>
  </si>
  <si>
    <t xml:space="preserve">  ВСЕГО, с НДС</t>
  </si>
  <si>
    <t xml:space="preserve">  ВСЕГО, без НДС</t>
  </si>
  <si>
    <t>Стоимость работ, всего, руб.,с НДС</t>
  </si>
  <si>
    <t xml:space="preserve">  ВСЕГО, с НДС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</si>
</sst>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0"/>
    <numFmt numFmtId="167" formatCode="0.00000"/>
  </numFmts>
  <fonts count="45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Arial Cyr"/>
      <charset val="204"/>
    </font>
    <font>
      <i/>
      <sz val="10"/>
      <color rgb="FFFF000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8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9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8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2" fillId="0" borderId="0"/>
    <xf numFmtId="0" fontId="3" fillId="0" borderId="0"/>
    <xf numFmtId="0" fontId="37" fillId="0" borderId="0"/>
  </cellStyleXfs>
  <cellXfs count="37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49" fontId="2" fillId="0" borderId="0" xfId="0" applyNumberFormat="1" applyFont="1"/>
    <xf numFmtId="49" fontId="4" fillId="0" borderId="0" xfId="0" applyNumberFormat="1" applyFont="1" applyAlignment="1">
      <alignment horizontal="right"/>
    </xf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horizontal="center" vertical="top"/>
    </xf>
    <xf numFmtId="49" fontId="4" fillId="0" borderId="0" xfId="0" applyNumberFormat="1" applyFont="1"/>
    <xf numFmtId="49" fontId="4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7" fillId="0" borderId="0" xfId="0" applyFont="1" applyAlignment="1">
      <alignment wrapText="1"/>
    </xf>
    <xf numFmtId="49" fontId="10" fillId="0" borderId="4" xfId="0" applyNumberFormat="1" applyFont="1" applyBorder="1" applyAlignment="1">
      <alignment horizontal="center" vertical="top" wrapText="1"/>
    </xf>
    <xf numFmtId="49" fontId="10" fillId="0" borderId="4" xfId="0" applyNumberFormat="1" applyFont="1" applyBorder="1" applyAlignment="1">
      <alignment horizontal="left" vertical="top" wrapText="1"/>
    </xf>
    <xf numFmtId="164" fontId="10" fillId="0" borderId="4" xfId="0" applyNumberFormat="1" applyFont="1" applyBorder="1" applyAlignment="1">
      <alignment horizontal="center" vertical="top" wrapText="1"/>
    </xf>
    <xf numFmtId="4" fontId="10" fillId="0" borderId="4" xfId="0" applyNumberFormat="1" applyFont="1" applyBorder="1" applyAlignment="1">
      <alignment horizontal="right" vertical="top" wrapText="1"/>
    </xf>
    <xf numFmtId="4" fontId="11" fillId="0" borderId="4" xfId="0" applyNumberFormat="1" applyFont="1" applyBorder="1" applyAlignment="1">
      <alignment horizontal="right" vertical="top" wrapText="1"/>
    </xf>
    <xf numFmtId="0" fontId="10" fillId="0" borderId="0" xfId="0" applyFont="1" applyAlignment="1">
      <alignment wrapText="1"/>
    </xf>
    <xf numFmtId="0" fontId="2" fillId="0" borderId="3" xfId="0" applyFont="1" applyBorder="1" applyAlignment="1">
      <alignment horizontal="center" vertical="top" wrapText="1"/>
    </xf>
    <xf numFmtId="1" fontId="10" fillId="0" borderId="4" xfId="0" applyNumberFormat="1" applyFont="1" applyBorder="1" applyAlignment="1">
      <alignment horizontal="center" vertical="top" wrapText="1"/>
    </xf>
    <xf numFmtId="165" fontId="10" fillId="0" borderId="4" xfId="0" applyNumberFormat="1" applyFont="1" applyBorder="1" applyAlignment="1">
      <alignment horizontal="center" vertical="top" wrapText="1"/>
    </xf>
    <xf numFmtId="49" fontId="4" fillId="0" borderId="7" xfId="0" applyNumberFormat="1" applyFont="1" applyBorder="1" applyAlignment="1">
      <alignment horizontal="right" vertical="top" wrapText="1"/>
    </xf>
    <xf numFmtId="49" fontId="4" fillId="0" borderId="3" xfId="0" applyNumberFormat="1" applyFont="1" applyBorder="1" applyAlignment="1">
      <alignment horizontal="right" vertical="top" wrapText="1"/>
    </xf>
    <xf numFmtId="49" fontId="4" fillId="0" borderId="3" xfId="0" applyNumberFormat="1" applyFont="1" applyBorder="1" applyAlignment="1">
      <alignment horizontal="left" vertical="top" wrapText="1"/>
    </xf>
    <xf numFmtId="4" fontId="4" fillId="0" borderId="3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66" fontId="10" fillId="0" borderId="4" xfId="0" applyNumberFormat="1" applyFont="1" applyBorder="1" applyAlignment="1">
      <alignment horizontal="center" vertical="top" wrapText="1"/>
    </xf>
    <xf numFmtId="2" fontId="10" fillId="0" borderId="4" xfId="0" applyNumberFormat="1" applyFont="1" applyBorder="1" applyAlignment="1">
      <alignment horizontal="center" vertical="top" wrapText="1"/>
    </xf>
    <xf numFmtId="0" fontId="12" fillId="0" borderId="0" xfId="0" applyFont="1"/>
    <xf numFmtId="0" fontId="13" fillId="0" borderId="0" xfId="0" applyFont="1"/>
    <xf numFmtId="49" fontId="4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center"/>
    </xf>
    <xf numFmtId="49" fontId="6" fillId="0" borderId="7" xfId="0" applyNumberFormat="1" applyFont="1" applyBorder="1" applyAlignment="1">
      <alignment horizontal="right" vertical="top" wrapText="1"/>
    </xf>
    <xf numFmtId="49" fontId="6" fillId="0" borderId="3" xfId="0" applyNumberFormat="1" applyFont="1" applyBorder="1" applyAlignment="1">
      <alignment horizontal="right" vertical="top" wrapText="1"/>
    </xf>
    <xf numFmtId="49" fontId="6" fillId="0" borderId="3" xfId="0" applyNumberFormat="1" applyFont="1" applyBorder="1" applyAlignment="1">
      <alignment horizontal="left" vertical="top" wrapText="1"/>
    </xf>
    <xf numFmtId="0" fontId="13" fillId="0" borderId="3" xfId="0" applyFont="1" applyBorder="1" applyAlignment="1">
      <alignment horizontal="center" vertical="top" wrapText="1"/>
    </xf>
    <xf numFmtId="4" fontId="6" fillId="0" borderId="3" xfId="0" applyNumberFormat="1" applyFont="1" applyBorder="1" applyAlignment="1">
      <alignment horizontal="right" vertical="top" wrapText="1"/>
    </xf>
    <xf numFmtId="4" fontId="6" fillId="0" borderId="6" xfId="0" applyNumberFormat="1" applyFont="1" applyBorder="1" applyAlignment="1">
      <alignment horizontal="right" vertical="top" wrapText="1"/>
    </xf>
    <xf numFmtId="0" fontId="6" fillId="0" borderId="0" xfId="0" applyFont="1" applyAlignment="1">
      <alignment wrapText="1"/>
    </xf>
    <xf numFmtId="167" fontId="10" fillId="0" borderId="4" xfId="0" applyNumberFormat="1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/>
    <xf numFmtId="4" fontId="4" fillId="0" borderId="0" xfId="0" applyNumberFormat="1" applyFont="1" applyAlignment="1">
      <alignment horizontal="left" wrapText="1"/>
    </xf>
    <xf numFmtId="4" fontId="3" fillId="0" borderId="0" xfId="0" applyNumberFormat="1" applyFont="1"/>
    <xf numFmtId="4" fontId="10" fillId="0" borderId="4" xfId="0" applyNumberFormat="1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top" wrapText="1"/>
    </xf>
    <xf numFmtId="4" fontId="4" fillId="0" borderId="0" xfId="0" applyNumberFormat="1" applyFont="1"/>
    <xf numFmtId="49" fontId="7" fillId="3" borderId="3" xfId="0" applyNumberFormat="1" applyFont="1" applyFill="1" applyBorder="1" applyAlignment="1">
      <alignment vertical="center" wrapText="1"/>
    </xf>
    <xf numFmtId="49" fontId="7" fillId="3" borderId="6" xfId="0" applyNumberFormat="1" applyFont="1" applyFill="1" applyBorder="1" applyAlignment="1">
      <alignment vertical="center" wrapText="1"/>
    </xf>
    <xf numFmtId="49" fontId="7" fillId="3" borderId="3" xfId="0" applyNumberFormat="1" applyFont="1" applyFill="1" applyBorder="1" applyAlignment="1">
      <alignment horizontal="left" vertical="center" wrapText="1"/>
    </xf>
    <xf numFmtId="4" fontId="10" fillId="3" borderId="4" xfId="0" applyNumberFormat="1" applyFont="1" applyFill="1" applyBorder="1" applyAlignment="1">
      <alignment horizontal="center" vertical="top" wrapText="1"/>
    </xf>
    <xf numFmtId="49" fontId="7" fillId="3" borderId="6" xfId="0" applyNumberFormat="1" applyFont="1" applyFill="1" applyBorder="1" applyAlignment="1">
      <alignment horizontal="left" vertical="center" wrapText="1"/>
    </xf>
    <xf numFmtId="4" fontId="10" fillId="4" borderId="3" xfId="0" applyNumberFormat="1" applyFont="1" applyFill="1" applyBorder="1" applyAlignment="1">
      <alignment horizontal="left" vertical="top" wrapText="1"/>
    </xf>
    <xf numFmtId="4" fontId="10" fillId="4" borderId="4" xfId="0" applyNumberFormat="1" applyFont="1" applyFill="1" applyBorder="1" applyAlignment="1">
      <alignment horizontal="right" vertical="top" wrapText="1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/>
    </xf>
    <xf numFmtId="49" fontId="7" fillId="3" borderId="3" xfId="0" applyNumberFormat="1" applyFont="1" applyFill="1" applyBorder="1" applyAlignment="1">
      <alignment horizontal="center" vertical="center" wrapText="1"/>
    </xf>
    <xf numFmtId="4" fontId="10" fillId="4" borderId="4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49" fontId="7" fillId="0" borderId="8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" fontId="15" fillId="0" borderId="13" xfId="0" applyNumberFormat="1" applyFont="1" applyBorder="1" applyAlignment="1">
      <alignment horizontal="center" vertical="center" wrapText="1"/>
    </xf>
    <xf numFmtId="49" fontId="7" fillId="3" borderId="18" xfId="0" applyNumberFormat="1" applyFont="1" applyFill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top" wrapText="1"/>
    </xf>
    <xf numFmtId="4" fontId="10" fillId="0" borderId="16" xfId="0" applyNumberFormat="1" applyFont="1" applyBorder="1" applyAlignment="1">
      <alignment horizontal="center" vertical="top" wrapText="1"/>
    </xf>
    <xf numFmtId="4" fontId="10" fillId="3" borderId="16" xfId="0" applyNumberFormat="1" applyFont="1" applyFill="1" applyBorder="1" applyAlignment="1">
      <alignment horizontal="center" vertical="top" wrapText="1"/>
    </xf>
    <xf numFmtId="49" fontId="4" fillId="0" borderId="19" xfId="0" applyNumberFormat="1" applyFont="1" applyBorder="1" applyAlignment="1">
      <alignment horizontal="right" vertical="top" wrapText="1"/>
    </xf>
    <xf numFmtId="4" fontId="4" fillId="0" borderId="18" xfId="0" applyNumberFormat="1" applyFont="1" applyBorder="1" applyAlignment="1">
      <alignment horizontal="center" vertical="top" wrapText="1"/>
    </xf>
    <xf numFmtId="49" fontId="4" fillId="0" borderId="19" xfId="0" applyNumberFormat="1" applyFont="1" applyBorder="1" applyAlignment="1">
      <alignment horizontal="center" vertical="center" wrapText="1"/>
    </xf>
    <xf numFmtId="4" fontId="4" fillId="0" borderId="18" xfId="0" applyNumberFormat="1" applyFont="1" applyBorder="1" applyAlignment="1">
      <alignment horizontal="center" vertical="center" wrapText="1"/>
    </xf>
    <xf numFmtId="4" fontId="10" fillId="4" borderId="16" xfId="0" applyNumberFormat="1" applyFont="1" applyFill="1" applyBorder="1" applyAlignment="1">
      <alignment horizontal="center" vertical="top" wrapText="1"/>
    </xf>
    <xf numFmtId="4" fontId="10" fillId="5" borderId="21" xfId="0" applyNumberFormat="1" applyFont="1" applyFill="1" applyBorder="1" applyAlignment="1">
      <alignment horizontal="center" vertical="center" wrapText="1"/>
    </xf>
    <xf numFmtId="49" fontId="7" fillId="0" borderId="26" xfId="0" applyNumberFormat="1" applyFont="1" applyBorder="1" applyAlignment="1">
      <alignment horizontal="center" vertical="center"/>
    </xf>
    <xf numFmtId="49" fontId="7" fillId="0" borderId="27" xfId="0" applyNumberFormat="1" applyFont="1" applyBorder="1" applyAlignment="1">
      <alignment horizontal="center" vertical="center"/>
    </xf>
    <xf numFmtId="49" fontId="8" fillId="0" borderId="28" xfId="0" applyNumberFormat="1" applyFont="1" applyBorder="1" applyAlignment="1">
      <alignment horizontal="center" vertical="center" wrapText="1"/>
    </xf>
    <xf numFmtId="49" fontId="16" fillId="0" borderId="28" xfId="0" applyNumberFormat="1" applyFont="1" applyBorder="1" applyAlignment="1">
      <alignment horizontal="center" vertical="center" wrapText="1"/>
    </xf>
    <xf numFmtId="49" fontId="15" fillId="0" borderId="29" xfId="0" applyNumberFormat="1" applyFont="1" applyBorder="1" applyAlignment="1">
      <alignment horizontal="center" vertical="center"/>
    </xf>
    <xf numFmtId="49" fontId="18" fillId="0" borderId="0" xfId="0" applyNumberFormat="1" applyFont="1"/>
    <xf numFmtId="49" fontId="9" fillId="2" borderId="3" xfId="0" applyNumberFormat="1" applyFont="1" applyFill="1" applyBorder="1" applyAlignment="1">
      <alignment vertical="center" wrapText="1"/>
    </xf>
    <xf numFmtId="49" fontId="9" fillId="2" borderId="6" xfId="0" applyNumberFormat="1" applyFont="1" applyFill="1" applyBorder="1" applyAlignment="1">
      <alignment vertical="center" wrapText="1"/>
    </xf>
    <xf numFmtId="49" fontId="7" fillId="6" borderId="3" xfId="0" applyNumberFormat="1" applyFont="1" applyFill="1" applyBorder="1" applyAlignment="1">
      <alignment vertical="center" wrapText="1"/>
    </xf>
    <xf numFmtId="49" fontId="7" fillId="6" borderId="6" xfId="0" applyNumberFormat="1" applyFont="1" applyFill="1" applyBorder="1" applyAlignment="1">
      <alignment vertical="center" wrapText="1"/>
    </xf>
    <xf numFmtId="4" fontId="13" fillId="0" borderId="3" xfId="0" applyNumberFormat="1" applyFont="1" applyBorder="1" applyAlignment="1">
      <alignment horizontal="center" vertical="top" wrapText="1"/>
    </xf>
    <xf numFmtId="4" fontId="7" fillId="6" borderId="3" xfId="0" applyNumberFormat="1" applyFont="1" applyFill="1" applyBorder="1" applyAlignment="1">
      <alignment vertical="center" wrapText="1"/>
    </xf>
    <xf numFmtId="4" fontId="7" fillId="6" borderId="6" xfId="0" applyNumberFormat="1" applyFont="1" applyFill="1" applyBorder="1" applyAlignment="1">
      <alignment vertical="center" wrapText="1"/>
    </xf>
    <xf numFmtId="4" fontId="9" fillId="2" borderId="3" xfId="0" applyNumberFormat="1" applyFont="1" applyFill="1" applyBorder="1" applyAlignment="1">
      <alignment vertical="center" wrapText="1"/>
    </xf>
    <xf numFmtId="4" fontId="9" fillId="2" borderId="6" xfId="0" applyNumberFormat="1" applyFont="1" applyFill="1" applyBorder="1" applyAlignment="1">
      <alignment vertical="center" wrapText="1"/>
    </xf>
    <xf numFmtId="49" fontId="4" fillId="0" borderId="3" xfId="0" applyNumberFormat="1" applyFont="1" applyBorder="1" applyAlignment="1">
      <alignment horizontal="center" vertical="top" wrapText="1"/>
    </xf>
    <xf numFmtId="49" fontId="6" fillId="0" borderId="3" xfId="0" applyNumberFormat="1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top" wrapText="1"/>
    </xf>
    <xf numFmtId="4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wrapText="1"/>
    </xf>
    <xf numFmtId="4" fontId="16" fillId="0" borderId="14" xfId="0" applyNumberFormat="1" applyFont="1" applyBorder="1" applyAlignment="1">
      <alignment horizontal="center" vertical="center" wrapText="1"/>
    </xf>
    <xf numFmtId="4" fontId="16" fillId="0" borderId="28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9" fillId="2" borderId="3" xfId="0" applyNumberFormat="1" applyFont="1" applyFill="1" applyBorder="1" applyAlignment="1">
      <alignment horizontal="left" vertical="center" wrapText="1"/>
    </xf>
    <xf numFmtId="49" fontId="9" fillId="2" borderId="6" xfId="0" applyNumberFormat="1" applyFont="1" applyFill="1" applyBorder="1" applyAlignment="1">
      <alignment horizontal="left"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7" fillId="3" borderId="6" xfId="0" applyNumberFormat="1" applyFont="1" applyFill="1" applyBorder="1" applyAlignment="1">
      <alignment vertical="center" wrapText="1"/>
    </xf>
    <xf numFmtId="3" fontId="7" fillId="0" borderId="27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horizontal="center" vertical="top"/>
    </xf>
    <xf numFmtId="4" fontId="10" fillId="2" borderId="4" xfId="0" applyNumberFormat="1" applyFont="1" applyFill="1" applyBorder="1" applyAlignment="1">
      <alignment horizontal="right" vertical="top" wrapText="1"/>
    </xf>
    <xf numFmtId="4" fontId="9" fillId="2" borderId="18" xfId="0" applyNumberFormat="1" applyFont="1" applyFill="1" applyBorder="1" applyAlignment="1">
      <alignment vertical="center" wrapText="1"/>
    </xf>
    <xf numFmtId="4" fontId="7" fillId="3" borderId="18" xfId="0" applyNumberFormat="1" applyFont="1" applyFill="1" applyBorder="1" applyAlignment="1">
      <alignment vertical="center" wrapText="1"/>
    </xf>
    <xf numFmtId="4" fontId="10" fillId="0" borderId="16" xfId="0" applyNumberFormat="1" applyFont="1" applyBorder="1" applyAlignment="1">
      <alignment horizontal="right" vertical="top" wrapText="1"/>
    </xf>
    <xf numFmtId="4" fontId="4" fillId="0" borderId="18" xfId="0" applyNumberFormat="1" applyFont="1" applyBorder="1" applyAlignment="1">
      <alignment horizontal="right" vertical="top" wrapText="1"/>
    </xf>
    <xf numFmtId="49" fontId="6" fillId="0" borderId="19" xfId="0" applyNumberFormat="1" applyFont="1" applyBorder="1" applyAlignment="1">
      <alignment horizontal="right" vertical="top" wrapText="1"/>
    </xf>
    <xf numFmtId="4" fontId="6" fillId="0" borderId="18" xfId="0" applyNumberFormat="1" applyFont="1" applyBorder="1" applyAlignment="1">
      <alignment horizontal="right" vertical="top" wrapText="1"/>
    </xf>
    <xf numFmtId="4" fontId="10" fillId="4" borderId="16" xfId="0" applyNumberFormat="1" applyFont="1" applyFill="1" applyBorder="1" applyAlignment="1">
      <alignment horizontal="right" vertical="top" wrapText="1"/>
    </xf>
    <xf numFmtId="49" fontId="7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/>
    </xf>
    <xf numFmtId="4" fontId="16" fillId="0" borderId="2" xfId="0" applyNumberFormat="1" applyFont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/>
    </xf>
    <xf numFmtId="49" fontId="9" fillId="2" borderId="18" xfId="0" applyNumberFormat="1" applyFont="1" applyFill="1" applyBorder="1" applyAlignment="1">
      <alignment vertical="center" wrapText="1"/>
    </xf>
    <xf numFmtId="49" fontId="7" fillId="3" borderId="18" xfId="0" applyNumberFormat="1" applyFont="1" applyFill="1" applyBorder="1" applyAlignment="1">
      <alignment vertical="center" wrapText="1"/>
    </xf>
    <xf numFmtId="4" fontId="4" fillId="0" borderId="0" xfId="0" applyNumberFormat="1" applyFont="1" applyAlignment="1">
      <alignment vertical="top"/>
    </xf>
    <xf numFmtId="4" fontId="12" fillId="0" borderId="0" xfId="0" applyNumberFormat="1" applyFont="1"/>
    <xf numFmtId="4" fontId="13" fillId="0" borderId="0" xfId="0" applyNumberFormat="1" applyFont="1"/>
    <xf numFmtId="4" fontId="9" fillId="2" borderId="3" xfId="0" applyNumberFormat="1" applyFont="1" applyFill="1" applyBorder="1" applyAlignment="1">
      <alignment horizontal="left" vertical="center" wrapText="1"/>
    </xf>
    <xf numFmtId="4" fontId="9" fillId="2" borderId="6" xfId="0" applyNumberFormat="1" applyFont="1" applyFill="1" applyBorder="1" applyAlignment="1">
      <alignment horizontal="left" vertical="center" wrapText="1"/>
    </xf>
    <xf numFmtId="4" fontId="9" fillId="2" borderId="18" xfId="0" applyNumberFormat="1" applyFont="1" applyFill="1" applyBorder="1" applyAlignment="1">
      <alignment horizontal="left" vertical="center" wrapText="1"/>
    </xf>
    <xf numFmtId="0" fontId="21" fillId="0" borderId="41" xfId="2" applyFont="1" applyBorder="1" applyAlignment="1">
      <alignment horizontal="center" vertical="center"/>
    </xf>
    <xf numFmtId="0" fontId="21" fillId="0" borderId="42" xfId="2" applyFont="1" applyBorder="1" applyAlignment="1">
      <alignment wrapText="1"/>
    </xf>
    <xf numFmtId="0" fontId="21" fillId="0" borderId="42" xfId="2" applyFont="1" applyBorder="1"/>
    <xf numFmtId="0" fontId="21" fillId="0" borderId="0" xfId="2" applyFont="1"/>
    <xf numFmtId="0" fontId="23" fillId="0" borderId="0" xfId="2" applyFont="1" applyAlignment="1">
      <alignment horizontal="left" vertical="top" wrapText="1"/>
    </xf>
    <xf numFmtId="0" fontId="26" fillId="0" borderId="0" xfId="2" applyFont="1"/>
    <xf numFmtId="0" fontId="23" fillId="0" borderId="0" xfId="2" applyFont="1" applyAlignment="1">
      <alignment wrapText="1"/>
    </xf>
    <xf numFmtId="0" fontId="21" fillId="0" borderId="0" xfId="2" applyFont="1" applyAlignment="1">
      <alignment horizontal="right"/>
    </xf>
    <xf numFmtId="0" fontId="23" fillId="0" borderId="0" xfId="2" applyFont="1" applyAlignment="1">
      <alignment horizontal="right" vertical="top" wrapText="1"/>
    </xf>
    <xf numFmtId="0" fontId="27" fillId="0" borderId="19" xfId="2" applyFont="1" applyBorder="1" applyAlignment="1">
      <alignment horizontal="center" vertical="center"/>
    </xf>
    <xf numFmtId="0" fontId="28" fillId="0" borderId="0" xfId="2" applyFont="1" applyAlignment="1">
      <alignment horizontal="center"/>
    </xf>
    <xf numFmtId="0" fontId="26" fillId="0" borderId="0" xfId="2" applyFont="1" applyAlignment="1">
      <alignment horizontal="center"/>
    </xf>
    <xf numFmtId="0" fontId="27" fillId="0" borderId="0" xfId="2" applyFont="1" applyAlignment="1">
      <alignment horizontal="center"/>
    </xf>
    <xf numFmtId="0" fontId="27" fillId="0" borderId="40" xfId="2" applyFont="1" applyBorder="1" applyAlignment="1">
      <alignment horizontal="center"/>
    </xf>
    <xf numFmtId="0" fontId="21" fillId="0" borderId="40" xfId="2" applyFont="1" applyBorder="1"/>
    <xf numFmtId="0" fontId="23" fillId="0" borderId="0" xfId="2" applyFont="1" applyAlignment="1">
      <alignment vertical="top" wrapText="1"/>
    </xf>
    <xf numFmtId="0" fontId="21" fillId="0" borderId="0" xfId="2" applyFont="1" applyAlignment="1">
      <alignment horizontal="left"/>
    </xf>
    <xf numFmtId="0" fontId="21" fillId="0" borderId="19" xfId="2" applyFont="1" applyBorder="1" applyAlignment="1">
      <alignment horizontal="center" vertical="center"/>
    </xf>
    <xf numFmtId="0" fontId="21" fillId="0" borderId="0" xfId="2" applyFont="1" applyAlignment="1">
      <alignment wrapText="1"/>
    </xf>
    <xf numFmtId="0" fontId="23" fillId="0" borderId="15" xfId="2" applyFont="1" applyBorder="1" applyAlignment="1">
      <alignment horizontal="center" vertical="center" wrapText="1"/>
    </xf>
    <xf numFmtId="0" fontId="25" fillId="0" borderId="4" xfId="2" applyFont="1" applyBorder="1" applyAlignment="1">
      <alignment horizontal="center" vertical="center" wrapText="1"/>
    </xf>
    <xf numFmtId="0" fontId="23" fillId="0" borderId="4" xfId="2" applyFont="1" applyBorder="1" applyAlignment="1">
      <alignment horizontal="center" vertical="center" wrapText="1"/>
    </xf>
    <xf numFmtId="0" fontId="25" fillId="6" borderId="4" xfId="2" applyFont="1" applyFill="1" applyBorder="1" applyAlignment="1">
      <alignment horizontal="center" vertical="center" wrapText="1"/>
    </xf>
    <xf numFmtId="0" fontId="25" fillId="6" borderId="4" xfId="2" applyFont="1" applyFill="1" applyBorder="1" applyAlignment="1">
      <alignment horizontal="center" vertical="center"/>
    </xf>
    <xf numFmtId="0" fontId="25" fillId="6" borderId="16" xfId="2" applyFont="1" applyFill="1" applyBorder="1" applyAlignment="1">
      <alignment horizontal="center" vertical="center"/>
    </xf>
    <xf numFmtId="4" fontId="21" fillId="9" borderId="16" xfId="2" applyNumberFormat="1" applyFont="1" applyFill="1" applyBorder="1" applyAlignment="1">
      <alignment horizontal="center" vertical="center"/>
    </xf>
    <xf numFmtId="0" fontId="21" fillId="0" borderId="15" xfId="2" quotePrefix="1" applyFont="1" applyBorder="1" applyAlignment="1">
      <alignment horizontal="center" vertical="center"/>
    </xf>
    <xf numFmtId="4" fontId="23" fillId="10" borderId="16" xfId="2" applyNumberFormat="1" applyFont="1" applyFill="1" applyBorder="1" applyAlignment="1">
      <alignment horizontal="center" vertical="center"/>
    </xf>
    <xf numFmtId="0" fontId="21" fillId="0" borderId="0" xfId="2" applyFont="1" applyAlignment="1">
      <alignment horizontal="left" vertical="center"/>
    </xf>
    <xf numFmtId="0" fontId="25" fillId="0" borderId="4" xfId="2" applyFont="1" applyBorder="1" applyAlignment="1">
      <alignment horizontal="left" vertical="center" wrapText="1"/>
    </xf>
    <xf numFmtId="0" fontId="21" fillId="0" borderId="0" xfId="2" applyFont="1" applyAlignment="1">
      <alignment horizontal="center" vertical="center"/>
    </xf>
    <xf numFmtId="0" fontId="33" fillId="7" borderId="4" xfId="2" applyFont="1" applyFill="1" applyBorder="1" applyAlignment="1">
      <alignment horizontal="center" vertical="center" wrapText="1"/>
    </xf>
    <xf numFmtId="0" fontId="33" fillId="0" borderId="4" xfId="1" applyFont="1" applyBorder="1" applyAlignment="1">
      <alignment horizontal="center" vertical="center" wrapText="1"/>
    </xf>
    <xf numFmtId="4" fontId="32" fillId="8" borderId="4" xfId="2" applyNumberFormat="1" applyFont="1" applyFill="1" applyBorder="1" applyAlignment="1">
      <alignment horizontal="center" vertical="center"/>
    </xf>
    <xf numFmtId="4" fontId="32" fillId="9" borderId="16" xfId="2" applyNumberFormat="1" applyFont="1" applyFill="1" applyBorder="1" applyAlignment="1">
      <alignment horizontal="center" vertical="center"/>
    </xf>
    <xf numFmtId="0" fontId="32" fillId="0" borderId="0" xfId="2" applyFont="1"/>
    <xf numFmtId="0" fontId="25" fillId="0" borderId="0" xfId="2" applyFont="1"/>
    <xf numFmtId="0" fontId="35" fillId="7" borderId="9" xfId="2" applyFont="1" applyFill="1" applyBorder="1" applyAlignment="1">
      <alignment horizontal="center" vertical="center" wrapText="1"/>
    </xf>
    <xf numFmtId="0" fontId="36" fillId="0" borderId="9" xfId="1" applyFont="1" applyBorder="1" applyAlignment="1">
      <alignment horizontal="center" vertical="center" wrapText="1"/>
    </xf>
    <xf numFmtId="0" fontId="33" fillId="7" borderId="27" xfId="2" applyFont="1" applyFill="1" applyBorder="1" applyAlignment="1">
      <alignment horizontal="center" vertical="center" wrapText="1"/>
    </xf>
    <xf numFmtId="0" fontId="33" fillId="0" borderId="27" xfId="1" applyFont="1" applyBorder="1" applyAlignment="1">
      <alignment horizontal="center" vertical="center" wrapText="1"/>
    </xf>
    <xf numFmtId="4" fontId="32" fillId="8" borderId="27" xfId="2" applyNumberFormat="1" applyFont="1" applyFill="1" applyBorder="1" applyAlignment="1">
      <alignment horizontal="center" vertical="center"/>
    </xf>
    <xf numFmtId="4" fontId="32" fillId="9" borderId="29" xfId="2" applyNumberFormat="1" applyFont="1" applyFill="1" applyBorder="1" applyAlignment="1">
      <alignment horizontal="center" vertical="center"/>
    </xf>
    <xf numFmtId="0" fontId="33" fillId="7" borderId="38" xfId="2" applyFont="1" applyFill="1" applyBorder="1" applyAlignment="1">
      <alignment horizontal="center" vertical="center" wrapText="1"/>
    </xf>
    <xf numFmtId="0" fontId="33" fillId="0" borderId="38" xfId="1" applyFont="1" applyBorder="1" applyAlignment="1">
      <alignment horizontal="center" vertical="center" wrapText="1"/>
    </xf>
    <xf numFmtId="4" fontId="32" fillId="8" borderId="38" xfId="2" applyNumberFormat="1" applyFont="1" applyFill="1" applyBorder="1" applyAlignment="1">
      <alignment horizontal="center" vertical="center"/>
    </xf>
    <xf numFmtId="4" fontId="32" fillId="9" borderId="39" xfId="2" applyNumberFormat="1" applyFont="1" applyFill="1" applyBorder="1" applyAlignment="1">
      <alignment horizontal="center" vertical="center"/>
    </xf>
    <xf numFmtId="0" fontId="35" fillId="7" borderId="31" xfId="2" applyFont="1" applyFill="1" applyBorder="1" applyAlignment="1">
      <alignment horizontal="center" vertical="center" wrapText="1"/>
    </xf>
    <xf numFmtId="0" fontId="36" fillId="0" borderId="31" xfId="1" applyFont="1" applyBorder="1" applyAlignment="1">
      <alignment horizontal="center" vertical="center" wrapText="1"/>
    </xf>
    <xf numFmtId="4" fontId="25" fillId="8" borderId="31" xfId="2" applyNumberFormat="1" applyFont="1" applyFill="1" applyBorder="1" applyAlignment="1">
      <alignment horizontal="center" vertical="center"/>
    </xf>
    <xf numFmtId="4" fontId="25" fillId="9" borderId="32" xfId="2" applyNumberFormat="1" applyFont="1" applyFill="1" applyBorder="1" applyAlignment="1">
      <alignment horizontal="center" vertical="center"/>
    </xf>
    <xf numFmtId="4" fontId="32" fillId="8" borderId="35" xfId="2" applyNumberFormat="1" applyFont="1" applyFill="1" applyBorder="1" applyAlignment="1">
      <alignment horizontal="center" vertical="center"/>
    </xf>
    <xf numFmtId="0" fontId="26" fillId="0" borderId="0" xfId="2" applyFont="1" applyAlignment="1">
      <alignment horizontal="center" wrapText="1"/>
    </xf>
    <xf numFmtId="0" fontId="21" fillId="8" borderId="1" xfId="2" applyFont="1" applyFill="1" applyBorder="1" applyAlignment="1">
      <alignment wrapText="1"/>
    </xf>
    <xf numFmtId="0" fontId="26" fillId="8" borderId="3" xfId="2" applyFont="1" applyFill="1" applyBorder="1" applyAlignment="1">
      <alignment wrapText="1"/>
    </xf>
    <xf numFmtId="0" fontId="34" fillId="0" borderId="30" xfId="2" applyFont="1" applyBorder="1" applyAlignment="1">
      <alignment wrapText="1"/>
    </xf>
    <xf numFmtId="0" fontId="33" fillId="0" borderId="34" xfId="2" applyFont="1" applyBorder="1" applyAlignment="1">
      <alignment wrapText="1"/>
    </xf>
    <xf numFmtId="0" fontId="33" fillId="0" borderId="15" xfId="2" applyFont="1" applyBorder="1" applyAlignment="1">
      <alignment wrapText="1"/>
    </xf>
    <xf numFmtId="0" fontId="33" fillId="0" borderId="26" xfId="2" applyFont="1" applyBorder="1" applyAlignment="1">
      <alignment wrapText="1"/>
    </xf>
    <xf numFmtId="0" fontId="33" fillId="0" borderId="36" xfId="2" applyFont="1" applyBorder="1" applyAlignment="1">
      <alignment wrapText="1"/>
    </xf>
    <xf numFmtId="0" fontId="33" fillId="7" borderId="35" xfId="2" applyFont="1" applyFill="1" applyBorder="1" applyAlignment="1">
      <alignment horizontal="center" vertical="center" wrapText="1"/>
    </xf>
    <xf numFmtId="0" fontId="33" fillId="0" borderId="35" xfId="1" applyFont="1" applyBorder="1" applyAlignment="1">
      <alignment horizontal="center" vertical="center" wrapText="1"/>
    </xf>
    <xf numFmtId="4" fontId="32" fillId="9" borderId="37" xfId="2" applyNumberFormat="1" applyFont="1" applyFill="1" applyBorder="1" applyAlignment="1">
      <alignment horizontal="center" vertical="center"/>
    </xf>
    <xf numFmtId="0" fontId="25" fillId="0" borderId="8" xfId="2" applyFont="1" applyBorder="1" applyAlignment="1">
      <alignment wrapText="1"/>
    </xf>
    <xf numFmtId="0" fontId="25" fillId="0" borderId="30" xfId="2" applyFont="1" applyBorder="1" applyAlignment="1">
      <alignment wrapText="1"/>
    </xf>
    <xf numFmtId="0" fontId="32" fillId="9" borderId="0" xfId="2" applyFont="1" applyFill="1"/>
    <xf numFmtId="0" fontId="34" fillId="0" borderId="36" xfId="2" applyFont="1" applyBorder="1" applyAlignment="1">
      <alignment wrapText="1"/>
    </xf>
    <xf numFmtId="0" fontId="35" fillId="7" borderId="35" xfId="2" applyFont="1" applyFill="1" applyBorder="1" applyAlignment="1">
      <alignment horizontal="center" vertical="center" wrapText="1"/>
    </xf>
    <xf numFmtId="0" fontId="36" fillId="0" borderId="35" xfId="1" applyFont="1" applyBorder="1" applyAlignment="1">
      <alignment horizontal="center" vertical="center" wrapText="1"/>
    </xf>
    <xf numFmtId="0" fontId="34" fillId="0" borderId="8" xfId="2" applyFont="1" applyBorder="1" applyAlignment="1">
      <alignment wrapText="1"/>
    </xf>
    <xf numFmtId="0" fontId="25" fillId="0" borderId="36" xfId="2" applyFont="1" applyBorder="1" applyAlignment="1">
      <alignment wrapText="1"/>
    </xf>
    <xf numFmtId="4" fontId="25" fillId="9" borderId="16" xfId="2" applyNumberFormat="1" applyFont="1" applyFill="1" applyBorder="1" applyAlignment="1">
      <alignment horizontal="center" vertical="center"/>
    </xf>
    <xf numFmtId="14" fontId="32" fillId="0" borderId="0" xfId="2" applyNumberFormat="1" applyFont="1"/>
    <xf numFmtId="4" fontId="39" fillId="0" borderId="0" xfId="0" applyNumberFormat="1" applyFont="1"/>
    <xf numFmtId="4" fontId="40" fillId="0" borderId="0" xfId="0" applyNumberFormat="1" applyFont="1" applyAlignment="1">
      <alignment horizontal="center" vertical="top"/>
    </xf>
    <xf numFmtId="4" fontId="39" fillId="0" borderId="0" xfId="0" applyNumberFormat="1" applyFont="1" applyAlignment="1">
      <alignment wrapText="1"/>
    </xf>
    <xf numFmtId="4" fontId="41" fillId="0" borderId="0" xfId="0" applyNumberFormat="1" applyFont="1"/>
    <xf numFmtId="4" fontId="42" fillId="0" borderId="13" xfId="0" applyNumberFormat="1" applyFont="1" applyBorder="1" applyAlignment="1">
      <alignment horizontal="center" vertical="center" wrapText="1"/>
    </xf>
    <xf numFmtId="4" fontId="43" fillId="2" borderId="3" xfId="0" applyNumberFormat="1" applyFont="1" applyFill="1" applyBorder="1" applyAlignment="1">
      <alignment vertical="center" wrapText="1"/>
    </xf>
    <xf numFmtId="4" fontId="42" fillId="3" borderId="3" xfId="0" applyNumberFormat="1" applyFont="1" applyFill="1" applyBorder="1" applyAlignment="1">
      <alignment vertical="center" wrapText="1"/>
    </xf>
    <xf numFmtId="4" fontId="19" fillId="0" borderId="4" xfId="0" applyNumberFormat="1" applyFont="1" applyBorder="1" applyAlignment="1">
      <alignment horizontal="right" vertical="top" wrapText="1"/>
    </xf>
    <xf numFmtId="4" fontId="39" fillId="0" borderId="3" xfId="0" applyNumberFormat="1" applyFont="1" applyBorder="1" applyAlignment="1">
      <alignment horizontal="right" vertical="top" wrapText="1"/>
    </xf>
    <xf numFmtId="4" fontId="40" fillId="0" borderId="3" xfId="0" applyNumberFormat="1" applyFont="1" applyBorder="1" applyAlignment="1">
      <alignment horizontal="right" vertical="top" wrapText="1"/>
    </xf>
    <xf numFmtId="4" fontId="19" fillId="4" borderId="4" xfId="0" applyNumberFormat="1" applyFont="1" applyFill="1" applyBorder="1" applyAlignment="1">
      <alignment horizontal="right" vertical="top" wrapText="1"/>
    </xf>
    <xf numFmtId="4" fontId="39" fillId="0" borderId="0" xfId="0" applyNumberFormat="1" applyFont="1" applyAlignment="1">
      <alignment vertical="top"/>
    </xf>
    <xf numFmtId="4" fontId="40" fillId="0" borderId="0" xfId="0" applyNumberFormat="1" applyFont="1" applyAlignment="1">
      <alignment vertical="center"/>
    </xf>
    <xf numFmtId="3" fontId="16" fillId="0" borderId="28" xfId="0" applyNumberFormat="1" applyFont="1" applyBorder="1" applyAlignment="1">
      <alignment horizontal="center" vertical="center" wrapText="1"/>
    </xf>
    <xf numFmtId="3" fontId="15" fillId="0" borderId="29" xfId="0" applyNumberFormat="1" applyFont="1" applyBorder="1" applyAlignment="1">
      <alignment horizontal="center" vertical="center"/>
    </xf>
    <xf numFmtId="3" fontId="42" fillId="0" borderId="28" xfId="0" applyNumberFormat="1" applyFont="1" applyBorder="1" applyAlignment="1">
      <alignment horizontal="center" vertical="center" wrapText="1"/>
    </xf>
    <xf numFmtId="4" fontId="42" fillId="0" borderId="14" xfId="0" applyNumberFormat="1" applyFont="1" applyBorder="1" applyAlignment="1">
      <alignment horizontal="center" vertical="center" wrapText="1"/>
    </xf>
    <xf numFmtId="3" fontId="42" fillId="0" borderId="29" xfId="0" applyNumberFormat="1" applyFont="1" applyBorder="1" applyAlignment="1">
      <alignment horizontal="center" vertical="center"/>
    </xf>
    <xf numFmtId="4" fontId="43" fillId="2" borderId="6" xfId="0" applyNumberFormat="1" applyFont="1" applyFill="1" applyBorder="1" applyAlignment="1">
      <alignment vertical="center" wrapText="1"/>
    </xf>
    <xf numFmtId="4" fontId="42" fillId="3" borderId="6" xfId="0" applyNumberFormat="1" applyFont="1" applyFill="1" applyBorder="1" applyAlignment="1">
      <alignment vertical="center" wrapText="1"/>
    </xf>
    <xf numFmtId="4" fontId="39" fillId="0" borderId="6" xfId="0" applyNumberFormat="1" applyFont="1" applyBorder="1" applyAlignment="1">
      <alignment horizontal="right" vertical="top" wrapText="1"/>
    </xf>
    <xf numFmtId="4" fontId="40" fillId="0" borderId="6" xfId="0" applyNumberFormat="1" applyFont="1" applyBorder="1" applyAlignment="1">
      <alignment horizontal="right" vertical="top" wrapText="1"/>
    </xf>
    <xf numFmtId="4" fontId="10" fillId="4" borderId="5" xfId="0" applyNumberFormat="1" applyFont="1" applyFill="1" applyBorder="1" applyAlignment="1">
      <alignment horizontal="center" vertical="top" wrapText="1"/>
    </xf>
    <xf numFmtId="49" fontId="39" fillId="0" borderId="0" xfId="0" applyNumberFormat="1" applyFont="1"/>
    <xf numFmtId="49" fontId="39" fillId="0" borderId="0" xfId="0" applyNumberFormat="1" applyFont="1" applyAlignment="1">
      <alignment wrapText="1"/>
    </xf>
    <xf numFmtId="0" fontId="41" fillId="0" borderId="0" xfId="0" applyFont="1"/>
    <xf numFmtId="49" fontId="42" fillId="0" borderId="28" xfId="0" applyNumberFormat="1" applyFont="1" applyBorder="1" applyAlignment="1">
      <alignment horizontal="center" vertical="center" wrapText="1"/>
    </xf>
    <xf numFmtId="49" fontId="42" fillId="3" borderId="3" xfId="0" applyNumberFormat="1" applyFont="1" applyFill="1" applyBorder="1" applyAlignment="1">
      <alignment vertical="center" wrapText="1"/>
    </xf>
    <xf numFmtId="49" fontId="42" fillId="3" borderId="3" xfId="0" applyNumberFormat="1" applyFont="1" applyFill="1" applyBorder="1" applyAlignment="1">
      <alignment horizontal="left" vertical="center" wrapText="1"/>
    </xf>
    <xf numFmtId="4" fontId="39" fillId="0" borderId="3" xfId="0" applyNumberFormat="1" applyFont="1" applyBorder="1" applyAlignment="1">
      <alignment horizontal="center" vertical="center" wrapText="1"/>
    </xf>
    <xf numFmtId="0" fontId="39" fillId="0" borderId="0" xfId="0" applyFont="1"/>
    <xf numFmtId="49" fontId="39" fillId="0" borderId="0" xfId="0" applyNumberFormat="1" applyFont="1" applyAlignment="1">
      <alignment horizontal="center"/>
    </xf>
    <xf numFmtId="49" fontId="39" fillId="0" borderId="0" xfId="0" applyNumberFormat="1" applyFont="1" applyAlignment="1">
      <alignment horizontal="center" wrapText="1"/>
    </xf>
    <xf numFmtId="0" fontId="41" fillId="0" borderId="0" xfId="0" applyFont="1" applyAlignment="1">
      <alignment horizontal="center"/>
    </xf>
    <xf numFmtId="49" fontId="42" fillId="0" borderId="29" xfId="0" applyNumberFormat="1" applyFont="1" applyBorder="1" applyAlignment="1">
      <alignment horizontal="center" vertical="center"/>
    </xf>
    <xf numFmtId="49" fontId="42" fillId="3" borderId="18" xfId="0" applyNumberFormat="1" applyFont="1" applyFill="1" applyBorder="1" applyAlignment="1">
      <alignment horizontal="center" vertical="center" wrapText="1"/>
    </xf>
    <xf numFmtId="4" fontId="19" fillId="0" borderId="16" xfId="0" applyNumberFormat="1" applyFont="1" applyBorder="1" applyAlignment="1">
      <alignment horizontal="center" vertical="top" wrapText="1"/>
    </xf>
    <xf numFmtId="4" fontId="19" fillId="3" borderId="16" xfId="0" applyNumberFormat="1" applyFont="1" applyFill="1" applyBorder="1" applyAlignment="1">
      <alignment horizontal="center" vertical="top" wrapText="1"/>
    </xf>
    <xf numFmtId="4" fontId="39" fillId="0" borderId="18" xfId="0" applyNumberFormat="1" applyFont="1" applyBorder="1" applyAlignment="1">
      <alignment horizontal="center" vertical="top" wrapText="1"/>
    </xf>
    <xf numFmtId="4" fontId="39" fillId="0" borderId="18" xfId="0" applyNumberFormat="1" applyFont="1" applyBorder="1" applyAlignment="1">
      <alignment horizontal="center" vertical="center" wrapText="1"/>
    </xf>
    <xf numFmtId="4" fontId="19" fillId="4" borderId="16" xfId="0" applyNumberFormat="1" applyFont="1" applyFill="1" applyBorder="1" applyAlignment="1">
      <alignment horizontal="center" vertical="top" wrapText="1"/>
    </xf>
    <xf numFmtId="0" fontId="39" fillId="0" borderId="0" xfId="0" applyFont="1" applyAlignment="1">
      <alignment horizontal="center"/>
    </xf>
    <xf numFmtId="49" fontId="43" fillId="2" borderId="3" xfId="0" applyNumberFormat="1" applyFont="1" applyFill="1" applyBorder="1" applyAlignment="1">
      <alignment vertical="center" wrapText="1"/>
    </xf>
    <xf numFmtId="49" fontId="42" fillId="6" borderId="3" xfId="0" applyNumberFormat="1" applyFont="1" applyFill="1" applyBorder="1" applyAlignment="1">
      <alignment vertical="center" wrapText="1"/>
    </xf>
    <xf numFmtId="4" fontId="42" fillId="6" borderId="3" xfId="0" applyNumberFormat="1" applyFont="1" applyFill="1" applyBorder="1" applyAlignment="1">
      <alignment vertical="center" wrapText="1"/>
    </xf>
    <xf numFmtId="49" fontId="40" fillId="0" borderId="0" xfId="0" applyNumberFormat="1" applyFont="1" applyAlignment="1">
      <alignment vertical="center"/>
    </xf>
    <xf numFmtId="49" fontId="43" fillId="2" borderId="6" xfId="0" applyNumberFormat="1" applyFont="1" applyFill="1" applyBorder="1" applyAlignment="1">
      <alignment vertical="center" wrapText="1"/>
    </xf>
    <xf numFmtId="49" fontId="42" fillId="6" borderId="6" xfId="0" applyNumberFormat="1" applyFont="1" applyFill="1" applyBorder="1" applyAlignment="1">
      <alignment vertical="center" wrapText="1"/>
    </xf>
    <xf numFmtId="4" fontId="42" fillId="6" borderId="6" xfId="0" applyNumberFormat="1" applyFont="1" applyFill="1" applyBorder="1" applyAlignment="1">
      <alignment vertical="center" wrapText="1"/>
    </xf>
    <xf numFmtId="4" fontId="42" fillId="0" borderId="2" xfId="0" applyNumberFormat="1" applyFont="1" applyBorder="1" applyAlignment="1">
      <alignment horizontal="center" vertical="center"/>
    </xf>
    <xf numFmtId="4" fontId="43" fillId="2" borderId="6" xfId="0" applyNumberFormat="1" applyFont="1" applyFill="1" applyBorder="1" applyAlignment="1">
      <alignment horizontal="left" vertical="center" wrapText="1"/>
    </xf>
    <xf numFmtId="4" fontId="19" fillId="2" borderId="4" xfId="0" applyNumberFormat="1" applyFont="1" applyFill="1" applyBorder="1" applyAlignment="1">
      <alignment horizontal="right" vertical="top" wrapText="1"/>
    </xf>
    <xf numFmtId="4" fontId="42" fillId="0" borderId="2" xfId="0" applyNumberFormat="1" applyFont="1" applyBorder="1" applyAlignment="1">
      <alignment horizontal="center" vertical="center" wrapText="1"/>
    </xf>
    <xf numFmtId="4" fontId="43" fillId="2" borderId="3" xfId="0" applyNumberFormat="1" applyFont="1" applyFill="1" applyBorder="1" applyAlignment="1">
      <alignment horizontal="left" vertical="center" wrapText="1"/>
    </xf>
    <xf numFmtId="4" fontId="43" fillId="2" borderId="18" xfId="0" applyNumberFormat="1" applyFont="1" applyFill="1" applyBorder="1" applyAlignment="1">
      <alignment horizontal="left" vertical="center" wrapText="1"/>
    </xf>
    <xf numFmtId="4" fontId="42" fillId="3" borderId="18" xfId="0" applyNumberFormat="1" applyFont="1" applyFill="1" applyBorder="1" applyAlignment="1">
      <alignment vertical="center" wrapText="1"/>
    </xf>
    <xf numFmtId="4" fontId="19" fillId="0" borderId="16" xfId="0" applyNumberFormat="1" applyFont="1" applyBorder="1" applyAlignment="1">
      <alignment horizontal="right" vertical="top" wrapText="1"/>
    </xf>
    <xf numFmtId="4" fontId="40" fillId="0" borderId="18" xfId="0" applyNumberFormat="1" applyFont="1" applyBorder="1" applyAlignment="1">
      <alignment horizontal="right" vertical="top" wrapText="1"/>
    </xf>
    <xf numFmtId="4" fontId="39" fillId="0" borderId="18" xfId="0" applyNumberFormat="1" applyFont="1" applyBorder="1" applyAlignment="1">
      <alignment horizontal="right" vertical="top" wrapText="1"/>
    </xf>
    <xf numFmtId="4" fontId="43" fillId="2" borderId="18" xfId="0" applyNumberFormat="1" applyFont="1" applyFill="1" applyBorder="1" applyAlignment="1">
      <alignment vertical="center" wrapText="1"/>
    </xf>
    <xf numFmtId="4" fontId="19" fillId="4" borderId="16" xfId="0" applyNumberFormat="1" applyFont="1" applyFill="1" applyBorder="1" applyAlignment="1">
      <alignment horizontal="right" vertical="top" wrapText="1"/>
    </xf>
    <xf numFmtId="3" fontId="42" fillId="0" borderId="27" xfId="0" applyNumberFormat="1" applyFont="1" applyBorder="1" applyAlignment="1">
      <alignment horizontal="center" vertical="center"/>
    </xf>
    <xf numFmtId="49" fontId="42" fillId="3" borderId="6" xfId="0" applyNumberFormat="1" applyFont="1" applyFill="1" applyBorder="1" applyAlignment="1">
      <alignment vertical="center" wrapText="1"/>
    </xf>
    <xf numFmtId="49" fontId="43" fillId="2" borderId="3" xfId="0" applyNumberFormat="1" applyFont="1" applyFill="1" applyBorder="1" applyAlignment="1">
      <alignment horizontal="left" vertical="center" wrapText="1"/>
    </xf>
    <xf numFmtId="49" fontId="43" fillId="2" borderId="6" xfId="0" applyNumberFormat="1" applyFont="1" applyFill="1" applyBorder="1" applyAlignment="1">
      <alignment horizontal="left" vertical="center" wrapText="1"/>
    </xf>
    <xf numFmtId="49" fontId="42" fillId="3" borderId="6" xfId="0" applyNumberFormat="1" applyFont="1" applyFill="1" applyBorder="1" applyAlignment="1">
      <alignment horizontal="left" vertical="center" wrapText="1"/>
    </xf>
    <xf numFmtId="165" fontId="10" fillId="0" borderId="3" xfId="0" applyNumberFormat="1" applyFont="1" applyBorder="1" applyAlignment="1">
      <alignment horizontal="center" vertical="top" wrapText="1"/>
    </xf>
    <xf numFmtId="4" fontId="11" fillId="0" borderId="5" xfId="0" applyNumberFormat="1" applyFont="1" applyBorder="1" applyAlignment="1">
      <alignment horizontal="right" vertical="top" wrapText="1"/>
    </xf>
    <xf numFmtId="4" fontId="10" fillId="4" borderId="4" xfId="0" applyNumberFormat="1" applyFont="1" applyFill="1" applyBorder="1" applyAlignment="1">
      <alignment horizontal="left" vertical="top" wrapText="1"/>
    </xf>
    <xf numFmtId="4" fontId="19" fillId="4" borderId="4" xfId="0" applyNumberFormat="1" applyFont="1" applyFill="1" applyBorder="1" applyAlignment="1">
      <alignment horizontal="center" vertical="top" wrapText="1"/>
    </xf>
    <xf numFmtId="0" fontId="33" fillId="9" borderId="26" xfId="2" applyFont="1" applyFill="1" applyBorder="1" applyAlignment="1">
      <alignment wrapText="1"/>
    </xf>
    <xf numFmtId="0" fontId="33" fillId="9" borderId="27" xfId="2" applyFont="1" applyFill="1" applyBorder="1" applyAlignment="1">
      <alignment horizontal="center" vertical="center" wrapText="1"/>
    </xf>
    <xf numFmtId="0" fontId="33" fillId="9" borderId="27" xfId="1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4" fontId="19" fillId="0" borderId="4" xfId="0" applyNumberFormat="1" applyFont="1" applyBorder="1" applyAlignment="1" applyProtection="1">
      <alignment horizontal="right" vertical="top" wrapText="1"/>
      <protection locked="0"/>
    </xf>
    <xf numFmtId="164" fontId="2" fillId="0" borderId="3" xfId="0" applyNumberFormat="1" applyFont="1" applyBorder="1" applyAlignment="1">
      <alignment horizontal="center" vertical="top" wrapText="1"/>
    </xf>
    <xf numFmtId="9" fontId="21" fillId="0" borderId="4" xfId="2" applyNumberFormat="1" applyFont="1" applyBorder="1" applyAlignment="1">
      <alignment horizontal="center" vertical="center"/>
    </xf>
    <xf numFmtId="0" fontId="22" fillId="0" borderId="4" xfId="2" applyBorder="1" applyAlignment="1">
      <alignment horizontal="center"/>
    </xf>
    <xf numFmtId="0" fontId="25" fillId="0" borderId="4" xfId="2" applyFont="1" applyBorder="1" applyAlignment="1">
      <alignment horizontal="left" vertical="center" wrapText="1"/>
    </xf>
    <xf numFmtId="0" fontId="22" fillId="0" borderId="4" xfId="2" applyBorder="1"/>
    <xf numFmtId="0" fontId="24" fillId="0" borderId="19" xfId="2" applyFont="1" applyBorder="1" applyAlignment="1">
      <alignment horizontal="left" wrapText="1"/>
    </xf>
    <xf numFmtId="0" fontId="24" fillId="0" borderId="0" xfId="2" applyFont="1" applyAlignment="1">
      <alignment horizontal="left" wrapText="1"/>
    </xf>
    <xf numFmtId="0" fontId="23" fillId="0" borderId="4" xfId="2" applyFont="1" applyBorder="1" applyAlignment="1">
      <alignment horizontal="center" vertical="center" wrapText="1"/>
    </xf>
    <xf numFmtId="0" fontId="25" fillId="0" borderId="16" xfId="2" applyFont="1" applyBorder="1" applyAlignment="1">
      <alignment horizontal="center" vertical="center"/>
    </xf>
    <xf numFmtId="0" fontId="29" fillId="0" borderId="45" xfId="1" applyFont="1" applyBorder="1" applyAlignment="1">
      <alignment horizontal="center" vertical="center" wrapText="1"/>
    </xf>
    <xf numFmtId="0" fontId="22" fillId="0" borderId="46" xfId="2" applyBorder="1"/>
    <xf numFmtId="4" fontId="25" fillId="8" borderId="13" xfId="2" applyNumberFormat="1" applyFont="1" applyFill="1" applyBorder="1" applyAlignment="1">
      <alignment horizontal="center" vertical="center"/>
    </xf>
    <xf numFmtId="4" fontId="25" fillId="8" borderId="35" xfId="2" applyNumberFormat="1" applyFont="1" applyFill="1" applyBorder="1" applyAlignment="1">
      <alignment horizontal="center" vertical="center"/>
    </xf>
    <xf numFmtId="4" fontId="25" fillId="9" borderId="14" xfId="2" applyNumberFormat="1" applyFont="1" applyFill="1" applyBorder="1" applyAlignment="1">
      <alignment horizontal="center" vertical="center"/>
    </xf>
    <xf numFmtId="4" fontId="25" fillId="9" borderId="37" xfId="2" applyNumberFormat="1" applyFont="1" applyFill="1" applyBorder="1" applyAlignment="1">
      <alignment horizontal="center" vertical="center"/>
    </xf>
    <xf numFmtId="0" fontId="21" fillId="0" borderId="44" xfId="2" quotePrefix="1" applyFont="1" applyBorder="1" applyAlignment="1">
      <alignment horizontal="center" vertical="center"/>
    </xf>
    <xf numFmtId="0" fontId="21" fillId="0" borderId="33" xfId="2" quotePrefix="1" applyFont="1" applyBorder="1" applyAlignment="1">
      <alignment horizontal="center" vertical="center"/>
    </xf>
    <xf numFmtId="0" fontId="21" fillId="0" borderId="34" xfId="2" quotePrefix="1" applyFont="1" applyBorder="1" applyAlignment="1">
      <alignment horizontal="center" vertical="center"/>
    </xf>
    <xf numFmtId="0" fontId="24" fillId="0" borderId="47" xfId="2" applyFont="1" applyBorder="1" applyAlignment="1">
      <alignment horizontal="center" vertical="center"/>
    </xf>
    <xf numFmtId="0" fontId="24" fillId="0" borderId="7" xfId="2" applyFont="1" applyBorder="1" applyAlignment="1">
      <alignment horizontal="center" vertical="center"/>
    </xf>
    <xf numFmtId="0" fontId="23" fillId="10" borderId="4" xfId="2" applyFont="1" applyFill="1" applyBorder="1" applyAlignment="1">
      <alignment horizontal="left" vertical="center" wrapText="1"/>
    </xf>
    <xf numFmtId="0" fontId="31" fillId="10" borderId="4" xfId="2" applyFont="1" applyFill="1" applyBorder="1"/>
    <xf numFmtId="0" fontId="21" fillId="8" borderId="42" xfId="2" applyFont="1" applyFill="1" applyBorder="1" applyAlignment="1">
      <alignment horizontal="right" wrapText="1"/>
    </xf>
    <xf numFmtId="0" fontId="22" fillId="8" borderId="43" xfId="2" applyFill="1" applyBorder="1" applyAlignment="1">
      <alignment wrapText="1"/>
    </xf>
    <xf numFmtId="0" fontId="23" fillId="0" borderId="19" xfId="2" applyFont="1" applyBorder="1" applyAlignment="1">
      <alignment horizontal="center" vertical="center" wrapText="1"/>
    </xf>
    <xf numFmtId="0" fontId="22" fillId="0" borderId="0" xfId="2" applyAlignment="1">
      <alignment horizontal="center" vertical="center" wrapText="1"/>
    </xf>
    <xf numFmtId="0" fontId="22" fillId="0" borderId="40" xfId="2" applyBorder="1" applyAlignment="1">
      <alignment horizontal="center" vertical="center" wrapText="1"/>
    </xf>
    <xf numFmtId="0" fontId="24" fillId="0" borderId="19" xfId="2" applyFont="1" applyBorder="1" applyAlignment="1">
      <alignment horizontal="center" vertical="center" wrapText="1"/>
    </xf>
    <xf numFmtId="0" fontId="24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2" fillId="0" borderId="40" xfId="2" applyBorder="1"/>
    <xf numFmtId="0" fontId="10" fillId="0" borderId="4" xfId="0" applyFont="1" applyBorder="1" applyAlignment="1">
      <alignment horizontal="left" vertical="top" wrapText="1"/>
    </xf>
    <xf numFmtId="49" fontId="7" fillId="3" borderId="17" xfId="0" applyNumberFormat="1" applyFont="1" applyFill="1" applyBorder="1" applyAlignment="1">
      <alignment horizontal="left" vertical="center" wrapText="1"/>
    </xf>
    <xf numFmtId="49" fontId="7" fillId="3" borderId="3" xfId="0" applyNumberFormat="1" applyFont="1" applyFill="1" applyBorder="1" applyAlignment="1">
      <alignment horizontal="left" vertical="center" wrapText="1"/>
    </xf>
    <xf numFmtId="4" fontId="38" fillId="5" borderId="22" xfId="0" applyNumberFormat="1" applyFont="1" applyFill="1" applyBorder="1" applyAlignment="1">
      <alignment horizontal="center" vertical="center" wrapText="1"/>
    </xf>
    <xf numFmtId="4" fontId="38" fillId="5" borderId="21" xfId="0" applyNumberFormat="1" applyFont="1" applyFill="1" applyBorder="1" applyAlignment="1">
      <alignment horizontal="center" vertical="center" wrapText="1"/>
    </xf>
    <xf numFmtId="4" fontId="38" fillId="5" borderId="23" xfId="0" applyNumberFormat="1" applyFont="1" applyFill="1" applyBorder="1" applyAlignment="1">
      <alignment horizontal="center" vertical="center" wrapText="1"/>
    </xf>
    <xf numFmtId="4" fontId="19" fillId="5" borderId="50" xfId="0" applyNumberFormat="1" applyFont="1" applyFill="1" applyBorder="1" applyAlignment="1">
      <alignment horizontal="center" vertical="center" wrapText="1"/>
    </xf>
    <xf numFmtId="4" fontId="19" fillId="5" borderId="48" xfId="0" applyNumberFormat="1" applyFont="1" applyFill="1" applyBorder="1" applyAlignment="1">
      <alignment horizontal="center" vertical="center" wrapText="1"/>
    </xf>
    <xf numFmtId="4" fontId="19" fillId="5" borderId="49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wrapText="1"/>
    </xf>
    <xf numFmtId="49" fontId="10" fillId="4" borderId="17" xfId="0" applyNumberFormat="1" applyFont="1" applyFill="1" applyBorder="1" applyAlignment="1">
      <alignment horizontal="left" vertical="top" wrapText="1"/>
    </xf>
    <xf numFmtId="49" fontId="10" fillId="4" borderId="3" xfId="0" applyNumberFormat="1" applyFont="1" applyFill="1" applyBorder="1" applyAlignment="1">
      <alignment horizontal="left" vertical="top" wrapText="1"/>
    </xf>
    <xf numFmtId="49" fontId="18" fillId="5" borderId="20" xfId="0" applyNumberFormat="1" applyFont="1" applyFill="1" applyBorder="1" applyAlignment="1">
      <alignment horizontal="left" vertical="center" wrapText="1"/>
    </xf>
    <xf numFmtId="49" fontId="10" fillId="5" borderId="21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49" fontId="9" fillId="2" borderId="24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9" fillId="2" borderId="25" xfId="0" applyNumberFormat="1" applyFont="1" applyFill="1" applyBorder="1" applyAlignment="1">
      <alignment horizontal="left" vertical="center" wrapText="1"/>
    </xf>
    <xf numFmtId="49" fontId="7" fillId="0" borderId="27" xfId="0" applyNumberFormat="1" applyFont="1" applyBorder="1" applyAlignment="1">
      <alignment horizontal="center" vertical="center"/>
    </xf>
    <xf numFmtId="49" fontId="7" fillId="6" borderId="5" xfId="0" applyNumberFormat="1" applyFont="1" applyFill="1" applyBorder="1" applyAlignment="1">
      <alignment horizontal="left" vertical="center" wrapText="1"/>
    </xf>
    <xf numFmtId="49" fontId="7" fillId="6" borderId="3" xfId="0" applyNumberFormat="1" applyFont="1" applyFill="1" applyBorder="1" applyAlignment="1">
      <alignment horizontal="left" vertical="center" wrapText="1"/>
    </xf>
    <xf numFmtId="49" fontId="9" fillId="2" borderId="10" xfId="0" applyNumberFormat="1" applyFont="1" applyFill="1" applyBorder="1" applyAlignment="1">
      <alignment horizontal="left" vertical="center" wrapText="1"/>
    </xf>
    <xf numFmtId="49" fontId="9" fillId="2" borderId="11" xfId="0" applyNumberFormat="1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49" fontId="6" fillId="0" borderId="3" xfId="0" applyNumberFormat="1" applyFont="1" applyBorder="1" applyAlignment="1">
      <alignment horizontal="left" vertical="top" wrapText="1"/>
    </xf>
    <xf numFmtId="49" fontId="9" fillId="2" borderId="5" xfId="0" applyNumberFormat="1" applyFont="1" applyFill="1" applyBorder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left" vertical="center" wrapText="1"/>
    </xf>
    <xf numFmtId="49" fontId="7" fillId="0" borderId="22" xfId="0" applyNumberFormat="1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 vertical="center"/>
    </xf>
    <xf numFmtId="49" fontId="7" fillId="0" borderId="28" xfId="0" applyNumberFormat="1" applyFont="1" applyBorder="1" applyAlignment="1">
      <alignment horizontal="center" vertical="center"/>
    </xf>
    <xf numFmtId="49" fontId="7" fillId="3" borderId="5" xfId="0" applyNumberFormat="1" applyFont="1" applyFill="1" applyBorder="1" applyAlignment="1">
      <alignment horizontal="left" vertical="center" wrapText="1"/>
    </xf>
    <xf numFmtId="4" fontId="19" fillId="5" borderId="22" xfId="0" applyNumberFormat="1" applyFont="1" applyFill="1" applyBorder="1" applyAlignment="1">
      <alignment horizontal="center" vertical="center" wrapText="1"/>
    </xf>
    <xf numFmtId="4" fontId="19" fillId="5" borderId="21" xfId="0" applyNumberFormat="1" applyFont="1" applyFill="1" applyBorder="1" applyAlignment="1">
      <alignment horizontal="center" vertical="center" wrapText="1"/>
    </xf>
    <xf numFmtId="4" fontId="19" fillId="5" borderId="23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/>
    </xf>
    <xf numFmtId="4" fontId="12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/>
    </xf>
    <xf numFmtId="4" fontId="13" fillId="0" borderId="0" xfId="0" applyNumberFormat="1" applyFont="1" applyAlignment="1">
      <alignment horizontal="center"/>
    </xf>
    <xf numFmtId="49" fontId="9" fillId="2" borderId="17" xfId="0" applyNumberFormat="1" applyFont="1" applyFill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wrapText="1"/>
    </xf>
    <xf numFmtId="4" fontId="14" fillId="0" borderId="1" xfId="0" applyNumberFormat="1" applyFont="1" applyBorder="1" applyAlignment="1">
      <alignment horizontal="center" wrapText="1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top" wrapText="1"/>
    </xf>
    <xf numFmtId="0" fontId="18" fillId="0" borderId="4" xfId="0" applyFont="1" applyBorder="1" applyAlignment="1">
      <alignment horizontal="left" vertical="top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opLeftCell="A2" zoomScale="90" zoomScaleNormal="90" workbookViewId="0">
      <pane xSplit="2" ySplit="8" topLeftCell="C10" activePane="bottomRight" state="frozen"/>
      <selection activeCell="A2" sqref="A2"/>
      <selection pane="topRight" activeCell="C2" sqref="C2"/>
      <selection pane="bottomLeft" activeCell="A10" sqref="A10"/>
      <selection pane="bottomRight" activeCell="G15" sqref="G15"/>
    </sheetView>
  </sheetViews>
  <sheetFormatPr defaultColWidth="8.85546875" defaultRowHeight="12.75" x14ac:dyDescent="0.2"/>
  <cols>
    <col min="1" max="1" width="6.7109375" style="170" customWidth="1"/>
    <col min="2" max="2" width="45.42578125" style="158" customWidth="1"/>
    <col min="3" max="3" width="52.7109375" style="158" customWidth="1"/>
    <col min="4" max="4" width="19" style="143" customWidth="1"/>
    <col min="5" max="5" width="14.85546875" style="143" customWidth="1"/>
    <col min="6" max="8" width="21.42578125" style="143" customWidth="1"/>
    <col min="9" max="9" width="22.85546875" style="143" customWidth="1"/>
    <col min="10" max="10" width="26" style="143" customWidth="1"/>
    <col min="11" max="11" width="8.85546875" style="143"/>
    <col min="12" max="12" width="10.42578125" style="143" bestFit="1" customWidth="1"/>
    <col min="13" max="13" width="8.85546875" style="143"/>
    <col min="14" max="14" width="43.5703125" style="143" customWidth="1"/>
    <col min="15" max="16384" width="8.85546875" style="143"/>
  </cols>
  <sheetData>
    <row r="1" spans="1:15" ht="27" hidden="1" customHeight="1" x14ac:dyDescent="0.2">
      <c r="A1" s="140"/>
      <c r="B1" s="141"/>
      <c r="C1" s="141"/>
      <c r="D1" s="142"/>
      <c r="E1" s="142"/>
      <c r="F1" s="142"/>
      <c r="G1" s="142"/>
      <c r="H1" s="310"/>
      <c r="I1" s="311"/>
    </row>
    <row r="2" spans="1:15" ht="27.75" customHeight="1" x14ac:dyDescent="0.2">
      <c r="A2" s="312" t="s">
        <v>706</v>
      </c>
      <c r="B2" s="313"/>
      <c r="C2" s="313"/>
      <c r="D2" s="313"/>
      <c r="E2" s="313"/>
      <c r="F2" s="313"/>
      <c r="G2" s="313"/>
      <c r="H2" s="313"/>
      <c r="I2" s="314"/>
      <c r="K2" s="144"/>
      <c r="L2" s="144"/>
      <c r="M2" s="144"/>
      <c r="N2" s="144"/>
    </row>
    <row r="3" spans="1:15" ht="33.75" customHeight="1" x14ac:dyDescent="0.2">
      <c r="A3" s="315"/>
      <c r="B3" s="316"/>
      <c r="C3" s="317" t="s">
        <v>707</v>
      </c>
      <c r="D3" s="317"/>
      <c r="E3" s="317"/>
      <c r="F3" s="317"/>
      <c r="G3" s="317"/>
      <c r="H3" s="317"/>
      <c r="I3" s="318"/>
      <c r="K3" s="144"/>
      <c r="L3" s="144"/>
      <c r="M3" s="144"/>
      <c r="N3" s="144"/>
    </row>
    <row r="4" spans="1:15" ht="18.75" hidden="1" x14ac:dyDescent="0.3">
      <c r="A4" s="149"/>
      <c r="B4" s="150"/>
      <c r="C4" s="192"/>
      <c r="D4" s="151"/>
      <c r="E4" s="151"/>
      <c r="F4" s="152"/>
      <c r="G4" s="152"/>
      <c r="H4" s="152"/>
      <c r="I4" s="153"/>
      <c r="J4" s="146"/>
      <c r="K4" s="147"/>
      <c r="L4" s="148"/>
      <c r="M4" s="148"/>
      <c r="N4" s="148"/>
      <c r="O4" s="148"/>
    </row>
    <row r="5" spans="1:15" ht="15.75" x14ac:dyDescent="0.25">
      <c r="A5" s="293" t="s">
        <v>708</v>
      </c>
      <c r="B5" s="294"/>
      <c r="C5" s="193"/>
      <c r="I5" s="154"/>
      <c r="J5" s="146"/>
      <c r="K5" s="155"/>
      <c r="L5" s="155"/>
      <c r="M5" s="155"/>
      <c r="N5" s="155"/>
      <c r="O5" s="155"/>
    </row>
    <row r="6" spans="1:15" ht="18.75" x14ac:dyDescent="0.3">
      <c r="A6" s="293" t="s">
        <v>709</v>
      </c>
      <c r="B6" s="294"/>
      <c r="C6" s="194"/>
      <c r="D6" s="145"/>
      <c r="E6" s="145"/>
      <c r="H6" s="156"/>
      <c r="I6" s="154"/>
      <c r="J6" s="146"/>
      <c r="K6" s="155"/>
      <c r="L6" s="155"/>
      <c r="M6" s="155"/>
      <c r="N6" s="155"/>
      <c r="O6" s="155"/>
    </row>
    <row r="7" spans="1:15" x14ac:dyDescent="0.2">
      <c r="A7" s="157"/>
      <c r="I7" s="154"/>
    </row>
    <row r="8" spans="1:15" ht="27.75" customHeight="1" x14ac:dyDescent="0.2">
      <c r="A8" s="159" t="s">
        <v>7</v>
      </c>
      <c r="B8" s="160" t="s">
        <v>710</v>
      </c>
      <c r="C8" s="161" t="s">
        <v>711</v>
      </c>
      <c r="D8" s="161"/>
      <c r="E8" s="161"/>
      <c r="F8" s="295" t="s">
        <v>712</v>
      </c>
      <c r="G8" s="295"/>
      <c r="H8" s="295"/>
      <c r="I8" s="296"/>
    </row>
    <row r="9" spans="1:15" ht="30" customHeight="1" x14ac:dyDescent="0.2">
      <c r="A9" s="303">
        <v>1</v>
      </c>
      <c r="B9" s="306" t="s">
        <v>713</v>
      </c>
      <c r="C9" s="162" t="s">
        <v>714</v>
      </c>
      <c r="D9" s="162" t="s">
        <v>715</v>
      </c>
      <c r="E9" s="162" t="s">
        <v>716</v>
      </c>
      <c r="F9" s="163" t="s">
        <v>615</v>
      </c>
      <c r="G9" s="163" t="s">
        <v>717</v>
      </c>
      <c r="H9" s="163" t="s">
        <v>718</v>
      </c>
      <c r="I9" s="164" t="s">
        <v>719</v>
      </c>
    </row>
    <row r="10" spans="1:15" ht="18.75" customHeight="1" thickBot="1" x14ac:dyDescent="0.25">
      <c r="A10" s="304"/>
      <c r="B10" s="307"/>
      <c r="C10" s="297" t="s">
        <v>720</v>
      </c>
      <c r="D10" s="297"/>
      <c r="E10" s="297"/>
      <c r="F10" s="297"/>
      <c r="G10" s="297"/>
      <c r="H10" s="297"/>
      <c r="I10" s="298"/>
    </row>
    <row r="11" spans="1:15" s="176" customFormat="1" ht="15" customHeight="1" thickBot="1" x14ac:dyDescent="0.25">
      <c r="A11" s="304"/>
      <c r="B11" s="307"/>
      <c r="C11" s="195" t="s">
        <v>721</v>
      </c>
      <c r="D11" s="187" t="s">
        <v>722</v>
      </c>
      <c r="E11" s="188" t="s">
        <v>723</v>
      </c>
      <c r="F11" s="189"/>
      <c r="G11" s="189"/>
      <c r="H11" s="189"/>
      <c r="I11" s="190"/>
    </row>
    <row r="12" spans="1:15" s="175" customFormat="1" ht="15" x14ac:dyDescent="0.25">
      <c r="A12" s="304"/>
      <c r="B12" s="307"/>
      <c r="C12" s="196" t="s">
        <v>775</v>
      </c>
      <c r="D12" s="183"/>
      <c r="E12" s="184"/>
      <c r="F12" s="185">
        <v>100.86</v>
      </c>
      <c r="G12" s="185">
        <v>7908284.1600000001</v>
      </c>
      <c r="H12" s="185"/>
      <c r="I12" s="186">
        <f>F12+G12</f>
        <v>7908385.0200000005</v>
      </c>
    </row>
    <row r="13" spans="1:15" s="175" customFormat="1" ht="15" x14ac:dyDescent="0.25">
      <c r="A13" s="304"/>
      <c r="B13" s="307"/>
      <c r="C13" s="197" t="s">
        <v>776</v>
      </c>
      <c r="D13" s="171"/>
      <c r="E13" s="172"/>
      <c r="F13" s="173"/>
      <c r="G13" s="173">
        <v>16073424.77</v>
      </c>
      <c r="H13" s="185"/>
      <c r="I13" s="186">
        <f>G13</f>
        <v>16073424.77</v>
      </c>
    </row>
    <row r="14" spans="1:15" s="175" customFormat="1" ht="15" x14ac:dyDescent="0.25">
      <c r="A14" s="304"/>
      <c r="B14" s="307"/>
      <c r="C14" s="197" t="s">
        <v>777</v>
      </c>
      <c r="D14" s="171"/>
      <c r="E14" s="172"/>
      <c r="F14" s="173">
        <v>10133424.550000001</v>
      </c>
      <c r="G14" s="173">
        <v>5774766.3600000003</v>
      </c>
      <c r="H14" s="185"/>
      <c r="I14" s="186">
        <f>F14+G14</f>
        <v>15908190.91</v>
      </c>
    </row>
    <row r="15" spans="1:15" s="175" customFormat="1" ht="15" x14ac:dyDescent="0.25">
      <c r="A15" s="304"/>
      <c r="B15" s="307"/>
      <c r="C15" s="197" t="s">
        <v>778</v>
      </c>
      <c r="D15" s="171"/>
      <c r="E15" s="172"/>
      <c r="F15" s="173">
        <v>182809803.34999999</v>
      </c>
      <c r="G15" s="173">
        <v>45474979</v>
      </c>
      <c r="H15" s="185"/>
      <c r="I15" s="186">
        <f>F15+G15</f>
        <v>228284782.34999999</v>
      </c>
    </row>
    <row r="16" spans="1:15" s="175" customFormat="1" ht="15" x14ac:dyDescent="0.25">
      <c r="A16" s="304"/>
      <c r="B16" s="307"/>
      <c r="C16" s="197" t="s">
        <v>779</v>
      </c>
      <c r="D16" s="171"/>
      <c r="E16" s="172"/>
      <c r="F16" s="173">
        <v>27152572.850000001</v>
      </c>
      <c r="G16" s="173">
        <v>55360615</v>
      </c>
      <c r="H16" s="185"/>
      <c r="I16" s="186">
        <f>F16+G16</f>
        <v>82513187.849999994</v>
      </c>
    </row>
    <row r="17" spans="1:12" s="175" customFormat="1" ht="15.75" thickBot="1" x14ac:dyDescent="0.3">
      <c r="A17" s="304"/>
      <c r="B17" s="307"/>
      <c r="C17" s="283" t="s">
        <v>780</v>
      </c>
      <c r="D17" s="284"/>
      <c r="E17" s="285"/>
      <c r="F17" s="173"/>
      <c r="G17" s="173"/>
      <c r="H17" s="185"/>
      <c r="I17" s="186"/>
    </row>
    <row r="18" spans="1:12" s="176" customFormat="1" ht="15" customHeight="1" thickBot="1" x14ac:dyDescent="0.25">
      <c r="A18" s="304"/>
      <c r="B18" s="307"/>
      <c r="C18" s="195" t="s">
        <v>724</v>
      </c>
      <c r="D18" s="187" t="s">
        <v>725</v>
      </c>
      <c r="E18" s="188" t="s">
        <v>723</v>
      </c>
      <c r="F18" s="189"/>
      <c r="G18" s="189"/>
      <c r="H18" s="189"/>
      <c r="I18" s="190"/>
    </row>
    <row r="19" spans="1:12" s="175" customFormat="1" ht="30" x14ac:dyDescent="0.25">
      <c r="A19" s="304"/>
      <c r="B19" s="307"/>
      <c r="C19" s="196" t="s">
        <v>781</v>
      </c>
      <c r="D19" s="183"/>
      <c r="E19" s="184"/>
      <c r="F19" s="185"/>
      <c r="G19" s="185"/>
      <c r="H19" s="185"/>
      <c r="I19" s="186"/>
    </row>
    <row r="20" spans="1:12" s="175" customFormat="1" ht="30" x14ac:dyDescent="0.25">
      <c r="A20" s="304"/>
      <c r="B20" s="307"/>
      <c r="C20" s="197" t="s">
        <v>782</v>
      </c>
      <c r="D20" s="171"/>
      <c r="E20" s="172"/>
      <c r="F20" s="173"/>
      <c r="G20" s="173"/>
      <c r="H20" s="173"/>
      <c r="I20" s="174"/>
    </row>
    <row r="21" spans="1:12" s="175" customFormat="1" ht="30.75" thickBot="1" x14ac:dyDescent="0.3">
      <c r="A21" s="304"/>
      <c r="B21" s="307"/>
      <c r="C21" s="198" t="s">
        <v>783</v>
      </c>
      <c r="D21" s="179"/>
      <c r="E21" s="180"/>
      <c r="F21" s="181"/>
      <c r="G21" s="181"/>
      <c r="H21" s="181"/>
      <c r="I21" s="182"/>
    </row>
    <row r="22" spans="1:12" s="176" customFormat="1" ht="15" customHeight="1" thickBot="1" x14ac:dyDescent="0.25">
      <c r="A22" s="304"/>
      <c r="B22" s="307"/>
      <c r="C22" s="195" t="s">
        <v>726</v>
      </c>
      <c r="D22" s="187" t="s">
        <v>727</v>
      </c>
      <c r="E22" s="188" t="s">
        <v>723</v>
      </c>
      <c r="F22" s="189"/>
      <c r="G22" s="189"/>
      <c r="H22" s="189"/>
      <c r="I22" s="190"/>
      <c r="J22" s="175"/>
    </row>
    <row r="23" spans="1:12" s="175" customFormat="1" ht="15" x14ac:dyDescent="0.25">
      <c r="A23" s="304"/>
      <c r="B23" s="307"/>
      <c r="C23" s="196" t="s">
        <v>784</v>
      </c>
      <c r="D23" s="183"/>
      <c r="E23" s="184"/>
      <c r="F23" s="185"/>
      <c r="G23" s="185"/>
      <c r="H23" s="185"/>
      <c r="I23" s="186"/>
    </row>
    <row r="24" spans="1:12" s="175" customFormat="1" ht="15.75" thickBot="1" x14ac:dyDescent="0.3">
      <c r="A24" s="304"/>
      <c r="B24" s="307"/>
      <c r="C24" s="198" t="s">
        <v>785</v>
      </c>
      <c r="D24" s="179"/>
      <c r="E24" s="180"/>
      <c r="F24" s="181"/>
      <c r="G24" s="181"/>
      <c r="H24" s="181"/>
      <c r="I24" s="182"/>
    </row>
    <row r="25" spans="1:12" s="176" customFormat="1" ht="19.5" customHeight="1" thickBot="1" x14ac:dyDescent="0.25">
      <c r="A25" s="304"/>
      <c r="B25" s="307"/>
      <c r="C25" s="195" t="s">
        <v>728</v>
      </c>
      <c r="D25" s="187" t="s">
        <v>729</v>
      </c>
      <c r="E25" s="188" t="s">
        <v>723</v>
      </c>
      <c r="F25" s="189"/>
      <c r="G25" s="189"/>
      <c r="H25" s="189"/>
      <c r="I25" s="190"/>
      <c r="J25" s="175"/>
    </row>
    <row r="26" spans="1:12" s="175" customFormat="1" ht="30.75" thickBot="1" x14ac:dyDescent="0.3">
      <c r="A26" s="304"/>
      <c r="B26" s="307"/>
      <c r="C26" s="199" t="s">
        <v>786</v>
      </c>
      <c r="D26" s="200"/>
      <c r="E26" s="201"/>
      <c r="F26" s="191"/>
      <c r="G26" s="191"/>
      <c r="H26" s="191"/>
      <c r="I26" s="202"/>
      <c r="L26" s="212"/>
    </row>
    <row r="27" spans="1:12" s="176" customFormat="1" ht="17.25" customHeight="1" thickBot="1" x14ac:dyDescent="0.25">
      <c r="A27" s="304"/>
      <c r="B27" s="307"/>
      <c r="C27" s="195" t="s">
        <v>730</v>
      </c>
      <c r="D27" s="187" t="s">
        <v>731</v>
      </c>
      <c r="E27" s="188" t="s">
        <v>723</v>
      </c>
      <c r="F27" s="189"/>
      <c r="G27" s="189"/>
      <c r="H27" s="189"/>
      <c r="I27" s="190"/>
      <c r="J27" s="175"/>
    </row>
    <row r="28" spans="1:12" s="175" customFormat="1" ht="15" x14ac:dyDescent="0.25">
      <c r="A28" s="304"/>
      <c r="B28" s="307"/>
      <c r="C28" s="196" t="s">
        <v>787</v>
      </c>
      <c r="D28" s="183"/>
      <c r="E28" s="184"/>
      <c r="F28" s="185"/>
      <c r="G28" s="185">
        <v>70521.600000000006</v>
      </c>
      <c r="H28" s="185"/>
      <c r="I28" s="186">
        <f>G28</f>
        <v>70521.600000000006</v>
      </c>
    </row>
    <row r="29" spans="1:12" s="175" customFormat="1" ht="15.75" customHeight="1" x14ac:dyDescent="0.25">
      <c r="A29" s="304"/>
      <c r="B29" s="307"/>
      <c r="C29" s="197" t="s">
        <v>788</v>
      </c>
      <c r="D29" s="171"/>
      <c r="E29" s="172"/>
      <c r="F29" s="173"/>
      <c r="G29" s="173"/>
      <c r="H29" s="173"/>
      <c r="I29" s="186"/>
    </row>
    <row r="30" spans="1:12" s="175" customFormat="1" ht="30" x14ac:dyDescent="0.25">
      <c r="A30" s="304"/>
      <c r="B30" s="307"/>
      <c r="C30" s="197" t="s">
        <v>789</v>
      </c>
      <c r="D30" s="171"/>
      <c r="E30" s="172"/>
      <c r="F30" s="173"/>
      <c r="G30" s="173"/>
      <c r="H30" s="173"/>
      <c r="I30" s="186"/>
    </row>
    <row r="31" spans="1:12" s="175" customFormat="1" ht="15" x14ac:dyDescent="0.25">
      <c r="A31" s="304"/>
      <c r="B31" s="307"/>
      <c r="C31" s="197" t="s">
        <v>790</v>
      </c>
      <c r="D31" s="171"/>
      <c r="E31" s="172"/>
      <c r="F31" s="173"/>
      <c r="G31" s="173"/>
      <c r="H31" s="173"/>
      <c r="I31" s="186"/>
    </row>
    <row r="32" spans="1:12" s="175" customFormat="1" ht="15.75" thickBot="1" x14ac:dyDescent="0.3">
      <c r="A32" s="304"/>
      <c r="B32" s="307"/>
      <c r="C32" s="198" t="s">
        <v>791</v>
      </c>
      <c r="D32" s="179"/>
      <c r="E32" s="180"/>
      <c r="F32" s="181"/>
      <c r="G32" s="181"/>
      <c r="H32" s="181"/>
      <c r="I32" s="182"/>
    </row>
    <row r="33" spans="1:11" s="176" customFormat="1" ht="15" customHeight="1" thickBot="1" x14ac:dyDescent="0.25">
      <c r="A33" s="304"/>
      <c r="B33" s="307"/>
      <c r="C33" s="195" t="s">
        <v>732</v>
      </c>
      <c r="D33" s="187" t="s">
        <v>733</v>
      </c>
      <c r="E33" s="188" t="s">
        <v>723</v>
      </c>
      <c r="F33" s="189"/>
      <c r="G33" s="189"/>
      <c r="H33" s="189"/>
      <c r="I33" s="190"/>
      <c r="J33" s="175"/>
    </row>
    <row r="34" spans="1:11" s="175" customFormat="1" ht="15.75" thickBot="1" x14ac:dyDescent="0.3">
      <c r="A34" s="304"/>
      <c r="B34" s="307"/>
      <c r="C34" s="199" t="s">
        <v>792</v>
      </c>
      <c r="D34" s="200"/>
      <c r="E34" s="201"/>
      <c r="F34" s="191"/>
      <c r="G34" s="191"/>
      <c r="H34" s="191"/>
      <c r="I34" s="202"/>
    </row>
    <row r="35" spans="1:11" s="176" customFormat="1" ht="15" customHeight="1" thickBot="1" x14ac:dyDescent="0.25">
      <c r="A35" s="304"/>
      <c r="B35" s="307"/>
      <c r="C35" s="195" t="s">
        <v>734</v>
      </c>
      <c r="D35" s="187" t="s">
        <v>735</v>
      </c>
      <c r="E35" s="188" t="s">
        <v>723</v>
      </c>
      <c r="F35" s="189"/>
      <c r="G35" s="189"/>
      <c r="H35" s="189"/>
      <c r="I35" s="190"/>
      <c r="J35" s="175"/>
    </row>
    <row r="36" spans="1:11" s="175" customFormat="1" ht="21" customHeight="1" x14ac:dyDescent="0.25">
      <c r="A36" s="304"/>
      <c r="B36" s="307"/>
      <c r="C36" s="196" t="s">
        <v>793</v>
      </c>
      <c r="D36" s="183"/>
      <c r="E36" s="184"/>
      <c r="F36" s="185"/>
      <c r="G36" s="185"/>
      <c r="H36" s="185"/>
      <c r="I36" s="186"/>
    </row>
    <row r="37" spans="1:11" s="175" customFormat="1" ht="18" customHeight="1" x14ac:dyDescent="0.25">
      <c r="A37" s="304"/>
      <c r="B37" s="307"/>
      <c r="C37" s="197" t="s">
        <v>794</v>
      </c>
      <c r="D37" s="171"/>
      <c r="E37" s="172"/>
      <c r="F37" s="173"/>
      <c r="G37" s="173"/>
      <c r="H37" s="173"/>
      <c r="I37" s="174"/>
    </row>
    <row r="38" spans="1:11" s="175" customFormat="1" ht="18" customHeight="1" thickBot="1" x14ac:dyDescent="0.3">
      <c r="A38" s="304"/>
      <c r="B38" s="307"/>
      <c r="C38" s="198" t="s">
        <v>795</v>
      </c>
      <c r="D38" s="179"/>
      <c r="E38" s="180"/>
      <c r="F38" s="181"/>
      <c r="G38" s="181"/>
      <c r="H38" s="181"/>
      <c r="I38" s="182"/>
    </row>
    <row r="39" spans="1:11" s="176" customFormat="1" ht="29.25" thickBot="1" x14ac:dyDescent="0.25">
      <c r="A39" s="304"/>
      <c r="B39" s="307"/>
      <c r="C39" s="195" t="s">
        <v>736</v>
      </c>
      <c r="D39" s="187" t="s">
        <v>737</v>
      </c>
      <c r="E39" s="188" t="s">
        <v>723</v>
      </c>
      <c r="F39" s="189"/>
      <c r="G39" s="189"/>
      <c r="H39" s="189"/>
      <c r="I39" s="190"/>
      <c r="J39" s="175"/>
    </row>
    <row r="40" spans="1:11" s="175" customFormat="1" ht="15" x14ac:dyDescent="0.25">
      <c r="A40" s="304"/>
      <c r="B40" s="307"/>
      <c r="C40" s="196" t="s">
        <v>796</v>
      </c>
      <c r="D40" s="183"/>
      <c r="E40" s="184"/>
      <c r="F40" s="185"/>
      <c r="G40" s="185">
        <v>584519.68000000005</v>
      </c>
      <c r="H40" s="185"/>
      <c r="I40" s="186">
        <f>G40</f>
        <v>584519.68000000005</v>
      </c>
    </row>
    <row r="41" spans="1:11" s="175" customFormat="1" ht="15.75" thickBot="1" x14ac:dyDescent="0.3">
      <c r="A41" s="304"/>
      <c r="B41" s="307"/>
      <c r="C41" s="198" t="s">
        <v>797</v>
      </c>
      <c r="D41" s="179"/>
      <c r="E41" s="180"/>
      <c r="F41" s="181"/>
      <c r="G41" s="181"/>
      <c r="H41" s="181"/>
      <c r="I41" s="182"/>
      <c r="K41" s="175" t="s">
        <v>818</v>
      </c>
    </row>
    <row r="42" spans="1:11" s="176" customFormat="1" ht="28.5" x14ac:dyDescent="0.2">
      <c r="A42" s="304"/>
      <c r="B42" s="307"/>
      <c r="C42" s="209" t="s">
        <v>738</v>
      </c>
      <c r="D42" s="177" t="s">
        <v>739</v>
      </c>
      <c r="E42" s="178" t="s">
        <v>723</v>
      </c>
      <c r="F42" s="299"/>
      <c r="G42" s="299"/>
      <c r="H42" s="299"/>
      <c r="I42" s="301"/>
      <c r="J42" s="175"/>
    </row>
    <row r="43" spans="1:11" s="176" customFormat="1" ht="30" customHeight="1" thickBot="1" x14ac:dyDescent="0.25">
      <c r="A43" s="304"/>
      <c r="B43" s="307"/>
      <c r="C43" s="206" t="s">
        <v>740</v>
      </c>
      <c r="D43" s="207" t="s">
        <v>741</v>
      </c>
      <c r="E43" s="208" t="s">
        <v>723</v>
      </c>
      <c r="F43" s="300"/>
      <c r="G43" s="300"/>
      <c r="H43" s="300"/>
      <c r="I43" s="302"/>
      <c r="J43" s="175"/>
    </row>
    <row r="44" spans="1:11" s="175" customFormat="1" ht="15.75" thickBot="1" x14ac:dyDescent="0.3">
      <c r="A44" s="304"/>
      <c r="B44" s="307"/>
      <c r="C44" s="199" t="s">
        <v>798</v>
      </c>
      <c r="D44" s="200"/>
      <c r="E44" s="201"/>
      <c r="F44" s="191"/>
      <c r="G44" s="191"/>
      <c r="H44" s="191"/>
      <c r="I44" s="202"/>
    </row>
    <row r="45" spans="1:11" s="176" customFormat="1" ht="29.25" thickBot="1" x14ac:dyDescent="0.25">
      <c r="A45" s="304"/>
      <c r="B45" s="307"/>
      <c r="C45" s="195" t="s">
        <v>742</v>
      </c>
      <c r="D45" s="187" t="s">
        <v>743</v>
      </c>
      <c r="E45" s="188" t="s">
        <v>723</v>
      </c>
      <c r="F45" s="189"/>
      <c r="G45" s="189"/>
      <c r="H45" s="189"/>
      <c r="I45" s="190"/>
      <c r="J45" s="175"/>
    </row>
    <row r="46" spans="1:11" s="175" customFormat="1" ht="15.75" thickBot="1" x14ac:dyDescent="0.3">
      <c r="A46" s="304"/>
      <c r="B46" s="307"/>
      <c r="C46" s="199" t="s">
        <v>799</v>
      </c>
      <c r="D46" s="200"/>
      <c r="E46" s="201"/>
      <c r="F46" s="191"/>
      <c r="G46" s="191"/>
      <c r="H46" s="191"/>
      <c r="I46" s="202"/>
    </row>
    <row r="47" spans="1:11" s="176" customFormat="1" ht="43.5" thickBot="1" x14ac:dyDescent="0.25">
      <c r="A47" s="304"/>
      <c r="B47" s="307"/>
      <c r="C47" s="195" t="s">
        <v>801</v>
      </c>
      <c r="D47" s="187" t="s">
        <v>744</v>
      </c>
      <c r="E47" s="188" t="s">
        <v>723</v>
      </c>
      <c r="F47" s="189"/>
      <c r="G47" s="189"/>
      <c r="H47" s="189"/>
      <c r="I47" s="190"/>
      <c r="J47" s="175"/>
    </row>
    <row r="48" spans="1:11" s="175" customFormat="1" ht="20.25" customHeight="1" thickBot="1" x14ac:dyDescent="0.3">
      <c r="A48" s="304"/>
      <c r="B48" s="307"/>
      <c r="C48" s="199" t="s">
        <v>800</v>
      </c>
      <c r="D48" s="200"/>
      <c r="E48" s="201"/>
      <c r="F48" s="191"/>
      <c r="G48" s="191"/>
      <c r="H48" s="191"/>
      <c r="I48" s="202"/>
    </row>
    <row r="49" spans="1:10" s="176" customFormat="1" ht="29.25" thickBot="1" x14ac:dyDescent="0.25">
      <c r="A49" s="304"/>
      <c r="B49" s="307"/>
      <c r="C49" s="195" t="s">
        <v>745</v>
      </c>
      <c r="D49" s="187" t="s">
        <v>746</v>
      </c>
      <c r="E49" s="188" t="s">
        <v>723</v>
      </c>
      <c r="F49" s="189"/>
      <c r="G49" s="189"/>
      <c r="H49" s="189"/>
      <c r="I49" s="190"/>
      <c r="J49" s="175"/>
    </row>
    <row r="50" spans="1:10" s="175" customFormat="1" ht="20.25" customHeight="1" x14ac:dyDescent="0.25">
      <c r="A50" s="304"/>
      <c r="B50" s="307"/>
      <c r="C50" s="196" t="s">
        <v>802</v>
      </c>
      <c r="D50" s="183"/>
      <c r="E50" s="184"/>
      <c r="F50" s="185"/>
      <c r="G50" s="185"/>
      <c r="H50" s="185"/>
      <c r="I50" s="186"/>
    </row>
    <row r="51" spans="1:10" s="175" customFormat="1" ht="20.25" customHeight="1" thickBot="1" x14ac:dyDescent="0.3">
      <c r="A51" s="304"/>
      <c r="B51" s="307"/>
      <c r="C51" s="198" t="s">
        <v>803</v>
      </c>
      <c r="D51" s="179"/>
      <c r="E51" s="180"/>
      <c r="F51" s="181"/>
      <c r="G51" s="181"/>
      <c r="H51" s="181"/>
      <c r="I51" s="182"/>
    </row>
    <row r="52" spans="1:10" s="176" customFormat="1" ht="43.5" thickBot="1" x14ac:dyDescent="0.25">
      <c r="A52" s="304"/>
      <c r="B52" s="307"/>
      <c r="C52" s="195" t="s">
        <v>747</v>
      </c>
      <c r="D52" s="187" t="s">
        <v>748</v>
      </c>
      <c r="E52" s="188" t="s">
        <v>723</v>
      </c>
      <c r="F52" s="189"/>
      <c r="G52" s="189"/>
      <c r="H52" s="189"/>
      <c r="I52" s="190"/>
      <c r="J52" s="175"/>
    </row>
    <row r="53" spans="1:10" s="175" customFormat="1" ht="15" x14ac:dyDescent="0.25">
      <c r="A53" s="304"/>
      <c r="B53" s="307"/>
      <c r="C53" s="196" t="s">
        <v>804</v>
      </c>
      <c r="D53" s="183"/>
      <c r="E53" s="184"/>
      <c r="F53" s="185"/>
      <c r="G53" s="185"/>
      <c r="H53" s="185"/>
      <c r="I53" s="186"/>
    </row>
    <row r="54" spans="1:10" s="175" customFormat="1" ht="15.75" thickBot="1" x14ac:dyDescent="0.3">
      <c r="A54" s="304"/>
      <c r="B54" s="307"/>
      <c r="C54" s="198" t="s">
        <v>805</v>
      </c>
      <c r="D54" s="179"/>
      <c r="E54" s="180"/>
      <c r="F54" s="181"/>
      <c r="G54" s="181"/>
      <c r="H54" s="181"/>
      <c r="I54" s="182"/>
    </row>
    <row r="55" spans="1:10" s="176" customFormat="1" ht="26.25" thickBot="1" x14ac:dyDescent="0.25">
      <c r="A55" s="304"/>
      <c r="B55" s="307"/>
      <c r="C55" s="204" t="s">
        <v>749</v>
      </c>
      <c r="D55" s="187" t="s">
        <v>750</v>
      </c>
      <c r="E55" s="188" t="s">
        <v>723</v>
      </c>
      <c r="F55" s="189"/>
      <c r="G55" s="189"/>
      <c r="H55" s="189"/>
      <c r="I55" s="190"/>
      <c r="J55" s="175"/>
    </row>
    <row r="56" spans="1:10" s="175" customFormat="1" ht="15.75" thickBot="1" x14ac:dyDescent="0.3">
      <c r="A56" s="304"/>
      <c r="B56" s="307"/>
      <c r="C56" s="199" t="s">
        <v>806</v>
      </c>
      <c r="D56" s="200"/>
      <c r="E56" s="201"/>
      <c r="F56" s="191"/>
      <c r="G56" s="191"/>
      <c r="H56" s="191"/>
      <c r="I56" s="202"/>
      <c r="J56" s="205"/>
    </row>
    <row r="57" spans="1:10" s="176" customFormat="1" ht="28.5" x14ac:dyDescent="0.2">
      <c r="A57" s="304"/>
      <c r="B57" s="307"/>
      <c r="C57" s="209" t="s">
        <v>751</v>
      </c>
      <c r="D57" s="177" t="s">
        <v>752</v>
      </c>
      <c r="E57" s="178" t="s">
        <v>723</v>
      </c>
      <c r="F57" s="299"/>
      <c r="G57" s="299"/>
      <c r="H57" s="299"/>
      <c r="I57" s="301"/>
      <c r="J57" s="175"/>
    </row>
    <row r="58" spans="1:10" s="176" customFormat="1" ht="44.25" customHeight="1" thickBot="1" x14ac:dyDescent="0.25">
      <c r="A58" s="304"/>
      <c r="B58" s="307"/>
      <c r="C58" s="206" t="s">
        <v>753</v>
      </c>
      <c r="D58" s="207" t="s">
        <v>754</v>
      </c>
      <c r="E58" s="208" t="s">
        <v>723</v>
      </c>
      <c r="F58" s="300"/>
      <c r="G58" s="300"/>
      <c r="H58" s="300"/>
      <c r="I58" s="302"/>
      <c r="J58" s="175"/>
    </row>
    <row r="59" spans="1:10" s="175" customFormat="1" ht="30" x14ac:dyDescent="0.25">
      <c r="A59" s="304"/>
      <c r="B59" s="307"/>
      <c r="C59" s="196" t="s">
        <v>807</v>
      </c>
      <c r="D59" s="183"/>
      <c r="E59" s="184"/>
      <c r="F59" s="185"/>
      <c r="G59" s="185">
        <v>1312672</v>
      </c>
      <c r="H59" s="185"/>
      <c r="I59" s="186">
        <f>G59</f>
        <v>1312672</v>
      </c>
    </row>
    <row r="60" spans="1:10" s="175" customFormat="1" ht="30" x14ac:dyDescent="0.25">
      <c r="A60" s="304"/>
      <c r="B60" s="307"/>
      <c r="C60" s="197" t="s">
        <v>808</v>
      </c>
      <c r="D60" s="171"/>
      <c r="E60" s="172"/>
      <c r="F60" s="173"/>
      <c r="G60" s="173"/>
      <c r="H60" s="173"/>
      <c r="I60" s="174"/>
    </row>
    <row r="61" spans="1:10" s="175" customFormat="1" ht="30.75" thickBot="1" x14ac:dyDescent="0.3">
      <c r="A61" s="304"/>
      <c r="B61" s="307"/>
      <c r="C61" s="198" t="s">
        <v>809</v>
      </c>
      <c r="D61" s="179"/>
      <c r="E61" s="180"/>
      <c r="F61" s="181"/>
      <c r="G61" s="181"/>
      <c r="H61" s="181"/>
      <c r="I61" s="182"/>
    </row>
    <row r="62" spans="1:10" s="176" customFormat="1" ht="29.25" thickBot="1" x14ac:dyDescent="0.25">
      <c r="A62" s="304"/>
      <c r="B62" s="307"/>
      <c r="C62" s="195" t="s">
        <v>755</v>
      </c>
      <c r="D62" s="187" t="s">
        <v>756</v>
      </c>
      <c r="E62" s="188" t="s">
        <v>723</v>
      </c>
      <c r="F62" s="189"/>
      <c r="G62" s="189"/>
      <c r="H62" s="189"/>
      <c r="I62" s="190"/>
      <c r="J62" s="175"/>
    </row>
    <row r="63" spans="1:10" s="175" customFormat="1" ht="30.75" thickBot="1" x14ac:dyDescent="0.3">
      <c r="A63" s="304"/>
      <c r="B63" s="307"/>
      <c r="C63" s="199" t="s">
        <v>810</v>
      </c>
      <c r="D63" s="200"/>
      <c r="E63" s="201"/>
      <c r="F63" s="191"/>
      <c r="G63" s="191"/>
      <c r="H63" s="191"/>
      <c r="I63" s="202"/>
    </row>
    <row r="64" spans="1:10" s="176" customFormat="1" ht="28.5" x14ac:dyDescent="0.2">
      <c r="A64" s="304"/>
      <c r="B64" s="307"/>
      <c r="C64" s="209" t="s">
        <v>757</v>
      </c>
      <c r="D64" s="177" t="s">
        <v>758</v>
      </c>
      <c r="E64" s="178" t="s">
        <v>723</v>
      </c>
      <c r="F64" s="299"/>
      <c r="G64" s="299"/>
      <c r="H64" s="299"/>
      <c r="I64" s="301"/>
      <c r="J64" s="175"/>
    </row>
    <row r="65" spans="1:10" s="176" customFormat="1" ht="30" customHeight="1" thickBot="1" x14ac:dyDescent="0.25">
      <c r="A65" s="304"/>
      <c r="B65" s="307"/>
      <c r="C65" s="206" t="s">
        <v>759</v>
      </c>
      <c r="D65" s="207" t="s">
        <v>760</v>
      </c>
      <c r="E65" s="208" t="s">
        <v>723</v>
      </c>
      <c r="F65" s="300"/>
      <c r="G65" s="300"/>
      <c r="H65" s="300"/>
      <c r="I65" s="302"/>
      <c r="J65" s="175"/>
    </row>
    <row r="66" spans="1:10" s="175" customFormat="1" ht="30" x14ac:dyDescent="0.25">
      <c r="A66" s="304"/>
      <c r="B66" s="307"/>
      <c r="C66" s="196" t="s">
        <v>811</v>
      </c>
      <c r="D66" s="183"/>
      <c r="E66" s="184"/>
      <c r="F66" s="185"/>
      <c r="G66" s="185">
        <v>6200614.4000000004</v>
      </c>
      <c r="H66" s="185"/>
      <c r="I66" s="186">
        <v>6200614.4000000004</v>
      </c>
    </row>
    <row r="67" spans="1:10" s="175" customFormat="1" ht="30" x14ac:dyDescent="0.25">
      <c r="A67" s="304"/>
      <c r="B67" s="307"/>
      <c r="C67" s="197" t="s">
        <v>812</v>
      </c>
      <c r="D67" s="171"/>
      <c r="E67" s="172"/>
      <c r="F67" s="173"/>
      <c r="G67" s="173"/>
      <c r="H67" s="173"/>
      <c r="I67" s="174"/>
    </row>
    <row r="68" spans="1:10" s="175" customFormat="1" ht="30.75" thickBot="1" x14ac:dyDescent="0.3">
      <c r="A68" s="304"/>
      <c r="B68" s="307"/>
      <c r="C68" s="198" t="s">
        <v>813</v>
      </c>
      <c r="D68" s="179"/>
      <c r="E68" s="180"/>
      <c r="F68" s="181"/>
      <c r="G68" s="181"/>
      <c r="H68" s="181"/>
      <c r="I68" s="182"/>
    </row>
    <row r="69" spans="1:10" s="176" customFormat="1" ht="29.25" thickBot="1" x14ac:dyDescent="0.25">
      <c r="A69" s="304"/>
      <c r="B69" s="307"/>
      <c r="C69" s="195" t="s">
        <v>761</v>
      </c>
      <c r="D69" s="187" t="s">
        <v>762</v>
      </c>
      <c r="E69" s="188" t="s">
        <v>723</v>
      </c>
      <c r="F69" s="189"/>
      <c r="G69" s="189"/>
      <c r="H69" s="189"/>
      <c r="I69" s="190"/>
      <c r="J69" s="175"/>
    </row>
    <row r="70" spans="1:10" s="175" customFormat="1" ht="30.75" thickBot="1" x14ac:dyDescent="0.3">
      <c r="A70" s="304"/>
      <c r="B70" s="307"/>
      <c r="C70" s="199" t="s">
        <v>814</v>
      </c>
      <c r="D70" s="200"/>
      <c r="E70" s="201"/>
      <c r="F70" s="191"/>
      <c r="G70" s="191"/>
      <c r="H70" s="191"/>
      <c r="I70" s="202"/>
    </row>
    <row r="71" spans="1:10" s="176" customFormat="1" ht="26.25" thickBot="1" x14ac:dyDescent="0.25">
      <c r="A71" s="304"/>
      <c r="B71" s="307"/>
      <c r="C71" s="204" t="s">
        <v>763</v>
      </c>
      <c r="D71" s="187" t="s">
        <v>764</v>
      </c>
      <c r="E71" s="188" t="s">
        <v>723</v>
      </c>
      <c r="F71" s="189"/>
      <c r="G71" s="189"/>
      <c r="H71" s="189"/>
      <c r="I71" s="190"/>
      <c r="J71" s="175"/>
    </row>
    <row r="72" spans="1:10" s="175" customFormat="1" ht="22.5" customHeight="1" thickBot="1" x14ac:dyDescent="0.3">
      <c r="A72" s="304"/>
      <c r="B72" s="307"/>
      <c r="C72" s="199" t="s">
        <v>815</v>
      </c>
      <c r="D72" s="200"/>
      <c r="E72" s="201"/>
      <c r="F72" s="191"/>
      <c r="G72" s="191"/>
      <c r="H72" s="191"/>
      <c r="I72" s="202"/>
    </row>
    <row r="73" spans="1:10" s="176" customFormat="1" ht="26.25" thickBot="1" x14ac:dyDescent="0.25">
      <c r="A73" s="304"/>
      <c r="B73" s="307"/>
      <c r="C73" s="204" t="s">
        <v>765</v>
      </c>
      <c r="D73" s="187" t="s">
        <v>766</v>
      </c>
      <c r="E73" s="188" t="s">
        <v>723</v>
      </c>
      <c r="F73" s="189"/>
      <c r="G73" s="189"/>
      <c r="H73" s="189"/>
      <c r="I73" s="190"/>
      <c r="J73" s="175"/>
    </row>
    <row r="74" spans="1:10" s="175" customFormat="1" ht="22.5" customHeight="1" thickBot="1" x14ac:dyDescent="0.3">
      <c r="A74" s="304"/>
      <c r="B74" s="307"/>
      <c r="C74" s="199" t="s">
        <v>816</v>
      </c>
      <c r="D74" s="200"/>
      <c r="E74" s="201"/>
      <c r="F74" s="191"/>
      <c r="G74" s="191"/>
      <c r="H74" s="191"/>
      <c r="I74" s="202"/>
    </row>
    <row r="75" spans="1:10" s="176" customFormat="1" ht="25.5" x14ac:dyDescent="0.2">
      <c r="A75" s="304"/>
      <c r="B75" s="307"/>
      <c r="C75" s="203" t="s">
        <v>767</v>
      </c>
      <c r="D75" s="177" t="s">
        <v>768</v>
      </c>
      <c r="E75" s="178" t="s">
        <v>723</v>
      </c>
      <c r="F75" s="299"/>
      <c r="G75" s="299"/>
      <c r="H75" s="299"/>
      <c r="I75" s="301"/>
      <c r="J75" s="175"/>
    </row>
    <row r="76" spans="1:10" s="176" customFormat="1" ht="27" customHeight="1" thickBot="1" x14ac:dyDescent="0.25">
      <c r="A76" s="304"/>
      <c r="B76" s="307"/>
      <c r="C76" s="210" t="s">
        <v>769</v>
      </c>
      <c r="D76" s="207" t="s">
        <v>770</v>
      </c>
      <c r="E76" s="208" t="s">
        <v>723</v>
      </c>
      <c r="F76" s="300"/>
      <c r="G76" s="300"/>
      <c r="H76" s="300"/>
      <c r="I76" s="302"/>
      <c r="J76" s="175"/>
    </row>
    <row r="77" spans="1:10" s="175" customFormat="1" ht="20.25" customHeight="1" thickBot="1" x14ac:dyDescent="0.3">
      <c r="A77" s="305"/>
      <c r="B77" s="307"/>
      <c r="C77" s="198" t="s">
        <v>817</v>
      </c>
      <c r="D77" s="179"/>
      <c r="E77" s="180"/>
      <c r="F77" s="181"/>
      <c r="G77" s="181"/>
      <c r="H77" s="181"/>
      <c r="I77" s="182"/>
    </row>
    <row r="78" spans="1:10" ht="30" customHeight="1" x14ac:dyDescent="0.2">
      <c r="A78" s="166">
        <v>2</v>
      </c>
      <c r="B78" s="308" t="s">
        <v>771</v>
      </c>
      <c r="C78" s="309"/>
      <c r="D78" s="309"/>
      <c r="E78" s="309"/>
      <c r="F78" s="309"/>
      <c r="G78" s="309"/>
      <c r="H78" s="309"/>
      <c r="I78" s="167">
        <f>SUM(I11:I77)</f>
        <v>358856298.57999998</v>
      </c>
      <c r="J78" s="168"/>
    </row>
    <row r="79" spans="1:10" ht="30" customHeight="1" x14ac:dyDescent="0.2">
      <c r="A79" s="166">
        <v>3</v>
      </c>
      <c r="B79" s="169" t="s">
        <v>772</v>
      </c>
      <c r="C79" s="289" t="s">
        <v>773</v>
      </c>
      <c r="D79" s="290"/>
      <c r="E79" s="290"/>
      <c r="F79" s="290"/>
      <c r="G79" s="290"/>
      <c r="H79" s="290"/>
      <c r="I79" s="165">
        <f>I78*0.2</f>
        <v>71771259.716000006</v>
      </c>
    </row>
    <row r="80" spans="1:10" ht="22.5" customHeight="1" x14ac:dyDescent="0.2">
      <c r="A80" s="166">
        <v>4</v>
      </c>
      <c r="B80" s="291" t="s">
        <v>774</v>
      </c>
      <c r="C80" s="292"/>
      <c r="D80" s="292"/>
      <c r="E80" s="292"/>
      <c r="F80" s="292"/>
      <c r="G80" s="292"/>
      <c r="H80" s="292"/>
      <c r="I80" s="211">
        <f>I78+I79</f>
        <v>430627558.296</v>
      </c>
    </row>
  </sheetData>
  <autoFilter ref="A9:O80"/>
  <mergeCells count="29">
    <mergeCell ref="B9:B77"/>
    <mergeCell ref="B78:H78"/>
    <mergeCell ref="H1:I1"/>
    <mergeCell ref="A2:I2"/>
    <mergeCell ref="A3:B3"/>
    <mergeCell ref="C3:I3"/>
    <mergeCell ref="A5:B5"/>
    <mergeCell ref="F42:F43"/>
    <mergeCell ref="G42:G43"/>
    <mergeCell ref="H42:H43"/>
    <mergeCell ref="I42:I43"/>
    <mergeCell ref="F75:F76"/>
    <mergeCell ref="G75:G76"/>
    <mergeCell ref="C79:H79"/>
    <mergeCell ref="B80:H80"/>
    <mergeCell ref="A6:B6"/>
    <mergeCell ref="F8:I8"/>
    <mergeCell ref="C10:I10"/>
    <mergeCell ref="F57:F58"/>
    <mergeCell ref="G57:G58"/>
    <mergeCell ref="H57:H58"/>
    <mergeCell ref="I57:I58"/>
    <mergeCell ref="F64:F65"/>
    <mergeCell ref="G64:G65"/>
    <mergeCell ref="H64:H65"/>
    <mergeCell ref="I64:I65"/>
    <mergeCell ref="H75:H76"/>
    <mergeCell ref="I75:I76"/>
    <mergeCell ref="A9:A77"/>
  </mergeCells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BL36"/>
  <sheetViews>
    <sheetView topLeftCell="A28" workbookViewId="0">
      <selection activeCell="K50" sqref="K5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9" width="17.28515625" style="1" customWidth="1"/>
    <col min="10" max="10" width="15.85546875" style="1" customWidth="1"/>
    <col min="11" max="12" width="16.85546875" style="1" customWidth="1"/>
    <col min="13" max="13" width="15.42578125" style="1" customWidth="1"/>
    <col min="14" max="16" width="10.7109375" style="1" customWidth="1"/>
    <col min="17" max="46" width="172.5703125" style="2" hidden="1" customWidth="1"/>
    <col min="47" max="56" width="109.28515625" style="2" hidden="1" customWidth="1"/>
    <col min="57" max="58" width="172.5703125" style="2" hidden="1" customWidth="1"/>
    <col min="59" max="61" width="34.140625" style="2" hidden="1" customWidth="1"/>
    <col min="62" max="64" width="127.5703125" style="2" hidden="1" customWidth="1"/>
    <col min="65" max="16384" width="9.140625" style="1"/>
  </cols>
  <sheetData>
    <row r="1" spans="1:61" s="3" customFormat="1" ht="15" x14ac:dyDescent="0.25">
      <c r="A1" s="88" t="s">
        <v>702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4"/>
    </row>
    <row r="2" spans="1:61" s="3" customFormat="1" ht="29.25" customHeight="1" x14ac:dyDescent="0.25">
      <c r="A2" s="339" t="s">
        <v>0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1" s="3" customFormat="1" ht="15" x14ac:dyDescent="0.25">
      <c r="A3" s="328" t="s">
        <v>2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</row>
    <row r="4" spans="1:61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61" s="3" customFormat="1" ht="15" x14ac:dyDescent="0.25">
      <c r="A5" s="340" t="s">
        <v>311</v>
      </c>
      <c r="B5" s="340"/>
      <c r="C5" s="340"/>
      <c r="D5" s="340"/>
      <c r="E5" s="340"/>
      <c r="F5" s="340"/>
      <c r="G5" s="340"/>
      <c r="H5" s="340"/>
      <c r="I5" s="340"/>
      <c r="J5" s="340"/>
      <c r="K5" s="340"/>
      <c r="L5" s="340"/>
      <c r="M5" s="340"/>
      <c r="AF5" s="6" t="s">
        <v>311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61" s="3" customFormat="1" ht="15.75" customHeight="1" x14ac:dyDescent="0.25">
      <c r="A6" s="328" t="s">
        <v>4</v>
      </c>
      <c r="B6" s="328"/>
      <c r="C6" s="328"/>
      <c r="D6" s="328"/>
      <c r="E6" s="328"/>
      <c r="F6" s="328"/>
      <c r="G6" s="328"/>
      <c r="H6" s="328"/>
      <c r="I6" s="328"/>
      <c r="J6" s="328"/>
      <c r="K6" s="328"/>
      <c r="L6" s="328"/>
      <c r="M6" s="328"/>
    </row>
    <row r="7" spans="1:61" s="3" customFormat="1" ht="30.75" customHeight="1" x14ac:dyDescent="0.25">
      <c r="A7" s="4"/>
      <c r="B7" s="8" t="s">
        <v>5</v>
      </c>
      <c r="C7" s="329" t="s">
        <v>312</v>
      </c>
      <c r="D7" s="329"/>
      <c r="E7" s="329"/>
      <c r="F7" s="329"/>
      <c r="G7" s="329"/>
      <c r="H7" s="11"/>
      <c r="I7" s="11"/>
      <c r="J7" s="9"/>
      <c r="K7" s="9"/>
      <c r="L7" s="9"/>
      <c r="M7" s="9"/>
    </row>
    <row r="8" spans="1:61" s="3" customFormat="1" ht="15.75" thickBot="1" x14ac:dyDescent="0.3">
      <c r="A8" s="13"/>
    </row>
    <row r="9" spans="1:61" s="3" customFormat="1" ht="36" customHeight="1" x14ac:dyDescent="0.25">
      <c r="A9" s="68" t="s">
        <v>7</v>
      </c>
      <c r="B9" s="69" t="s">
        <v>8</v>
      </c>
      <c r="C9" s="335" t="s">
        <v>9</v>
      </c>
      <c r="D9" s="336"/>
      <c r="E9" s="337"/>
      <c r="F9" s="70" t="s">
        <v>10</v>
      </c>
      <c r="G9" s="71" t="s">
        <v>11</v>
      </c>
      <c r="H9" s="72" t="s">
        <v>819</v>
      </c>
      <c r="I9" s="72" t="s">
        <v>820</v>
      </c>
      <c r="J9" s="217" t="s">
        <v>823</v>
      </c>
      <c r="K9" s="72" t="s">
        <v>821</v>
      </c>
      <c r="L9" s="103" t="s">
        <v>822</v>
      </c>
      <c r="M9" s="229" t="s">
        <v>824</v>
      </c>
    </row>
    <row r="10" spans="1:61" s="3" customFormat="1" ht="15.75" thickBot="1" x14ac:dyDescent="0.3">
      <c r="A10" s="83">
        <v>1</v>
      </c>
      <c r="B10" s="84">
        <v>2</v>
      </c>
      <c r="C10" s="355">
        <v>3</v>
      </c>
      <c r="D10" s="356"/>
      <c r="E10" s="357"/>
      <c r="F10" s="85">
        <v>4</v>
      </c>
      <c r="G10" s="84">
        <v>5</v>
      </c>
      <c r="H10" s="113">
        <v>6</v>
      </c>
      <c r="I10" s="104" t="s">
        <v>47</v>
      </c>
      <c r="J10" s="228">
        <v>8</v>
      </c>
      <c r="K10" s="226">
        <v>9</v>
      </c>
      <c r="L10" s="227">
        <v>10</v>
      </c>
      <c r="M10" s="230">
        <v>11</v>
      </c>
    </row>
    <row r="11" spans="1:61" s="3" customFormat="1" ht="15" customHeight="1" x14ac:dyDescent="0.25">
      <c r="A11" s="366" t="s">
        <v>313</v>
      </c>
      <c r="B11" s="354"/>
      <c r="C11" s="354"/>
      <c r="D11" s="354"/>
      <c r="E11" s="354"/>
      <c r="F11" s="354"/>
      <c r="G11" s="354"/>
      <c r="H11" s="89"/>
      <c r="I11" s="89"/>
      <c r="J11" s="89"/>
      <c r="K11" s="89"/>
      <c r="L11" s="89"/>
      <c r="M11" s="132"/>
      <c r="BE11" s="14" t="s">
        <v>313</v>
      </c>
    </row>
    <row r="12" spans="1:61" s="3" customFormat="1" ht="15" customHeight="1" x14ac:dyDescent="0.25">
      <c r="A12" s="320" t="s">
        <v>292</v>
      </c>
      <c r="B12" s="321"/>
      <c r="C12" s="321"/>
      <c r="D12" s="321"/>
      <c r="E12" s="321"/>
      <c r="F12" s="321"/>
      <c r="G12" s="321"/>
      <c r="H12" s="55"/>
      <c r="I12" s="55"/>
      <c r="J12" s="55"/>
      <c r="K12" s="55"/>
      <c r="L12" s="55"/>
      <c r="M12" s="133"/>
      <c r="BE12" s="14"/>
      <c r="BF12" s="15" t="s">
        <v>292</v>
      </c>
    </row>
    <row r="13" spans="1:61" s="3" customFormat="1" ht="23.25" x14ac:dyDescent="0.25">
      <c r="A13" s="74" t="s">
        <v>15</v>
      </c>
      <c r="B13" s="17" t="s">
        <v>249</v>
      </c>
      <c r="C13" s="374" t="s">
        <v>700</v>
      </c>
      <c r="D13" s="319"/>
      <c r="E13" s="319"/>
      <c r="F13" s="16" t="s">
        <v>67</v>
      </c>
      <c r="G13" s="24">
        <v>34.1</v>
      </c>
      <c r="H13" s="24">
        <f>I13/G13</f>
        <v>64873.890909090915</v>
      </c>
      <c r="I13" s="24">
        <v>2212199.6800000002</v>
      </c>
      <c r="J13" s="19">
        <f>I13*1.2</f>
        <v>2654639.6159999999</v>
      </c>
      <c r="K13" s="20"/>
      <c r="L13" s="280"/>
      <c r="M13" s="118"/>
      <c r="BE13" s="14"/>
      <c r="BF13" s="15"/>
      <c r="BG13" s="21" t="s">
        <v>250</v>
      </c>
    </row>
    <row r="14" spans="1:61" s="3" customFormat="1" ht="15" customHeight="1" x14ac:dyDescent="0.25">
      <c r="A14" s="320" t="s">
        <v>293</v>
      </c>
      <c r="B14" s="321"/>
      <c r="C14" s="321"/>
      <c r="D14" s="321"/>
      <c r="E14" s="321"/>
      <c r="F14" s="321"/>
      <c r="G14" s="321"/>
      <c r="H14" s="55"/>
      <c r="I14" s="55"/>
      <c r="J14" s="55"/>
      <c r="K14" s="55"/>
      <c r="L14" s="55"/>
      <c r="M14" s="133"/>
      <c r="BE14" s="14"/>
      <c r="BF14" s="15" t="s">
        <v>293</v>
      </c>
      <c r="BG14" s="21"/>
      <c r="BH14" s="12"/>
      <c r="BI14" s="42"/>
    </row>
    <row r="15" spans="1:61" s="3" customFormat="1" ht="15" customHeight="1" x14ac:dyDescent="0.25">
      <c r="A15" s="320" t="s">
        <v>294</v>
      </c>
      <c r="B15" s="321"/>
      <c r="C15" s="321"/>
      <c r="D15" s="321"/>
      <c r="E15" s="321"/>
      <c r="F15" s="321"/>
      <c r="G15" s="321"/>
      <c r="H15" s="55"/>
      <c r="I15" s="55"/>
      <c r="J15" s="55"/>
      <c r="K15" s="55"/>
      <c r="L15" s="55"/>
      <c r="M15" s="133"/>
      <c r="BE15" s="14"/>
      <c r="BF15" s="15" t="s">
        <v>294</v>
      </c>
      <c r="BG15" s="21"/>
      <c r="BH15" s="12"/>
      <c r="BI15" s="42"/>
    </row>
    <row r="16" spans="1:61" s="3" customFormat="1" ht="15" customHeight="1" x14ac:dyDescent="0.25">
      <c r="A16" s="320" t="s">
        <v>295</v>
      </c>
      <c r="B16" s="321"/>
      <c r="C16" s="321"/>
      <c r="D16" s="321"/>
      <c r="E16" s="321"/>
      <c r="F16" s="321"/>
      <c r="G16" s="321"/>
      <c r="H16" s="55"/>
      <c r="I16" s="55"/>
      <c r="J16" s="55"/>
      <c r="K16" s="55"/>
      <c r="L16" s="55"/>
      <c r="M16" s="133"/>
      <c r="BE16" s="14"/>
      <c r="BF16" s="15" t="s">
        <v>295</v>
      </c>
      <c r="BG16" s="21"/>
      <c r="BH16" s="12"/>
      <c r="BI16" s="42"/>
    </row>
    <row r="17" spans="1:61" s="3" customFormat="1" ht="34.5" x14ac:dyDescent="0.25">
      <c r="A17" s="74" t="s">
        <v>20</v>
      </c>
      <c r="B17" s="17" t="s">
        <v>255</v>
      </c>
      <c r="C17" s="374" t="s">
        <v>701</v>
      </c>
      <c r="D17" s="319"/>
      <c r="E17" s="319"/>
      <c r="F17" s="16" t="s">
        <v>67</v>
      </c>
      <c r="G17" s="24">
        <v>30.3</v>
      </c>
      <c r="H17" s="24">
        <f>I17/G17</f>
        <v>58276.118811881184</v>
      </c>
      <c r="I17" s="24">
        <v>1765766.4</v>
      </c>
      <c r="J17" s="19">
        <f>I17*1.2</f>
        <v>2118919.6799999997</v>
      </c>
      <c r="K17" s="20"/>
      <c r="L17" s="280"/>
      <c r="M17" s="118"/>
      <c r="BE17" s="14"/>
      <c r="BF17" s="15"/>
      <c r="BG17" s="21" t="s">
        <v>256</v>
      </c>
      <c r="BH17" s="12"/>
      <c r="BI17" s="42"/>
    </row>
    <row r="18" spans="1:61" s="3" customFormat="1" ht="15" customHeight="1" x14ac:dyDescent="0.25">
      <c r="A18" s="320" t="s">
        <v>296</v>
      </c>
      <c r="B18" s="321"/>
      <c r="C18" s="321"/>
      <c r="D18" s="321"/>
      <c r="E18" s="321"/>
      <c r="F18" s="321"/>
      <c r="G18" s="321"/>
      <c r="H18" s="55"/>
      <c r="I18" s="55"/>
      <c r="J18" s="55"/>
      <c r="K18" s="55"/>
      <c r="L18" s="55"/>
      <c r="M18" s="133"/>
      <c r="BE18" s="14"/>
      <c r="BF18" s="15" t="s">
        <v>296</v>
      </c>
      <c r="BG18" s="21"/>
      <c r="BH18" s="12"/>
      <c r="BI18" s="42"/>
    </row>
    <row r="19" spans="1:61" s="3" customFormat="1" ht="45.75" x14ac:dyDescent="0.25">
      <c r="A19" s="74" t="s">
        <v>22</v>
      </c>
      <c r="B19" s="17" t="s">
        <v>297</v>
      </c>
      <c r="C19" s="319" t="s">
        <v>298</v>
      </c>
      <c r="D19" s="319"/>
      <c r="E19" s="319"/>
      <c r="F19" s="16" t="s">
        <v>43</v>
      </c>
      <c r="G19" s="30">
        <v>3.4200000000000001E-2</v>
      </c>
      <c r="H19" s="30">
        <f>I19/G19</f>
        <v>72159.064327485379</v>
      </c>
      <c r="I19" s="30">
        <v>2467.84</v>
      </c>
      <c r="J19" s="19">
        <f>I19*1.2</f>
        <v>2961.4079999999999</v>
      </c>
      <c r="K19" s="20"/>
      <c r="L19" s="280"/>
      <c r="M19" s="118"/>
      <c r="BE19" s="14"/>
      <c r="BF19" s="15"/>
      <c r="BG19" s="21" t="s">
        <v>298</v>
      </c>
      <c r="BH19" s="12"/>
      <c r="BI19" s="42"/>
    </row>
    <row r="20" spans="1:61" s="3" customFormat="1" ht="34.5" x14ac:dyDescent="0.25">
      <c r="A20" s="74" t="s">
        <v>27</v>
      </c>
      <c r="B20" s="17" t="s">
        <v>299</v>
      </c>
      <c r="C20" s="319" t="s">
        <v>300</v>
      </c>
      <c r="D20" s="319"/>
      <c r="E20" s="319"/>
      <c r="F20" s="16" t="s">
        <v>122</v>
      </c>
      <c r="G20" s="18">
        <v>3.7999999999999999E-2</v>
      </c>
      <c r="H20" s="30">
        <f>I20/G20</f>
        <v>201094.73684210528</v>
      </c>
      <c r="I20" s="18">
        <v>7641.6</v>
      </c>
      <c r="J20" s="19">
        <f>I20*1.2</f>
        <v>9169.92</v>
      </c>
      <c r="K20" s="20"/>
      <c r="L20" s="280"/>
      <c r="M20" s="118"/>
      <c r="BE20" s="14"/>
      <c r="BF20" s="15"/>
      <c r="BG20" s="21" t="s">
        <v>300</v>
      </c>
      <c r="BH20" s="12"/>
      <c r="BI20" s="42"/>
    </row>
    <row r="21" spans="1:61" s="3" customFormat="1" ht="23.25" customHeight="1" x14ac:dyDescent="0.25">
      <c r="A21" s="320" t="s">
        <v>301</v>
      </c>
      <c r="B21" s="321"/>
      <c r="C21" s="321"/>
      <c r="D21" s="321"/>
      <c r="E21" s="321"/>
      <c r="F21" s="321"/>
      <c r="G21" s="321"/>
      <c r="H21" s="55"/>
      <c r="I21" s="55"/>
      <c r="J21" s="55"/>
      <c r="K21" s="55"/>
      <c r="L21" s="55"/>
      <c r="M21" s="133"/>
      <c r="BE21" s="14"/>
      <c r="BF21" s="15" t="s">
        <v>301</v>
      </c>
      <c r="BG21" s="21"/>
      <c r="BH21" s="12"/>
      <c r="BI21" s="42"/>
    </row>
    <row r="22" spans="1:61" s="3" customFormat="1" ht="34.5" x14ac:dyDescent="0.25">
      <c r="A22" s="74" t="s">
        <v>35</v>
      </c>
      <c r="B22" s="17" t="s">
        <v>302</v>
      </c>
      <c r="C22" s="319" t="s">
        <v>303</v>
      </c>
      <c r="D22" s="319"/>
      <c r="E22" s="319"/>
      <c r="F22" s="16" t="s">
        <v>46</v>
      </c>
      <c r="G22" s="31">
        <v>43.92</v>
      </c>
      <c r="H22" s="31">
        <f>I22/G22</f>
        <v>33859.380692167579</v>
      </c>
      <c r="I22" s="31">
        <v>1487104</v>
      </c>
      <c r="J22" s="19">
        <f>I22*1.2</f>
        <v>1784524.8</v>
      </c>
      <c r="K22" s="20"/>
      <c r="L22" s="280"/>
      <c r="M22" s="118"/>
      <c r="BE22" s="14"/>
      <c r="BF22" s="15"/>
      <c r="BG22" s="21" t="s">
        <v>303</v>
      </c>
      <c r="BH22" s="12"/>
      <c r="BI22" s="42"/>
    </row>
    <row r="23" spans="1:61" s="3" customFormat="1" ht="22.5" x14ac:dyDescent="0.25">
      <c r="A23" s="77"/>
      <c r="B23" s="26" t="s">
        <v>287</v>
      </c>
      <c r="C23" s="338" t="s">
        <v>288</v>
      </c>
      <c r="D23" s="338"/>
      <c r="E23" s="338"/>
      <c r="F23" s="27" t="s">
        <v>46</v>
      </c>
      <c r="G23" s="22" t="s">
        <v>314</v>
      </c>
      <c r="H23" s="22"/>
      <c r="I23" s="22"/>
      <c r="J23" s="28"/>
      <c r="K23" s="28"/>
      <c r="L23" s="28"/>
      <c r="M23" s="119"/>
      <c r="BE23" s="14"/>
      <c r="BF23" s="15"/>
      <c r="BG23" s="21"/>
      <c r="BH23" s="12" t="s">
        <v>288</v>
      </c>
      <c r="BI23" s="42"/>
    </row>
    <row r="24" spans="1:61" s="3" customFormat="1" ht="22.5" x14ac:dyDescent="0.25">
      <c r="A24" s="77"/>
      <c r="B24" s="26" t="s">
        <v>251</v>
      </c>
      <c r="C24" s="338" t="s">
        <v>252</v>
      </c>
      <c r="D24" s="338"/>
      <c r="E24" s="338"/>
      <c r="F24" s="27" t="s">
        <v>46</v>
      </c>
      <c r="G24" s="22" t="s">
        <v>315</v>
      </c>
      <c r="H24" s="22"/>
      <c r="I24" s="22"/>
      <c r="J24" s="28"/>
      <c r="K24" s="28"/>
      <c r="L24" s="28"/>
      <c r="M24" s="119"/>
      <c r="BE24" s="14"/>
      <c r="BF24" s="15"/>
      <c r="BG24" s="21"/>
      <c r="BH24" s="12" t="s">
        <v>252</v>
      </c>
      <c r="BI24" s="42"/>
    </row>
    <row r="25" spans="1:61" s="3" customFormat="1" ht="45.75" x14ac:dyDescent="0.25">
      <c r="A25" s="74" t="s">
        <v>40</v>
      </c>
      <c r="B25" s="17" t="s">
        <v>306</v>
      </c>
      <c r="C25" s="319" t="s">
        <v>307</v>
      </c>
      <c r="D25" s="319"/>
      <c r="E25" s="319"/>
      <c r="F25" s="16" t="s">
        <v>46</v>
      </c>
      <c r="G25" s="31">
        <v>4.88</v>
      </c>
      <c r="H25" s="31">
        <f>I25/G25</f>
        <v>119033.96721311475</v>
      </c>
      <c r="I25" s="31">
        <v>580885.76000000001</v>
      </c>
      <c r="J25" s="19">
        <f>I25*1.2</f>
        <v>697062.91200000001</v>
      </c>
      <c r="K25" s="20"/>
      <c r="L25" s="280"/>
      <c r="M25" s="118"/>
      <c r="BE25" s="14"/>
      <c r="BF25" s="15"/>
      <c r="BG25" s="21" t="s">
        <v>307</v>
      </c>
      <c r="BH25" s="12"/>
      <c r="BI25" s="42"/>
    </row>
    <row r="26" spans="1:61" s="3" customFormat="1" ht="22.5" x14ac:dyDescent="0.25">
      <c r="A26" s="77"/>
      <c r="B26" s="26" t="s">
        <v>287</v>
      </c>
      <c r="C26" s="338" t="s">
        <v>288</v>
      </c>
      <c r="D26" s="338"/>
      <c r="E26" s="338"/>
      <c r="F26" s="27" t="s">
        <v>46</v>
      </c>
      <c r="G26" s="22" t="s">
        <v>316</v>
      </c>
      <c r="H26" s="22"/>
      <c r="I26" s="22"/>
      <c r="J26" s="28"/>
      <c r="K26" s="28"/>
      <c r="L26" s="28"/>
      <c r="M26" s="119"/>
      <c r="BE26" s="14"/>
      <c r="BF26" s="15"/>
      <c r="BG26" s="21"/>
      <c r="BH26" s="12" t="s">
        <v>288</v>
      </c>
      <c r="BI26" s="42"/>
    </row>
    <row r="27" spans="1:61" s="3" customFormat="1" ht="22.5" x14ac:dyDescent="0.25">
      <c r="A27" s="77"/>
      <c r="B27" s="26" t="s">
        <v>251</v>
      </c>
      <c r="C27" s="338" t="s">
        <v>252</v>
      </c>
      <c r="D27" s="338"/>
      <c r="E27" s="338"/>
      <c r="F27" s="27" t="s">
        <v>46</v>
      </c>
      <c r="G27" s="22" t="s">
        <v>317</v>
      </c>
      <c r="H27" s="22"/>
      <c r="I27" s="22"/>
      <c r="J27" s="28"/>
      <c r="K27" s="28"/>
      <c r="L27" s="28"/>
      <c r="M27" s="119"/>
      <c r="BE27" s="14"/>
      <c r="BF27" s="15"/>
      <c r="BG27" s="21"/>
      <c r="BH27" s="12" t="s">
        <v>252</v>
      </c>
      <c r="BI27" s="42"/>
    </row>
    <row r="28" spans="1:61" s="3" customFormat="1" ht="22.5" customHeight="1" x14ac:dyDescent="0.25">
      <c r="A28" s="320" t="s">
        <v>310</v>
      </c>
      <c r="B28" s="321"/>
      <c r="C28" s="321"/>
      <c r="D28" s="321"/>
      <c r="E28" s="321"/>
      <c r="F28" s="321"/>
      <c r="G28" s="321"/>
      <c r="H28" s="55"/>
      <c r="I28" s="55"/>
      <c r="J28" s="55"/>
      <c r="K28" s="55"/>
      <c r="L28" s="55"/>
      <c r="M28" s="133"/>
      <c r="BE28" s="14"/>
      <c r="BF28" s="15" t="s">
        <v>310</v>
      </c>
      <c r="BG28" s="21"/>
      <c r="BH28" s="12"/>
      <c r="BI28" s="42"/>
    </row>
    <row r="29" spans="1:61" s="3" customFormat="1" ht="45.75" x14ac:dyDescent="0.25">
      <c r="A29" s="74" t="s">
        <v>47</v>
      </c>
      <c r="B29" s="17" t="s">
        <v>245</v>
      </c>
      <c r="C29" s="319" t="s">
        <v>246</v>
      </c>
      <c r="D29" s="319"/>
      <c r="E29" s="319"/>
      <c r="F29" s="16" t="s">
        <v>43</v>
      </c>
      <c r="G29" s="18">
        <v>3.7999999999999999E-2</v>
      </c>
      <c r="H29" s="18">
        <f>I29/G29</f>
        <v>19031.578947368424</v>
      </c>
      <c r="I29" s="18">
        <v>723.2</v>
      </c>
      <c r="J29" s="19">
        <f>I29*1.2</f>
        <v>867.84</v>
      </c>
      <c r="K29" s="20"/>
      <c r="L29" s="280"/>
      <c r="M29" s="118"/>
      <c r="BE29" s="14"/>
      <c r="BF29" s="15"/>
      <c r="BG29" s="21" t="s">
        <v>246</v>
      </c>
      <c r="BH29" s="12"/>
      <c r="BI29" s="42"/>
    </row>
    <row r="30" spans="1:61" s="3" customFormat="1" ht="45.75" x14ac:dyDescent="0.25">
      <c r="A30" s="74" t="s">
        <v>52</v>
      </c>
      <c r="B30" s="17" t="s">
        <v>93</v>
      </c>
      <c r="C30" s="319" t="s">
        <v>94</v>
      </c>
      <c r="D30" s="319"/>
      <c r="E30" s="319"/>
      <c r="F30" s="16" t="s">
        <v>50</v>
      </c>
      <c r="G30" s="24">
        <v>159.4</v>
      </c>
      <c r="H30" s="24">
        <f>I30/G30</f>
        <v>70.697114178168135</v>
      </c>
      <c r="I30" s="24">
        <v>11269.12</v>
      </c>
      <c r="J30" s="19">
        <f t="shared" ref="J30:J31" si="0">I30*1.2</f>
        <v>13522.944000000001</v>
      </c>
      <c r="K30" s="20"/>
      <c r="L30" s="280"/>
      <c r="M30" s="118"/>
      <c r="BE30" s="14"/>
      <c r="BF30" s="15"/>
      <c r="BG30" s="21" t="s">
        <v>94</v>
      </c>
      <c r="BH30" s="12"/>
      <c r="BI30" s="42"/>
    </row>
    <row r="31" spans="1:61" s="3" customFormat="1" ht="45.75" x14ac:dyDescent="0.25">
      <c r="A31" s="74" t="s">
        <v>55</v>
      </c>
      <c r="B31" s="17" t="s">
        <v>48</v>
      </c>
      <c r="C31" s="319" t="s">
        <v>49</v>
      </c>
      <c r="D31" s="319"/>
      <c r="E31" s="319"/>
      <c r="F31" s="16" t="s">
        <v>50</v>
      </c>
      <c r="G31" s="24">
        <v>159.4</v>
      </c>
      <c r="H31" s="24">
        <f>I31/G31</f>
        <v>831.59849435382671</v>
      </c>
      <c r="I31" s="24">
        <v>132556.79999999999</v>
      </c>
      <c r="J31" s="19">
        <f t="shared" si="0"/>
        <v>159068.15999999997</v>
      </c>
      <c r="K31" s="20"/>
      <c r="L31" s="280"/>
      <c r="M31" s="118"/>
      <c r="BE31" s="14"/>
      <c r="BF31" s="15"/>
      <c r="BG31" s="21" t="s">
        <v>49</v>
      </c>
      <c r="BH31" s="12"/>
      <c r="BI31" s="42"/>
    </row>
    <row r="32" spans="1:61" s="3" customFormat="1" ht="20.25" customHeight="1" x14ac:dyDescent="0.25">
      <c r="A32" s="330" t="s">
        <v>57</v>
      </c>
      <c r="B32" s="331"/>
      <c r="C32" s="331"/>
      <c r="D32" s="331"/>
      <c r="E32" s="331"/>
      <c r="F32" s="331"/>
      <c r="G32" s="331"/>
      <c r="H32" s="60"/>
      <c r="I32" s="281">
        <f>SUM(I13:I31)</f>
        <v>6200614.3999999994</v>
      </c>
      <c r="J32" s="223">
        <f>SUM(J13:J31)</f>
        <v>7440737.2799999993</v>
      </c>
      <c r="K32" s="66"/>
      <c r="L32" s="235">
        <f>SUM(L13:L31)</f>
        <v>0</v>
      </c>
      <c r="M32" s="273">
        <f>SUM(M13:M31)</f>
        <v>0</v>
      </c>
    </row>
    <row r="33" spans="1:64" s="48" customFormat="1" ht="20.25" customHeight="1" thickBot="1" x14ac:dyDescent="0.3">
      <c r="A33" s="332" t="s">
        <v>825</v>
      </c>
      <c r="B33" s="333"/>
      <c r="C33" s="333"/>
      <c r="D33" s="333"/>
      <c r="E33" s="333"/>
      <c r="F33" s="333"/>
      <c r="G33" s="333"/>
      <c r="H33" s="82"/>
      <c r="I33" s="322">
        <f>I32+L32</f>
        <v>6200614.3999999994</v>
      </c>
      <c r="J33" s="323"/>
      <c r="K33" s="323"/>
      <c r="L33" s="323"/>
      <c r="M33" s="324"/>
    </row>
    <row r="34" spans="1:64" s="48" customFormat="1" ht="20.25" customHeight="1" thickBot="1" x14ac:dyDescent="0.3">
      <c r="A34" s="332" t="s">
        <v>826</v>
      </c>
      <c r="B34" s="333"/>
      <c r="C34" s="333"/>
      <c r="D34" s="333"/>
      <c r="E34" s="333"/>
      <c r="F34" s="333"/>
      <c r="G34" s="333"/>
      <c r="H34" s="82"/>
      <c r="I34" s="359">
        <f>J32+M32</f>
        <v>7440737.2799999993</v>
      </c>
      <c r="J34" s="360"/>
      <c r="K34" s="360"/>
      <c r="L34" s="360"/>
      <c r="M34" s="361"/>
    </row>
    <row r="35" spans="1:64" s="10" customFormat="1" ht="13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34"/>
      <c r="K35" s="8"/>
      <c r="L35" s="8"/>
      <c r="M35" s="8"/>
      <c r="N35" s="3"/>
      <c r="O35" s="3"/>
      <c r="P35" s="51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64" s="3" customFormat="1" ht="15" x14ac:dyDescent="0.25">
      <c r="A36" s="4"/>
      <c r="B36" s="4"/>
      <c r="C36" s="4"/>
      <c r="D36" s="4"/>
      <c r="E36" s="4"/>
      <c r="F36" s="4"/>
      <c r="G36" s="4"/>
      <c r="H36" s="4"/>
      <c r="I36" s="4"/>
      <c r="J36" s="35"/>
      <c r="K36" s="4"/>
      <c r="L36" s="4"/>
      <c r="M36" s="4"/>
      <c r="P36" s="51"/>
    </row>
  </sheetData>
  <autoFilter ref="A10:BR34">
    <filterColumn colId="2" showButton="0"/>
    <filterColumn colId="3" showButton="0"/>
  </autoFilter>
  <mergeCells count="33">
    <mergeCell ref="A34:G34"/>
    <mergeCell ref="I34:M34"/>
    <mergeCell ref="A6:M6"/>
    <mergeCell ref="C7:G7"/>
    <mergeCell ref="A2:M2"/>
    <mergeCell ref="A3:M3"/>
    <mergeCell ref="A5:M5"/>
    <mergeCell ref="A16:G16"/>
    <mergeCell ref="A15:G15"/>
    <mergeCell ref="A14:G14"/>
    <mergeCell ref="C13:E13"/>
    <mergeCell ref="C9:E9"/>
    <mergeCell ref="C10:E10"/>
    <mergeCell ref="A11:G11"/>
    <mergeCell ref="A12:G12"/>
    <mergeCell ref="C19:E19"/>
    <mergeCell ref="C20:E20"/>
    <mergeCell ref="A21:G21"/>
    <mergeCell ref="A18:G18"/>
    <mergeCell ref="C17:E17"/>
    <mergeCell ref="C22:E22"/>
    <mergeCell ref="C23:E23"/>
    <mergeCell ref="C24:E24"/>
    <mergeCell ref="C25:E25"/>
    <mergeCell ref="C26:E26"/>
    <mergeCell ref="A32:G32"/>
    <mergeCell ref="I33:M33"/>
    <mergeCell ref="A33:G33"/>
    <mergeCell ref="C27:E27"/>
    <mergeCell ref="C29:E29"/>
    <mergeCell ref="C30:E30"/>
    <mergeCell ref="C31:E31"/>
    <mergeCell ref="A28:G28"/>
  </mergeCells>
  <printOptions horizontalCentered="1"/>
  <pageMargins left="0.39370077848434498" right="0.39370077848434498" top="0.35433071851730302" bottom="0.31496062874794001" header="0.118110239505768" footer="0.118110239505768"/>
  <pageSetup paperSize="9" scale="85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N34"/>
  <sheetViews>
    <sheetView zoomScaleNormal="100" workbookViewId="0">
      <selection activeCell="F19" sqref="F19"/>
    </sheetView>
  </sheetViews>
  <sheetFormatPr defaultColWidth="9.140625" defaultRowHeight="11.25" customHeight="1" x14ac:dyDescent="0.2"/>
  <cols>
    <col min="1" max="1" width="9" style="1" customWidth="1"/>
    <col min="2" max="2" width="15.7109375" style="1" customWidth="1"/>
    <col min="3" max="4" width="10.42578125" style="1" customWidth="1"/>
    <col min="5" max="5" width="28.85546875" style="1" customWidth="1"/>
    <col min="6" max="7" width="10.7109375" style="1" customWidth="1"/>
    <col min="8" max="8" width="15.140625" style="49" customWidth="1"/>
    <col min="9" max="9" width="14.5703125" style="1" customWidth="1"/>
    <col min="10" max="10" width="14.5703125" style="243" customWidth="1"/>
    <col min="11" max="11" width="18.7109375" style="67" customWidth="1"/>
    <col min="12" max="12" width="16.85546875" style="67" customWidth="1"/>
    <col min="13" max="13" width="16.85546875" style="254" customWidth="1"/>
    <col min="14" max="14" width="13" style="49" customWidth="1"/>
    <col min="15" max="16384" width="9.140625" style="1"/>
  </cols>
  <sheetData>
    <row r="1" spans="1:14" s="3" customFormat="1" ht="15" x14ac:dyDescent="0.25">
      <c r="A1" s="88" t="s">
        <v>618</v>
      </c>
      <c r="B1" s="4"/>
      <c r="C1" s="4"/>
      <c r="D1" s="4"/>
      <c r="E1" s="4"/>
      <c r="F1" s="4"/>
      <c r="G1" s="4"/>
      <c r="H1" s="49"/>
      <c r="I1" s="4"/>
      <c r="J1" s="236"/>
      <c r="K1" s="62"/>
      <c r="L1" s="62"/>
      <c r="M1" s="244"/>
      <c r="N1" s="51"/>
    </row>
    <row r="2" spans="1:14" s="3" customFormat="1" ht="30.75" customHeight="1" x14ac:dyDescent="0.25">
      <c r="A2" s="339" t="s">
        <v>0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51"/>
    </row>
    <row r="3" spans="1:14" s="3" customFormat="1" ht="15" x14ac:dyDescent="0.25">
      <c r="A3" s="328" t="s">
        <v>2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51"/>
    </row>
    <row r="4" spans="1:14" s="3" customFormat="1" ht="15" x14ac:dyDescent="0.25">
      <c r="A4" s="340" t="s">
        <v>3</v>
      </c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  <c r="N4" s="51"/>
    </row>
    <row r="5" spans="1:14" s="3" customFormat="1" ht="15.75" customHeight="1" x14ac:dyDescent="0.25">
      <c r="A5" s="328" t="s">
        <v>4</v>
      </c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328"/>
      <c r="M5" s="328"/>
      <c r="N5" s="51"/>
    </row>
    <row r="6" spans="1:14" s="3" customFormat="1" ht="15" x14ac:dyDescent="0.25">
      <c r="A6" s="4"/>
      <c r="B6" s="8" t="s">
        <v>5</v>
      </c>
      <c r="C6" s="329" t="s">
        <v>6</v>
      </c>
      <c r="D6" s="329"/>
      <c r="E6" s="329"/>
      <c r="F6" s="329"/>
      <c r="G6" s="329"/>
      <c r="H6" s="50"/>
      <c r="I6" s="9"/>
      <c r="J6" s="237"/>
      <c r="K6" s="63"/>
      <c r="L6" s="63"/>
      <c r="M6" s="245"/>
      <c r="N6" s="51"/>
    </row>
    <row r="7" spans="1:14" s="3" customFormat="1" ht="6" customHeight="1" thickBot="1" x14ac:dyDescent="0.3">
      <c r="A7" s="13"/>
      <c r="H7" s="51"/>
      <c r="J7" s="238"/>
      <c r="K7" s="64"/>
      <c r="L7" s="64"/>
      <c r="M7" s="246"/>
      <c r="N7" s="51"/>
    </row>
    <row r="8" spans="1:14" s="3" customFormat="1" ht="36" customHeight="1" x14ac:dyDescent="0.25">
      <c r="A8" s="68" t="s">
        <v>7</v>
      </c>
      <c r="B8" s="69" t="s">
        <v>8</v>
      </c>
      <c r="C8" s="335" t="s">
        <v>9</v>
      </c>
      <c r="D8" s="336"/>
      <c r="E8" s="337"/>
      <c r="F8" s="70" t="s">
        <v>10</v>
      </c>
      <c r="G8" s="71" t="s">
        <v>11</v>
      </c>
      <c r="H8" s="72" t="s">
        <v>819</v>
      </c>
      <c r="I8" s="72" t="s">
        <v>820</v>
      </c>
      <c r="J8" s="217" t="s">
        <v>823</v>
      </c>
      <c r="K8" s="72" t="s">
        <v>821</v>
      </c>
      <c r="L8" s="103" t="s">
        <v>822</v>
      </c>
      <c r="M8" s="229" t="s">
        <v>824</v>
      </c>
      <c r="N8" s="51"/>
    </row>
    <row r="9" spans="1:14" s="3" customFormat="1" ht="15.75" thickBot="1" x14ac:dyDescent="0.3">
      <c r="A9" s="83">
        <v>1</v>
      </c>
      <c r="B9" s="84">
        <v>2</v>
      </c>
      <c r="C9" s="344">
        <v>3</v>
      </c>
      <c r="D9" s="344"/>
      <c r="E9" s="344"/>
      <c r="F9" s="85">
        <v>4</v>
      </c>
      <c r="G9" s="84">
        <v>5</v>
      </c>
      <c r="H9" s="84">
        <v>6</v>
      </c>
      <c r="I9" s="86" t="s">
        <v>47</v>
      </c>
      <c r="J9" s="86" t="s">
        <v>52</v>
      </c>
      <c r="K9" s="86" t="s">
        <v>55</v>
      </c>
      <c r="L9" s="86" t="s">
        <v>56</v>
      </c>
      <c r="M9" s="86" t="s">
        <v>163</v>
      </c>
      <c r="N9" s="51"/>
    </row>
    <row r="10" spans="1:14" s="3" customFormat="1" ht="15" x14ac:dyDescent="0.25">
      <c r="A10" s="341" t="s">
        <v>12</v>
      </c>
      <c r="B10" s="342"/>
      <c r="C10" s="342"/>
      <c r="D10" s="342"/>
      <c r="E10" s="342"/>
      <c r="F10" s="342"/>
      <c r="G10" s="342"/>
      <c r="H10" s="342"/>
      <c r="I10" s="342"/>
      <c r="J10" s="342"/>
      <c r="K10" s="342"/>
      <c r="L10" s="342"/>
      <c r="M10" s="343"/>
      <c r="N10" s="51"/>
    </row>
    <row r="11" spans="1:14" s="3" customFormat="1" ht="15" customHeight="1" x14ac:dyDescent="0.25">
      <c r="A11" s="320" t="s">
        <v>13</v>
      </c>
      <c r="B11" s="321"/>
      <c r="C11" s="321"/>
      <c r="D11" s="321"/>
      <c r="E11" s="321"/>
      <c r="F11" s="321"/>
      <c r="G11" s="55"/>
      <c r="H11" s="55"/>
      <c r="I11" s="55"/>
      <c r="J11" s="240"/>
      <c r="K11" s="65"/>
      <c r="L11" s="73"/>
      <c r="M11" s="248"/>
      <c r="N11" s="51"/>
    </row>
    <row r="12" spans="1:14" s="3" customFormat="1" ht="15" customHeight="1" x14ac:dyDescent="0.25">
      <c r="A12" s="320" t="s">
        <v>14</v>
      </c>
      <c r="B12" s="321"/>
      <c r="C12" s="321"/>
      <c r="D12" s="321"/>
      <c r="E12" s="321"/>
      <c r="F12" s="321"/>
      <c r="G12" s="55"/>
      <c r="H12" s="55"/>
      <c r="I12" s="55"/>
      <c r="J12" s="240"/>
      <c r="K12" s="65"/>
      <c r="L12" s="73"/>
      <c r="M12" s="248"/>
      <c r="N12" s="51"/>
    </row>
    <row r="13" spans="1:14" s="3" customFormat="1" ht="25.5" customHeight="1" x14ac:dyDescent="0.25">
      <c r="A13" s="74" t="s">
        <v>15</v>
      </c>
      <c r="B13" s="17" t="s">
        <v>16</v>
      </c>
      <c r="C13" s="319" t="s">
        <v>17</v>
      </c>
      <c r="D13" s="319"/>
      <c r="E13" s="319"/>
      <c r="F13" s="16" t="s">
        <v>18</v>
      </c>
      <c r="G13" s="18">
        <v>0.46200000000000002</v>
      </c>
      <c r="H13" s="52">
        <v>512038.79</v>
      </c>
      <c r="I13" s="19">
        <v>236561.92000000001</v>
      </c>
      <c r="J13" s="220">
        <f>I13*1.2</f>
        <v>283874.304</v>
      </c>
      <c r="K13" s="52"/>
      <c r="L13" s="75"/>
      <c r="M13" s="249"/>
      <c r="N13" s="51"/>
    </row>
    <row r="14" spans="1:14" s="3" customFormat="1" ht="15" customHeight="1" x14ac:dyDescent="0.25">
      <c r="A14" s="320" t="s">
        <v>19</v>
      </c>
      <c r="B14" s="321"/>
      <c r="C14" s="321"/>
      <c r="D14" s="321"/>
      <c r="E14" s="321"/>
      <c r="F14" s="321"/>
      <c r="G14" s="57"/>
      <c r="H14" s="58"/>
      <c r="I14" s="57"/>
      <c r="J14" s="241"/>
      <c r="K14" s="58"/>
      <c r="L14" s="76"/>
      <c r="M14" s="250"/>
      <c r="N14" s="51"/>
    </row>
    <row r="15" spans="1:14" s="3" customFormat="1" ht="25.5" customHeight="1" x14ac:dyDescent="0.25">
      <c r="A15" s="74" t="s">
        <v>20</v>
      </c>
      <c r="B15" s="17" t="s">
        <v>16</v>
      </c>
      <c r="C15" s="319" t="s">
        <v>17</v>
      </c>
      <c r="D15" s="319"/>
      <c r="E15" s="319"/>
      <c r="F15" s="16" t="s">
        <v>18</v>
      </c>
      <c r="G15" s="18">
        <v>1.454</v>
      </c>
      <c r="H15" s="52">
        <v>512042.26</v>
      </c>
      <c r="I15" s="19">
        <v>744509.43999999994</v>
      </c>
      <c r="J15" s="220">
        <f>I15*1.2</f>
        <v>893411.32799999986</v>
      </c>
      <c r="K15" s="52"/>
      <c r="L15" s="75"/>
      <c r="M15" s="249"/>
      <c r="N15" s="51"/>
    </row>
    <row r="16" spans="1:14" s="3" customFormat="1" ht="15" customHeight="1" x14ac:dyDescent="0.25">
      <c r="A16" s="320" t="s">
        <v>21</v>
      </c>
      <c r="B16" s="321"/>
      <c r="C16" s="321"/>
      <c r="D16" s="321"/>
      <c r="E16" s="321"/>
      <c r="F16" s="321"/>
      <c r="G16" s="57"/>
      <c r="H16" s="58"/>
      <c r="I16" s="57"/>
      <c r="J16" s="241"/>
      <c r="K16" s="58"/>
      <c r="L16" s="76"/>
      <c r="M16" s="250"/>
      <c r="N16" s="51"/>
    </row>
    <row r="17" spans="1:14" s="3" customFormat="1" ht="21.75" customHeight="1" x14ac:dyDescent="0.25">
      <c r="A17" s="74" t="s">
        <v>22</v>
      </c>
      <c r="B17" s="17" t="s">
        <v>23</v>
      </c>
      <c r="C17" s="319" t="s">
        <v>24</v>
      </c>
      <c r="D17" s="319"/>
      <c r="E17" s="319"/>
      <c r="F17" s="16" t="s">
        <v>25</v>
      </c>
      <c r="G17" s="23">
        <v>15</v>
      </c>
      <c r="H17" s="52">
        <v>131494.99</v>
      </c>
      <c r="I17" s="19">
        <v>1972424.96</v>
      </c>
      <c r="J17" s="220">
        <f>I17*1.2</f>
        <v>2366909.952</v>
      </c>
      <c r="K17" s="52"/>
      <c r="L17" s="75"/>
      <c r="M17" s="249"/>
      <c r="N17" s="51"/>
    </row>
    <row r="18" spans="1:14" s="3" customFormat="1" ht="15" customHeight="1" x14ac:dyDescent="0.25">
      <c r="A18" s="320" t="s">
        <v>26</v>
      </c>
      <c r="B18" s="321"/>
      <c r="C18" s="321"/>
      <c r="D18" s="321"/>
      <c r="E18" s="321"/>
      <c r="F18" s="321"/>
      <c r="G18" s="57"/>
      <c r="H18" s="58"/>
      <c r="I18" s="57"/>
      <c r="J18" s="241"/>
      <c r="K18" s="58"/>
      <c r="L18" s="76"/>
      <c r="M18" s="250"/>
      <c r="N18" s="51"/>
    </row>
    <row r="19" spans="1:14" s="3" customFormat="1" ht="30" customHeight="1" x14ac:dyDescent="0.25">
      <c r="A19" s="74" t="s">
        <v>27</v>
      </c>
      <c r="B19" s="17" t="s">
        <v>28</v>
      </c>
      <c r="C19" s="319" t="s">
        <v>29</v>
      </c>
      <c r="D19" s="319"/>
      <c r="E19" s="319"/>
      <c r="F19" s="16" t="s">
        <v>30</v>
      </c>
      <c r="G19" s="24">
        <v>0.1</v>
      </c>
      <c r="H19" s="52">
        <v>304537.59999999998</v>
      </c>
      <c r="I19" s="19">
        <v>30453.759999999998</v>
      </c>
      <c r="J19" s="220">
        <f>I19*1.2</f>
        <v>36544.511999999995</v>
      </c>
      <c r="K19" s="52"/>
      <c r="L19" s="75"/>
      <c r="M19" s="249"/>
      <c r="N19" s="51"/>
    </row>
    <row r="20" spans="1:14" s="3" customFormat="1" ht="15" customHeight="1" x14ac:dyDescent="0.25">
      <c r="A20" s="320" t="s">
        <v>34</v>
      </c>
      <c r="B20" s="321"/>
      <c r="C20" s="321"/>
      <c r="D20" s="321"/>
      <c r="E20" s="321"/>
      <c r="F20" s="321"/>
      <c r="G20" s="57"/>
      <c r="H20" s="58"/>
      <c r="I20" s="57"/>
      <c r="J20" s="241"/>
      <c r="K20" s="58"/>
      <c r="L20" s="76"/>
      <c r="M20" s="250"/>
      <c r="N20" s="51"/>
    </row>
    <row r="21" spans="1:14" s="3" customFormat="1" ht="18.75" customHeight="1" x14ac:dyDescent="0.25">
      <c r="A21" s="74" t="s">
        <v>35</v>
      </c>
      <c r="B21" s="17" t="s">
        <v>36</v>
      </c>
      <c r="C21" s="319" t="s">
        <v>37</v>
      </c>
      <c r="D21" s="319"/>
      <c r="E21" s="319"/>
      <c r="F21" s="16" t="s">
        <v>38</v>
      </c>
      <c r="G21" s="23">
        <v>10</v>
      </c>
      <c r="H21" s="52">
        <v>211532.79999999999</v>
      </c>
      <c r="I21" s="19">
        <v>2115328</v>
      </c>
      <c r="J21" s="220">
        <f>I21*1.2</f>
        <v>2538393.6000000001</v>
      </c>
      <c r="K21" s="52"/>
      <c r="L21" s="75"/>
      <c r="M21" s="249"/>
      <c r="N21" s="51"/>
    </row>
    <row r="22" spans="1:14" s="3" customFormat="1" ht="15" customHeight="1" x14ac:dyDescent="0.25">
      <c r="A22" s="320" t="s">
        <v>39</v>
      </c>
      <c r="B22" s="321"/>
      <c r="C22" s="321"/>
      <c r="D22" s="321"/>
      <c r="E22" s="321"/>
      <c r="F22" s="321"/>
      <c r="G22" s="57"/>
      <c r="H22" s="58"/>
      <c r="I22" s="57"/>
      <c r="J22" s="241"/>
      <c r="K22" s="58"/>
      <c r="L22" s="76"/>
      <c r="M22" s="250"/>
      <c r="N22" s="51"/>
    </row>
    <row r="23" spans="1:14" s="3" customFormat="1" ht="34.5" customHeight="1" x14ac:dyDescent="0.25">
      <c r="A23" s="74" t="s">
        <v>40</v>
      </c>
      <c r="B23" s="17" t="s">
        <v>41</v>
      </c>
      <c r="C23" s="319" t="s">
        <v>42</v>
      </c>
      <c r="D23" s="319"/>
      <c r="E23" s="319"/>
      <c r="F23" s="16" t="s">
        <v>43</v>
      </c>
      <c r="G23" s="24">
        <v>0.2</v>
      </c>
      <c r="H23" s="52">
        <v>79692.800000000003</v>
      </c>
      <c r="I23" s="19">
        <v>15938.56</v>
      </c>
      <c r="J23" s="220">
        <f>I23*1.2</f>
        <v>19126.271999999997</v>
      </c>
      <c r="K23" s="52"/>
      <c r="L23" s="75"/>
      <c r="M23" s="249"/>
      <c r="N23" s="51"/>
    </row>
    <row r="24" spans="1:14" s="3" customFormat="1" ht="22.5" customHeight="1" x14ac:dyDescent="0.25">
      <c r="A24" s="77"/>
      <c r="B24" s="26" t="s">
        <v>44</v>
      </c>
      <c r="C24" s="338" t="s">
        <v>45</v>
      </c>
      <c r="D24" s="338"/>
      <c r="E24" s="338"/>
      <c r="F24" s="27" t="s">
        <v>46</v>
      </c>
      <c r="G24" s="44" t="s">
        <v>617</v>
      </c>
      <c r="H24" s="52"/>
      <c r="I24" s="28"/>
      <c r="J24" s="221"/>
      <c r="K24" s="52">
        <v>1636.77</v>
      </c>
      <c r="L24" s="78">
        <f>1636.77*0.004</f>
        <v>6.5470800000000002</v>
      </c>
      <c r="M24" s="251">
        <f>L24*1.2</f>
        <v>7.8564959999999999</v>
      </c>
      <c r="N24" s="51"/>
    </row>
    <row r="25" spans="1:14" s="3" customFormat="1" ht="35.25" customHeight="1" x14ac:dyDescent="0.25">
      <c r="A25" s="74" t="s">
        <v>47</v>
      </c>
      <c r="B25" s="17" t="s">
        <v>48</v>
      </c>
      <c r="C25" s="319" t="s">
        <v>49</v>
      </c>
      <c r="D25" s="319"/>
      <c r="E25" s="319"/>
      <c r="F25" s="16" t="s">
        <v>50</v>
      </c>
      <c r="G25" s="23">
        <v>400</v>
      </c>
      <c r="H25" s="52">
        <v>831.59</v>
      </c>
      <c r="I25" s="19">
        <v>332637.44</v>
      </c>
      <c r="J25" s="220">
        <f>I25*1.2</f>
        <v>399164.92800000001</v>
      </c>
      <c r="K25" s="52"/>
      <c r="L25" s="75"/>
      <c r="M25" s="249"/>
      <c r="N25" s="51"/>
    </row>
    <row r="26" spans="1:14" s="3" customFormat="1" ht="15" customHeight="1" x14ac:dyDescent="0.25">
      <c r="A26" s="320" t="s">
        <v>51</v>
      </c>
      <c r="B26" s="321"/>
      <c r="C26" s="321"/>
      <c r="D26" s="321"/>
      <c r="E26" s="321"/>
      <c r="F26" s="321"/>
      <c r="G26" s="57"/>
      <c r="H26" s="58"/>
      <c r="I26" s="57"/>
      <c r="J26" s="241"/>
      <c r="K26" s="58"/>
      <c r="L26" s="73"/>
      <c r="M26" s="248"/>
      <c r="N26" s="51"/>
    </row>
    <row r="27" spans="1:14" s="3" customFormat="1" ht="32.25" customHeight="1" x14ac:dyDescent="0.25">
      <c r="A27" s="74" t="s">
        <v>52</v>
      </c>
      <c r="B27" s="17" t="s">
        <v>53</v>
      </c>
      <c r="C27" s="319" t="s">
        <v>54</v>
      </c>
      <c r="D27" s="319"/>
      <c r="E27" s="319"/>
      <c r="F27" s="16" t="s">
        <v>43</v>
      </c>
      <c r="G27" s="30">
        <v>1.9512</v>
      </c>
      <c r="H27" s="52">
        <v>17064.04</v>
      </c>
      <c r="I27" s="19">
        <v>33295.360000000001</v>
      </c>
      <c r="J27" s="220">
        <f>I27*1.2</f>
        <v>39954.432000000001</v>
      </c>
      <c r="K27" s="52"/>
      <c r="L27" s="75"/>
      <c r="M27" s="249"/>
      <c r="N27" s="51"/>
    </row>
    <row r="28" spans="1:14" s="3" customFormat="1" ht="40.5" customHeight="1" x14ac:dyDescent="0.25">
      <c r="A28" s="74" t="s">
        <v>55</v>
      </c>
      <c r="B28" s="17" t="s">
        <v>41</v>
      </c>
      <c r="C28" s="319" t="s">
        <v>42</v>
      </c>
      <c r="D28" s="319"/>
      <c r="E28" s="319"/>
      <c r="F28" s="16" t="s">
        <v>43</v>
      </c>
      <c r="G28" s="30">
        <v>1.9512</v>
      </c>
      <c r="H28" s="52">
        <v>79686.429999999993</v>
      </c>
      <c r="I28" s="19">
        <v>155484.16</v>
      </c>
      <c r="J28" s="220">
        <f>I28*1.2</f>
        <v>186580.992</v>
      </c>
      <c r="K28" s="52"/>
      <c r="L28" s="75"/>
      <c r="M28" s="249"/>
      <c r="N28" s="51"/>
    </row>
    <row r="29" spans="1:14" s="48" customFormat="1" ht="24.95" customHeight="1" x14ac:dyDescent="0.25">
      <c r="A29" s="79"/>
      <c r="B29" s="46" t="s">
        <v>44</v>
      </c>
      <c r="C29" s="334" t="s">
        <v>45</v>
      </c>
      <c r="D29" s="334"/>
      <c r="E29" s="334"/>
      <c r="F29" s="46" t="s">
        <v>46</v>
      </c>
      <c r="G29" s="45" t="s">
        <v>616</v>
      </c>
      <c r="H29" s="52"/>
      <c r="I29" s="47"/>
      <c r="J29" s="242"/>
      <c r="K29" s="52">
        <v>2416.67</v>
      </c>
      <c r="L29" s="80">
        <f>2416.67*0.039024</f>
        <v>94.308130080000012</v>
      </c>
      <c r="M29" s="252">
        <f>L29*1.2</f>
        <v>113.16975609600001</v>
      </c>
      <c r="N29" s="51"/>
    </row>
    <row r="30" spans="1:14" s="3" customFormat="1" ht="42" customHeight="1" x14ac:dyDescent="0.25">
      <c r="A30" s="74" t="s">
        <v>56</v>
      </c>
      <c r="B30" s="17" t="s">
        <v>48</v>
      </c>
      <c r="C30" s="319" t="s">
        <v>49</v>
      </c>
      <c r="D30" s="319"/>
      <c r="E30" s="319"/>
      <c r="F30" s="16" t="s">
        <v>50</v>
      </c>
      <c r="G30" s="31">
        <v>2731.68</v>
      </c>
      <c r="H30" s="52">
        <v>831.59</v>
      </c>
      <c r="I30" s="19">
        <v>2271650.56</v>
      </c>
      <c r="J30" s="220">
        <f>I30*1.2</f>
        <v>2725980.6719999998</v>
      </c>
      <c r="K30" s="52"/>
      <c r="L30" s="75"/>
      <c r="M30" s="249"/>
      <c r="N30" s="51"/>
    </row>
    <row r="31" spans="1:14" s="3" customFormat="1" ht="20.25" customHeight="1" x14ac:dyDescent="0.25">
      <c r="A31" s="330" t="s">
        <v>57</v>
      </c>
      <c r="B31" s="331"/>
      <c r="C31" s="331"/>
      <c r="D31" s="331"/>
      <c r="E31" s="331"/>
      <c r="F31" s="331"/>
      <c r="G31" s="331"/>
      <c r="H31" s="60"/>
      <c r="I31" s="61">
        <f>SUM(I12:I30)</f>
        <v>7908284.1600000001</v>
      </c>
      <c r="J31" s="223">
        <f>SUM(J12:J30)</f>
        <v>9489940.9920000006</v>
      </c>
      <c r="K31" s="66"/>
      <c r="L31" s="81">
        <f>SUM(L12:L30)</f>
        <v>100.85521008000001</v>
      </c>
      <c r="M31" s="253">
        <f>SUM(M12:M30)</f>
        <v>121.02625209600001</v>
      </c>
      <c r="N31" s="51"/>
    </row>
    <row r="32" spans="1:14" s="48" customFormat="1" ht="20.25" customHeight="1" thickBot="1" x14ac:dyDescent="0.3">
      <c r="A32" s="332" t="s">
        <v>827</v>
      </c>
      <c r="B32" s="333"/>
      <c r="C32" s="333"/>
      <c r="D32" s="333"/>
      <c r="E32" s="333"/>
      <c r="F32" s="333"/>
      <c r="G32" s="333"/>
      <c r="H32" s="82"/>
      <c r="I32" s="322">
        <f>I31+L31</f>
        <v>7908385.01521008</v>
      </c>
      <c r="J32" s="323"/>
      <c r="K32" s="323"/>
      <c r="L32" s="323"/>
      <c r="M32" s="324"/>
      <c r="N32" s="286"/>
    </row>
    <row r="33" spans="1:14" s="48" customFormat="1" ht="20.25" customHeight="1" thickBot="1" x14ac:dyDescent="0.3">
      <c r="A33" s="332" t="s">
        <v>828</v>
      </c>
      <c r="B33" s="333"/>
      <c r="C33" s="333"/>
      <c r="D33" s="333"/>
      <c r="E33" s="333"/>
      <c r="F33" s="333"/>
      <c r="G33" s="333"/>
      <c r="H33" s="82"/>
      <c r="I33" s="325">
        <f>J31+M31</f>
        <v>9490062.0182520971</v>
      </c>
      <c r="J33" s="326"/>
      <c r="K33" s="326"/>
      <c r="L33" s="326"/>
      <c r="M33" s="327"/>
      <c r="N33" s="286"/>
    </row>
    <row r="34" spans="1:14" s="3" customFormat="1" ht="15" x14ac:dyDescent="0.25">
      <c r="A34" s="4"/>
      <c r="B34" s="4"/>
      <c r="C34" s="4"/>
      <c r="D34" s="4"/>
      <c r="E34" s="4"/>
      <c r="F34" s="4"/>
      <c r="G34" s="4"/>
      <c r="H34" s="49"/>
      <c r="I34" s="4"/>
      <c r="J34" s="236"/>
      <c r="K34" s="62"/>
      <c r="L34" s="62"/>
      <c r="M34" s="244"/>
      <c r="N34" s="51"/>
    </row>
  </sheetData>
  <autoFilter ref="A9:M33">
    <filterColumn colId="2" showButton="0"/>
    <filterColumn colId="3" showButton="0"/>
  </autoFilter>
  <mergeCells count="33">
    <mergeCell ref="C15:E15"/>
    <mergeCell ref="C17:E17"/>
    <mergeCell ref="A2:M2"/>
    <mergeCell ref="A3:M3"/>
    <mergeCell ref="A4:M4"/>
    <mergeCell ref="A10:M10"/>
    <mergeCell ref="A14:F14"/>
    <mergeCell ref="A12:F12"/>
    <mergeCell ref="A11:F11"/>
    <mergeCell ref="C9:E9"/>
    <mergeCell ref="A20:F20"/>
    <mergeCell ref="C23:E23"/>
    <mergeCell ref="C24:E24"/>
    <mergeCell ref="C25:E25"/>
    <mergeCell ref="A18:F18"/>
    <mergeCell ref="C19:E19"/>
    <mergeCell ref="C21:E21"/>
    <mergeCell ref="C27:E27"/>
    <mergeCell ref="A16:F16"/>
    <mergeCell ref="I32:M32"/>
    <mergeCell ref="I33:M33"/>
    <mergeCell ref="A5:M5"/>
    <mergeCell ref="C6:G6"/>
    <mergeCell ref="A31:G31"/>
    <mergeCell ref="A33:G33"/>
    <mergeCell ref="C28:E28"/>
    <mergeCell ref="C29:E29"/>
    <mergeCell ref="C13:E13"/>
    <mergeCell ref="C30:E30"/>
    <mergeCell ref="A32:G32"/>
    <mergeCell ref="C8:E8"/>
    <mergeCell ref="A26:F26"/>
    <mergeCell ref="A22:F22"/>
  </mergeCells>
  <phoneticPr fontId="44" type="noConversion"/>
  <printOptions horizontalCentered="1"/>
  <pageMargins left="0.39370077848434498" right="0.39370077848434498" top="0.35433071851730302" bottom="0.31496062874794001" header="0.118110239505768" footer="0.118110239505768"/>
  <pageSetup paperSize="9" scale="83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9" tint="0.39997558519241921"/>
    <pageSetUpPr fitToPage="1"/>
  </sheetPr>
  <dimension ref="A1:P71"/>
  <sheetViews>
    <sheetView workbookViewId="0">
      <pane ySplit="8" topLeftCell="A67" activePane="bottomLeft" state="frozen"/>
      <selection pane="bottomLeft" activeCell="D84" sqref="D8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25.140625" style="1" customWidth="1"/>
    <col min="6" max="6" width="10.7109375" style="67" customWidth="1"/>
    <col min="7" max="7" width="10.7109375" style="1" customWidth="1"/>
    <col min="8" max="9" width="15.85546875" style="1" customWidth="1"/>
    <col min="10" max="10" width="13.85546875" style="243" customWidth="1"/>
    <col min="11" max="11" width="15.85546875" style="1" customWidth="1"/>
    <col min="12" max="12" width="17.85546875" style="1" customWidth="1"/>
    <col min="13" max="13" width="17.85546875" style="243" customWidth="1"/>
    <col min="14" max="14" width="10.85546875" style="1" customWidth="1"/>
    <col min="15" max="15" width="9.140625" style="1"/>
    <col min="16" max="16" width="9.7109375" style="1" bestFit="1" customWidth="1"/>
    <col min="17" max="16384" width="9.140625" style="1"/>
  </cols>
  <sheetData>
    <row r="1" spans="1:13" s="3" customFormat="1" ht="15" customHeight="1" x14ac:dyDescent="0.25">
      <c r="A1" s="88" t="s">
        <v>619</v>
      </c>
      <c r="B1" s="4"/>
      <c r="C1" s="4"/>
      <c r="D1" s="4"/>
      <c r="E1" s="4"/>
      <c r="F1" s="62"/>
      <c r="G1" s="4"/>
      <c r="H1" s="4"/>
      <c r="I1" s="4"/>
      <c r="J1" s="236"/>
      <c r="K1" s="4"/>
      <c r="L1" s="4"/>
      <c r="M1" s="236"/>
    </row>
    <row r="2" spans="1:13" s="3" customFormat="1" ht="10.9" customHeight="1" x14ac:dyDescent="0.25">
      <c r="A2" s="339" t="s">
        <v>0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</row>
    <row r="3" spans="1:13" s="3" customFormat="1" ht="12" customHeight="1" x14ac:dyDescent="0.25">
      <c r="A3" s="328" t="s">
        <v>2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</row>
    <row r="4" spans="1:13" s="3" customFormat="1" ht="11.45" customHeight="1" x14ac:dyDescent="0.25">
      <c r="A4" s="340" t="s">
        <v>58</v>
      </c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</row>
    <row r="5" spans="1:13" s="3" customFormat="1" ht="17.45" customHeight="1" x14ac:dyDescent="0.25">
      <c r="A5" s="328" t="s">
        <v>4</v>
      </c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328"/>
      <c r="M5" s="328"/>
    </row>
    <row r="6" spans="1:13" s="3" customFormat="1" ht="11.45" customHeight="1" x14ac:dyDescent="0.25">
      <c r="A6" s="4"/>
      <c r="B6" s="8" t="s">
        <v>5</v>
      </c>
      <c r="C6" s="329" t="s">
        <v>59</v>
      </c>
      <c r="D6" s="329"/>
      <c r="E6" s="329"/>
      <c r="F6" s="329"/>
      <c r="G6" s="329"/>
      <c r="H6" s="11"/>
      <c r="I6" s="9"/>
      <c r="J6" s="237"/>
      <c r="K6" s="9"/>
      <c r="L6" s="9"/>
      <c r="M6" s="237"/>
    </row>
    <row r="7" spans="1:13" s="3" customFormat="1" ht="23.45" customHeight="1" thickBot="1" x14ac:dyDescent="0.3">
      <c r="A7" s="13"/>
      <c r="F7" s="64"/>
      <c r="J7" s="238"/>
      <c r="M7" s="238"/>
    </row>
    <row r="8" spans="1:13" s="3" customFormat="1" ht="37.15" customHeight="1" x14ac:dyDescent="0.25">
      <c r="A8" s="68" t="s">
        <v>7</v>
      </c>
      <c r="B8" s="69" t="s">
        <v>8</v>
      </c>
      <c r="C8" s="335" t="s">
        <v>9</v>
      </c>
      <c r="D8" s="336"/>
      <c r="E8" s="337"/>
      <c r="F8" s="70" t="s">
        <v>10</v>
      </c>
      <c r="G8" s="71" t="s">
        <v>11</v>
      </c>
      <c r="H8" s="72" t="s">
        <v>819</v>
      </c>
      <c r="I8" s="72" t="s">
        <v>820</v>
      </c>
      <c r="J8" s="217" t="s">
        <v>823</v>
      </c>
      <c r="K8" s="72" t="s">
        <v>821</v>
      </c>
      <c r="L8" s="103" t="s">
        <v>822</v>
      </c>
      <c r="M8" s="229" t="s">
        <v>824</v>
      </c>
    </row>
    <row r="9" spans="1:13" s="3" customFormat="1" ht="15.75" thickBot="1" x14ac:dyDescent="0.3">
      <c r="A9" s="83">
        <v>1</v>
      </c>
      <c r="B9" s="84">
        <v>2</v>
      </c>
      <c r="C9" s="355">
        <v>3</v>
      </c>
      <c r="D9" s="356"/>
      <c r="E9" s="357"/>
      <c r="F9" s="85">
        <v>4</v>
      </c>
      <c r="G9" s="84">
        <v>5</v>
      </c>
      <c r="H9" s="84">
        <v>6</v>
      </c>
      <c r="I9" s="86" t="s">
        <v>47</v>
      </c>
      <c r="J9" s="239" t="s">
        <v>47</v>
      </c>
      <c r="K9" s="86" t="s">
        <v>52</v>
      </c>
      <c r="L9" s="87" t="s">
        <v>55</v>
      </c>
      <c r="M9" s="247" t="s">
        <v>55</v>
      </c>
    </row>
    <row r="10" spans="1:13" s="3" customFormat="1" ht="15" customHeight="1" x14ac:dyDescent="0.25">
      <c r="A10" s="347" t="s">
        <v>60</v>
      </c>
      <c r="B10" s="348"/>
      <c r="C10" s="348"/>
      <c r="D10" s="348"/>
      <c r="E10" s="348"/>
      <c r="F10" s="348"/>
      <c r="G10" s="348"/>
      <c r="H10" s="89"/>
      <c r="I10" s="89"/>
      <c r="J10" s="255"/>
      <c r="K10" s="89"/>
      <c r="L10" s="90"/>
      <c r="M10" s="259"/>
    </row>
    <row r="11" spans="1:13" s="3" customFormat="1" ht="15" customHeight="1" x14ac:dyDescent="0.25">
      <c r="A11" s="345" t="s">
        <v>61</v>
      </c>
      <c r="B11" s="346"/>
      <c r="C11" s="346"/>
      <c r="D11" s="346"/>
      <c r="E11" s="346"/>
      <c r="F11" s="346"/>
      <c r="G11" s="346"/>
      <c r="H11" s="91"/>
      <c r="I11" s="91"/>
      <c r="J11" s="256"/>
      <c r="K11" s="91"/>
      <c r="L11" s="92"/>
      <c r="M11" s="260"/>
    </row>
    <row r="12" spans="1:13" s="3" customFormat="1" ht="32.25" customHeight="1" x14ac:dyDescent="0.25">
      <c r="A12" s="16" t="s">
        <v>15</v>
      </c>
      <c r="B12" s="17" t="s">
        <v>62</v>
      </c>
      <c r="C12" s="349" t="s">
        <v>63</v>
      </c>
      <c r="D12" s="350"/>
      <c r="E12" s="351"/>
      <c r="F12" s="16" t="s">
        <v>64</v>
      </c>
      <c r="G12" s="18">
        <v>1.7849999999999999</v>
      </c>
      <c r="H12" s="52">
        <v>2388529.48</v>
      </c>
      <c r="I12" s="19">
        <v>4263525.12</v>
      </c>
      <c r="J12" s="220">
        <f>I12*1.2</f>
        <v>5116230.1440000003</v>
      </c>
      <c r="K12" s="19"/>
      <c r="L12" s="19"/>
      <c r="M12" s="220"/>
    </row>
    <row r="13" spans="1:13" s="3" customFormat="1" ht="22.5" x14ac:dyDescent="0.25">
      <c r="A13" s="25"/>
      <c r="B13" s="26" t="s">
        <v>65</v>
      </c>
      <c r="C13" s="338" t="s">
        <v>66</v>
      </c>
      <c r="D13" s="338"/>
      <c r="E13" s="338"/>
      <c r="F13" s="98" t="s">
        <v>67</v>
      </c>
      <c r="G13" s="44" t="s">
        <v>620</v>
      </c>
      <c r="H13" s="53"/>
      <c r="I13" s="28"/>
      <c r="J13" s="221"/>
      <c r="K13" s="28"/>
      <c r="L13" s="29"/>
      <c r="M13" s="233"/>
    </row>
    <row r="14" spans="1:13" s="3" customFormat="1" ht="22.5" x14ac:dyDescent="0.25">
      <c r="A14" s="25"/>
      <c r="B14" s="26" t="s">
        <v>68</v>
      </c>
      <c r="C14" s="338" t="s">
        <v>69</v>
      </c>
      <c r="D14" s="338"/>
      <c r="E14" s="338"/>
      <c r="F14" s="98" t="s">
        <v>67</v>
      </c>
      <c r="G14" s="44" t="s">
        <v>621</v>
      </c>
      <c r="H14" s="53"/>
      <c r="I14" s="28"/>
      <c r="J14" s="221"/>
      <c r="K14" s="28"/>
      <c r="L14" s="29"/>
      <c r="M14" s="233"/>
    </row>
    <row r="15" spans="1:13" s="3" customFormat="1" ht="22.5" x14ac:dyDescent="0.25">
      <c r="A15" s="25"/>
      <c r="B15" s="26" t="s">
        <v>70</v>
      </c>
      <c r="C15" s="338" t="s">
        <v>71</v>
      </c>
      <c r="D15" s="338"/>
      <c r="E15" s="338"/>
      <c r="F15" s="98" t="s">
        <v>72</v>
      </c>
      <c r="G15" s="44" t="s">
        <v>622</v>
      </c>
      <c r="H15" s="53"/>
      <c r="I15" s="28"/>
      <c r="J15" s="221"/>
      <c r="K15" s="28"/>
      <c r="L15" s="29"/>
      <c r="M15" s="233"/>
    </row>
    <row r="16" spans="1:13" s="3" customFormat="1" ht="22.5" x14ac:dyDescent="0.25">
      <c r="A16" s="25"/>
      <c r="B16" s="26" t="s">
        <v>73</v>
      </c>
      <c r="C16" s="338" t="s">
        <v>74</v>
      </c>
      <c r="D16" s="338"/>
      <c r="E16" s="338"/>
      <c r="F16" s="98" t="s">
        <v>67</v>
      </c>
      <c r="G16" s="44" t="s">
        <v>623</v>
      </c>
      <c r="H16" s="53"/>
      <c r="I16" s="28"/>
      <c r="J16" s="221"/>
      <c r="K16" s="28"/>
      <c r="L16" s="29"/>
      <c r="M16" s="233"/>
    </row>
    <row r="17" spans="1:16" s="3" customFormat="1" ht="22.5" hidden="1" x14ac:dyDescent="0.25">
      <c r="A17" s="36" t="s">
        <v>75</v>
      </c>
      <c r="B17" s="37" t="s">
        <v>76</v>
      </c>
      <c r="C17" s="352" t="s">
        <v>77</v>
      </c>
      <c r="D17" s="352"/>
      <c r="E17" s="352"/>
      <c r="F17" s="99" t="s">
        <v>46</v>
      </c>
      <c r="G17" s="39" t="s">
        <v>33</v>
      </c>
      <c r="H17" s="93"/>
      <c r="I17" s="40"/>
      <c r="J17" s="222"/>
      <c r="K17" s="40"/>
      <c r="L17" s="41"/>
      <c r="M17" s="234"/>
    </row>
    <row r="18" spans="1:16" s="3" customFormat="1" ht="22.5" hidden="1" x14ac:dyDescent="0.25">
      <c r="A18" s="36" t="s">
        <v>75</v>
      </c>
      <c r="B18" s="37" t="s">
        <v>78</v>
      </c>
      <c r="C18" s="352" t="s">
        <v>79</v>
      </c>
      <c r="D18" s="352"/>
      <c r="E18" s="352"/>
      <c r="F18" s="99" t="s">
        <v>46</v>
      </c>
      <c r="G18" s="39" t="s">
        <v>33</v>
      </c>
      <c r="H18" s="93"/>
      <c r="I18" s="40"/>
      <c r="J18" s="222"/>
      <c r="K18" s="40"/>
      <c r="L18" s="41"/>
      <c r="M18" s="234"/>
    </row>
    <row r="19" spans="1:16" s="3" customFormat="1" ht="22.5" x14ac:dyDescent="0.25">
      <c r="A19" s="25"/>
      <c r="B19" s="26" t="s">
        <v>80</v>
      </c>
      <c r="C19" s="338" t="s">
        <v>81</v>
      </c>
      <c r="D19" s="338"/>
      <c r="E19" s="338"/>
      <c r="F19" s="98" t="s">
        <v>46</v>
      </c>
      <c r="G19" s="44" t="s">
        <v>624</v>
      </c>
      <c r="H19" s="53"/>
      <c r="I19" s="28"/>
      <c r="J19" s="221"/>
      <c r="K19" s="28"/>
      <c r="L19" s="29"/>
      <c r="M19" s="233"/>
    </row>
    <row r="20" spans="1:16" s="3" customFormat="1" ht="22.5" hidden="1" x14ac:dyDescent="0.25">
      <c r="A20" s="36" t="s">
        <v>75</v>
      </c>
      <c r="B20" s="37" t="s">
        <v>82</v>
      </c>
      <c r="C20" s="352" t="s">
        <v>83</v>
      </c>
      <c r="D20" s="352"/>
      <c r="E20" s="352"/>
      <c r="F20" s="99" t="s">
        <v>46</v>
      </c>
      <c r="G20" s="39" t="s">
        <v>33</v>
      </c>
      <c r="H20" s="93"/>
      <c r="I20" s="40"/>
      <c r="J20" s="222"/>
      <c r="K20" s="40"/>
      <c r="L20" s="41"/>
      <c r="M20" s="234"/>
    </row>
    <row r="21" spans="1:16" s="3" customFormat="1" ht="22.5" x14ac:dyDescent="0.25">
      <c r="A21" s="25"/>
      <c r="B21" s="26" t="s">
        <v>84</v>
      </c>
      <c r="C21" s="338" t="s">
        <v>85</v>
      </c>
      <c r="D21" s="338"/>
      <c r="E21" s="338"/>
      <c r="F21" s="98" t="s">
        <v>46</v>
      </c>
      <c r="G21" s="44" t="s">
        <v>625</v>
      </c>
      <c r="H21" s="53"/>
      <c r="I21" s="28"/>
      <c r="J21" s="221"/>
      <c r="K21" s="28"/>
      <c r="L21" s="29"/>
      <c r="M21" s="233"/>
    </row>
    <row r="22" spans="1:16" s="3" customFormat="1" ht="22.5" x14ac:dyDescent="0.25">
      <c r="A22" s="25"/>
      <c r="B22" s="26" t="s">
        <v>86</v>
      </c>
      <c r="C22" s="338" t="s">
        <v>87</v>
      </c>
      <c r="D22" s="338"/>
      <c r="E22" s="338"/>
      <c r="F22" s="98" t="s">
        <v>67</v>
      </c>
      <c r="G22" s="44" t="s">
        <v>626</v>
      </c>
      <c r="H22" s="53"/>
      <c r="I22" s="28"/>
      <c r="J22" s="221"/>
      <c r="K22" s="28"/>
      <c r="L22" s="29"/>
      <c r="M22" s="233"/>
    </row>
    <row r="23" spans="1:16" s="3" customFormat="1" ht="15" customHeight="1" x14ac:dyDescent="0.25">
      <c r="A23" s="345" t="s">
        <v>88</v>
      </c>
      <c r="B23" s="346"/>
      <c r="C23" s="346"/>
      <c r="D23" s="346"/>
      <c r="E23" s="346"/>
      <c r="F23" s="346"/>
      <c r="G23" s="346"/>
      <c r="H23" s="94"/>
      <c r="I23" s="94"/>
      <c r="J23" s="257"/>
      <c r="K23" s="94"/>
      <c r="L23" s="95"/>
      <c r="M23" s="261"/>
      <c r="P23" s="51"/>
    </row>
    <row r="24" spans="1:16" s="3" customFormat="1" ht="30.75" customHeight="1" x14ac:dyDescent="0.25">
      <c r="A24" s="16" t="s">
        <v>20</v>
      </c>
      <c r="B24" s="17" t="s">
        <v>89</v>
      </c>
      <c r="C24" s="349" t="s">
        <v>90</v>
      </c>
      <c r="D24" s="350"/>
      <c r="E24" s="351"/>
      <c r="F24" s="16" t="s">
        <v>64</v>
      </c>
      <c r="G24" s="18">
        <v>3.2850000000000001</v>
      </c>
      <c r="H24" s="52">
        <v>2034379.01</v>
      </c>
      <c r="I24" s="19">
        <v>6682935.04</v>
      </c>
      <c r="J24" s="220">
        <f>I24*1.2</f>
        <v>8019522.0479999995</v>
      </c>
      <c r="K24" s="19"/>
      <c r="L24" s="19"/>
      <c r="M24" s="220"/>
    </row>
    <row r="25" spans="1:16" s="3" customFormat="1" ht="22.5" x14ac:dyDescent="0.25">
      <c r="A25" s="25"/>
      <c r="B25" s="26" t="s">
        <v>65</v>
      </c>
      <c r="C25" s="338" t="s">
        <v>66</v>
      </c>
      <c r="D25" s="338"/>
      <c r="E25" s="338"/>
      <c r="F25" s="98" t="s">
        <v>67</v>
      </c>
      <c r="G25" s="44" t="s">
        <v>627</v>
      </c>
      <c r="H25" s="53"/>
      <c r="I25" s="28"/>
      <c r="J25" s="221"/>
      <c r="K25" s="28"/>
      <c r="L25" s="29"/>
      <c r="M25" s="233"/>
    </row>
    <row r="26" spans="1:16" s="3" customFormat="1" ht="22.5" x14ac:dyDescent="0.25">
      <c r="A26" s="25"/>
      <c r="B26" s="26" t="s">
        <v>68</v>
      </c>
      <c r="C26" s="338" t="s">
        <v>69</v>
      </c>
      <c r="D26" s="338"/>
      <c r="E26" s="338"/>
      <c r="F26" s="98" t="s">
        <v>67</v>
      </c>
      <c r="G26" s="44" t="s">
        <v>628</v>
      </c>
      <c r="H26" s="53"/>
      <c r="I26" s="28"/>
      <c r="J26" s="221"/>
      <c r="K26" s="28"/>
      <c r="L26" s="29"/>
      <c r="M26" s="233"/>
    </row>
    <row r="27" spans="1:16" s="3" customFormat="1" ht="22.5" x14ac:dyDescent="0.25">
      <c r="A27" s="25"/>
      <c r="B27" s="26" t="s">
        <v>70</v>
      </c>
      <c r="C27" s="338" t="s">
        <v>71</v>
      </c>
      <c r="D27" s="338"/>
      <c r="E27" s="338"/>
      <c r="F27" s="98" t="s">
        <v>72</v>
      </c>
      <c r="G27" s="44" t="s">
        <v>629</v>
      </c>
      <c r="H27" s="53"/>
      <c r="I27" s="28"/>
      <c r="J27" s="221"/>
      <c r="K27" s="28"/>
      <c r="L27" s="29"/>
      <c r="M27" s="233"/>
    </row>
    <row r="28" spans="1:16" s="3" customFormat="1" ht="22.5" x14ac:dyDescent="0.25">
      <c r="A28" s="25"/>
      <c r="B28" s="26" t="s">
        <v>73</v>
      </c>
      <c r="C28" s="338" t="s">
        <v>74</v>
      </c>
      <c r="D28" s="338"/>
      <c r="E28" s="338"/>
      <c r="F28" s="98" t="s">
        <v>67</v>
      </c>
      <c r="G28" s="44" t="s">
        <v>630</v>
      </c>
      <c r="H28" s="53"/>
      <c r="I28" s="28"/>
      <c r="J28" s="221"/>
      <c r="K28" s="28"/>
      <c r="L28" s="29"/>
      <c r="M28" s="233"/>
    </row>
    <row r="29" spans="1:16" s="3" customFormat="1" ht="22.5" hidden="1" x14ac:dyDescent="0.25">
      <c r="A29" s="36" t="s">
        <v>75</v>
      </c>
      <c r="B29" s="37" t="s">
        <v>76</v>
      </c>
      <c r="C29" s="352" t="s">
        <v>77</v>
      </c>
      <c r="D29" s="352"/>
      <c r="E29" s="352"/>
      <c r="F29" s="99" t="s">
        <v>46</v>
      </c>
      <c r="G29" s="39" t="s">
        <v>33</v>
      </c>
      <c r="H29" s="93"/>
      <c r="I29" s="40"/>
      <c r="J29" s="222"/>
      <c r="K29" s="40"/>
      <c r="L29" s="41"/>
      <c r="M29" s="234"/>
    </row>
    <row r="30" spans="1:16" s="3" customFormat="1" ht="22.5" hidden="1" x14ac:dyDescent="0.25">
      <c r="A30" s="36" t="s">
        <v>75</v>
      </c>
      <c r="B30" s="37" t="s">
        <v>78</v>
      </c>
      <c r="C30" s="352" t="s">
        <v>79</v>
      </c>
      <c r="D30" s="352"/>
      <c r="E30" s="352"/>
      <c r="F30" s="99" t="s">
        <v>46</v>
      </c>
      <c r="G30" s="39" t="s">
        <v>33</v>
      </c>
      <c r="H30" s="93"/>
      <c r="I30" s="40"/>
      <c r="J30" s="222"/>
      <c r="K30" s="40"/>
      <c r="L30" s="41"/>
      <c r="M30" s="234"/>
    </row>
    <row r="31" spans="1:16" s="3" customFormat="1" ht="22.5" x14ac:dyDescent="0.25">
      <c r="A31" s="25"/>
      <c r="B31" s="26" t="s">
        <v>80</v>
      </c>
      <c r="C31" s="338" t="s">
        <v>81</v>
      </c>
      <c r="D31" s="338"/>
      <c r="E31" s="338"/>
      <c r="F31" s="98" t="s">
        <v>46</v>
      </c>
      <c r="G31" s="44" t="s">
        <v>631</v>
      </c>
      <c r="H31" s="53"/>
      <c r="I31" s="28"/>
      <c r="J31" s="221"/>
      <c r="K31" s="28"/>
      <c r="L31" s="29"/>
      <c r="M31" s="233"/>
    </row>
    <row r="32" spans="1:16" s="3" customFormat="1" ht="22.5" hidden="1" x14ac:dyDescent="0.25">
      <c r="A32" s="36" t="s">
        <v>75</v>
      </c>
      <c r="B32" s="37" t="s">
        <v>82</v>
      </c>
      <c r="C32" s="352" t="s">
        <v>83</v>
      </c>
      <c r="D32" s="352"/>
      <c r="E32" s="352"/>
      <c r="F32" s="99" t="s">
        <v>46</v>
      </c>
      <c r="G32" s="39" t="s">
        <v>33</v>
      </c>
      <c r="H32" s="93"/>
      <c r="I32" s="40"/>
      <c r="J32" s="222"/>
      <c r="K32" s="40"/>
      <c r="L32" s="41"/>
      <c r="M32" s="234"/>
    </row>
    <row r="33" spans="1:13" s="3" customFormat="1" ht="22.5" x14ac:dyDescent="0.25">
      <c r="A33" s="25"/>
      <c r="B33" s="26" t="s">
        <v>84</v>
      </c>
      <c r="C33" s="338" t="s">
        <v>85</v>
      </c>
      <c r="D33" s="338"/>
      <c r="E33" s="338"/>
      <c r="F33" s="98" t="s">
        <v>46</v>
      </c>
      <c r="G33" s="44" t="s">
        <v>632</v>
      </c>
      <c r="H33" s="53"/>
      <c r="I33" s="28"/>
      <c r="J33" s="221"/>
      <c r="K33" s="28"/>
      <c r="L33" s="29"/>
      <c r="M33" s="233"/>
    </row>
    <row r="34" spans="1:13" s="3" customFormat="1" ht="22.5" x14ac:dyDescent="0.25">
      <c r="A34" s="25"/>
      <c r="B34" s="26" t="s">
        <v>86</v>
      </c>
      <c r="C34" s="338" t="s">
        <v>87</v>
      </c>
      <c r="D34" s="338"/>
      <c r="E34" s="338"/>
      <c r="F34" s="98" t="s">
        <v>67</v>
      </c>
      <c r="G34" s="44" t="s">
        <v>633</v>
      </c>
      <c r="H34" s="53"/>
      <c r="I34" s="28"/>
      <c r="J34" s="221"/>
      <c r="K34" s="28"/>
      <c r="L34" s="29"/>
      <c r="M34" s="233"/>
    </row>
    <row r="35" spans="1:13" s="3" customFormat="1" ht="15" customHeight="1" x14ac:dyDescent="0.25">
      <c r="A35" s="345" t="s">
        <v>91</v>
      </c>
      <c r="B35" s="346"/>
      <c r="C35" s="346"/>
      <c r="D35" s="346"/>
      <c r="E35" s="346"/>
      <c r="F35" s="346"/>
      <c r="G35" s="346"/>
      <c r="H35" s="94"/>
      <c r="I35" s="94"/>
      <c r="J35" s="257"/>
      <c r="K35" s="94"/>
      <c r="L35" s="95"/>
      <c r="M35" s="261"/>
    </row>
    <row r="36" spans="1:13" s="3" customFormat="1" ht="31.5" customHeight="1" x14ac:dyDescent="0.25">
      <c r="A36" s="16" t="s">
        <v>22</v>
      </c>
      <c r="B36" s="17" t="s">
        <v>89</v>
      </c>
      <c r="C36" s="349" t="s">
        <v>90</v>
      </c>
      <c r="D36" s="350"/>
      <c r="E36" s="351"/>
      <c r="F36" s="16" t="s">
        <v>64</v>
      </c>
      <c r="G36" s="18">
        <v>1.8149999999999999</v>
      </c>
      <c r="H36" s="52">
        <v>2388529.48</v>
      </c>
      <c r="I36" s="19">
        <f>H36*G36</f>
        <v>4335181.0061999997</v>
      </c>
      <c r="J36" s="220">
        <f>I36*1.2</f>
        <v>5202217.2074399991</v>
      </c>
      <c r="K36" s="19"/>
      <c r="L36" s="19"/>
      <c r="M36" s="220"/>
    </row>
    <row r="37" spans="1:13" s="3" customFormat="1" ht="22.5" x14ac:dyDescent="0.25">
      <c r="A37" s="25"/>
      <c r="B37" s="26" t="s">
        <v>65</v>
      </c>
      <c r="C37" s="338" t="s">
        <v>66</v>
      </c>
      <c r="D37" s="338"/>
      <c r="E37" s="338"/>
      <c r="F37" s="98" t="s">
        <v>67</v>
      </c>
      <c r="G37" s="44" t="s">
        <v>634</v>
      </c>
      <c r="H37" s="53"/>
      <c r="I37" s="28"/>
      <c r="J37" s="221"/>
      <c r="K37" s="28"/>
      <c r="L37" s="29"/>
      <c r="M37" s="233"/>
    </row>
    <row r="38" spans="1:13" s="3" customFormat="1" ht="22.5" x14ac:dyDescent="0.25">
      <c r="A38" s="25"/>
      <c r="B38" s="26" t="s">
        <v>68</v>
      </c>
      <c r="C38" s="338" t="s">
        <v>69</v>
      </c>
      <c r="D38" s="338"/>
      <c r="E38" s="338"/>
      <c r="F38" s="98" t="s">
        <v>67</v>
      </c>
      <c r="G38" s="44" t="s">
        <v>635</v>
      </c>
      <c r="H38" s="53"/>
      <c r="I38" s="28"/>
      <c r="J38" s="221"/>
      <c r="K38" s="28"/>
      <c r="L38" s="29"/>
      <c r="M38" s="233"/>
    </row>
    <row r="39" spans="1:13" s="3" customFormat="1" ht="22.5" x14ac:dyDescent="0.25">
      <c r="A39" s="25"/>
      <c r="B39" s="26" t="s">
        <v>70</v>
      </c>
      <c r="C39" s="338" t="s">
        <v>71</v>
      </c>
      <c r="D39" s="338"/>
      <c r="E39" s="338"/>
      <c r="F39" s="98" t="s">
        <v>72</v>
      </c>
      <c r="G39" s="44" t="s">
        <v>636</v>
      </c>
      <c r="H39" s="53"/>
      <c r="I39" s="28"/>
      <c r="J39" s="221"/>
      <c r="K39" s="28"/>
      <c r="L39" s="29"/>
      <c r="M39" s="233"/>
    </row>
    <row r="40" spans="1:13" s="3" customFormat="1" ht="22.5" x14ac:dyDescent="0.25">
      <c r="A40" s="25"/>
      <c r="B40" s="26" t="s">
        <v>73</v>
      </c>
      <c r="C40" s="338" t="s">
        <v>74</v>
      </c>
      <c r="D40" s="338"/>
      <c r="E40" s="338"/>
      <c r="F40" s="98" t="s">
        <v>67</v>
      </c>
      <c r="G40" s="44" t="s">
        <v>637</v>
      </c>
      <c r="H40" s="53"/>
      <c r="I40" s="28"/>
      <c r="J40" s="221"/>
      <c r="K40" s="28"/>
      <c r="L40" s="29"/>
      <c r="M40" s="233"/>
    </row>
    <row r="41" spans="1:13" s="3" customFormat="1" ht="22.5" hidden="1" x14ac:dyDescent="0.25">
      <c r="A41" s="36" t="s">
        <v>75</v>
      </c>
      <c r="B41" s="37" t="s">
        <v>76</v>
      </c>
      <c r="C41" s="352" t="s">
        <v>77</v>
      </c>
      <c r="D41" s="352"/>
      <c r="E41" s="352"/>
      <c r="F41" s="99" t="s">
        <v>46</v>
      </c>
      <c r="G41" s="39" t="s">
        <v>33</v>
      </c>
      <c r="H41" s="93"/>
      <c r="I41" s="40"/>
      <c r="J41" s="222"/>
      <c r="K41" s="40"/>
      <c r="L41" s="41"/>
      <c r="M41" s="234"/>
    </row>
    <row r="42" spans="1:13" s="3" customFormat="1" ht="22.5" hidden="1" x14ac:dyDescent="0.25">
      <c r="A42" s="36" t="s">
        <v>75</v>
      </c>
      <c r="B42" s="37" t="s">
        <v>78</v>
      </c>
      <c r="C42" s="352" t="s">
        <v>79</v>
      </c>
      <c r="D42" s="352"/>
      <c r="E42" s="352"/>
      <c r="F42" s="99" t="s">
        <v>46</v>
      </c>
      <c r="G42" s="39" t="s">
        <v>33</v>
      </c>
      <c r="H42" s="93"/>
      <c r="I42" s="40"/>
      <c r="J42" s="222"/>
      <c r="K42" s="40"/>
      <c r="L42" s="41"/>
      <c r="M42" s="234"/>
    </row>
    <row r="43" spans="1:13" s="3" customFormat="1" ht="22.5" x14ac:dyDescent="0.25">
      <c r="A43" s="25"/>
      <c r="B43" s="26" t="s">
        <v>80</v>
      </c>
      <c r="C43" s="338" t="s">
        <v>81</v>
      </c>
      <c r="D43" s="338"/>
      <c r="E43" s="338"/>
      <c r="F43" s="98" t="s">
        <v>46</v>
      </c>
      <c r="G43" s="44" t="s">
        <v>638</v>
      </c>
      <c r="H43" s="53"/>
      <c r="I43" s="28"/>
      <c r="J43" s="221"/>
      <c r="K43" s="28"/>
      <c r="L43" s="29"/>
      <c r="M43" s="233"/>
    </row>
    <row r="44" spans="1:13" s="3" customFormat="1" ht="22.5" hidden="1" x14ac:dyDescent="0.25">
      <c r="A44" s="36" t="s">
        <v>75</v>
      </c>
      <c r="B44" s="37" t="s">
        <v>82</v>
      </c>
      <c r="C44" s="352" t="s">
        <v>83</v>
      </c>
      <c r="D44" s="352"/>
      <c r="E44" s="352"/>
      <c r="F44" s="99" t="s">
        <v>46</v>
      </c>
      <c r="G44" s="39" t="s">
        <v>33</v>
      </c>
      <c r="H44" s="93"/>
      <c r="I44" s="40"/>
      <c r="J44" s="222"/>
      <c r="K44" s="40"/>
      <c r="L44" s="41"/>
      <c r="M44" s="234"/>
    </row>
    <row r="45" spans="1:13" s="3" customFormat="1" ht="22.5" x14ac:dyDescent="0.25">
      <c r="A45" s="25"/>
      <c r="B45" s="26" t="s">
        <v>84</v>
      </c>
      <c r="C45" s="338" t="s">
        <v>85</v>
      </c>
      <c r="D45" s="338"/>
      <c r="E45" s="338"/>
      <c r="F45" s="98" t="s">
        <v>46</v>
      </c>
      <c r="G45" s="44" t="s">
        <v>639</v>
      </c>
      <c r="H45" s="53"/>
      <c r="I45" s="28"/>
      <c r="J45" s="221"/>
      <c r="K45" s="28"/>
      <c r="L45" s="29"/>
      <c r="M45" s="233"/>
    </row>
    <row r="46" spans="1:13" s="3" customFormat="1" ht="22.5" x14ac:dyDescent="0.25">
      <c r="A46" s="25"/>
      <c r="B46" s="26" t="s">
        <v>86</v>
      </c>
      <c r="C46" s="338" t="s">
        <v>87</v>
      </c>
      <c r="D46" s="338"/>
      <c r="E46" s="338"/>
      <c r="F46" s="98" t="s">
        <v>67</v>
      </c>
      <c r="G46" s="44" t="s">
        <v>640</v>
      </c>
      <c r="H46" s="53"/>
      <c r="I46" s="28"/>
      <c r="J46" s="221"/>
      <c r="K46" s="28"/>
      <c r="L46" s="29"/>
      <c r="M46" s="233"/>
    </row>
    <row r="47" spans="1:13" s="3" customFormat="1" ht="15" customHeight="1" x14ac:dyDescent="0.25">
      <c r="A47" s="345" t="s">
        <v>92</v>
      </c>
      <c r="B47" s="346"/>
      <c r="C47" s="346"/>
      <c r="D47" s="346"/>
      <c r="E47" s="346"/>
      <c r="F47" s="346"/>
      <c r="G47" s="346"/>
      <c r="H47" s="94"/>
      <c r="I47" s="94"/>
      <c r="J47" s="257"/>
      <c r="K47" s="94"/>
      <c r="L47" s="95"/>
      <c r="M47" s="261"/>
    </row>
    <row r="48" spans="1:13" s="3" customFormat="1" ht="33.75" customHeight="1" x14ac:dyDescent="0.25">
      <c r="A48" s="16" t="s">
        <v>27</v>
      </c>
      <c r="B48" s="17" t="s">
        <v>93</v>
      </c>
      <c r="C48" s="349" t="s">
        <v>94</v>
      </c>
      <c r="D48" s="350"/>
      <c r="E48" s="351"/>
      <c r="F48" s="16" t="s">
        <v>50</v>
      </c>
      <c r="G48" s="18">
        <v>450.28800000000001</v>
      </c>
      <c r="H48" s="52">
        <v>70.7</v>
      </c>
      <c r="I48" s="19">
        <v>31836.16</v>
      </c>
      <c r="J48" s="220">
        <f>I48*1.2</f>
        <v>38203.392</v>
      </c>
      <c r="K48" s="19"/>
      <c r="L48" s="19"/>
      <c r="M48" s="220"/>
    </row>
    <row r="49" spans="1:13" s="3" customFormat="1" ht="33.75" customHeight="1" x14ac:dyDescent="0.25">
      <c r="A49" s="16" t="s">
        <v>35</v>
      </c>
      <c r="B49" s="17" t="s">
        <v>48</v>
      </c>
      <c r="C49" s="349" t="s">
        <v>49</v>
      </c>
      <c r="D49" s="350"/>
      <c r="E49" s="351"/>
      <c r="F49" s="16" t="s">
        <v>50</v>
      </c>
      <c r="G49" s="18">
        <v>450.28800000000001</v>
      </c>
      <c r="H49" s="52">
        <v>831.59</v>
      </c>
      <c r="I49" s="19">
        <v>374457.59999999998</v>
      </c>
      <c r="J49" s="220">
        <f>I49*1.2</f>
        <v>449349.11999999994</v>
      </c>
      <c r="K49" s="19"/>
      <c r="L49" s="19"/>
      <c r="M49" s="220"/>
    </row>
    <row r="50" spans="1:13" s="3" customFormat="1" ht="15" customHeight="1" x14ac:dyDescent="0.25">
      <c r="A50" s="353" t="s">
        <v>95</v>
      </c>
      <c r="B50" s="354"/>
      <c r="C50" s="354"/>
      <c r="D50" s="354"/>
      <c r="E50" s="354"/>
      <c r="F50" s="354"/>
      <c r="G50" s="354"/>
      <c r="H50" s="96"/>
      <c r="I50" s="96"/>
      <c r="J50" s="218"/>
      <c r="K50" s="96"/>
      <c r="L50" s="97"/>
      <c r="M50" s="231"/>
    </row>
    <row r="51" spans="1:13" s="3" customFormat="1" ht="15" customHeight="1" x14ac:dyDescent="0.25">
      <c r="A51" s="345" t="s">
        <v>96</v>
      </c>
      <c r="B51" s="346"/>
      <c r="C51" s="346"/>
      <c r="D51" s="346"/>
      <c r="E51" s="346"/>
      <c r="F51" s="346"/>
      <c r="G51" s="346"/>
      <c r="H51" s="94"/>
      <c r="I51" s="94"/>
      <c r="J51" s="257"/>
      <c r="K51" s="94"/>
      <c r="L51" s="95"/>
      <c r="M51" s="261"/>
    </row>
    <row r="52" spans="1:13" s="3" customFormat="1" ht="30.75" customHeight="1" x14ac:dyDescent="0.25">
      <c r="A52" s="16" t="s">
        <v>40</v>
      </c>
      <c r="B52" s="17" t="s">
        <v>97</v>
      </c>
      <c r="C52" s="349" t="s">
        <v>98</v>
      </c>
      <c r="D52" s="350"/>
      <c r="E52" s="351"/>
      <c r="F52" s="16" t="s">
        <v>99</v>
      </c>
      <c r="G52" s="18">
        <v>0.93799999999999994</v>
      </c>
      <c r="H52" s="52">
        <v>322449.38</v>
      </c>
      <c r="I52" s="19">
        <v>302457.52</v>
      </c>
      <c r="J52" s="220">
        <f>I52*1.2</f>
        <v>362949.02400000003</v>
      </c>
      <c r="K52" s="19"/>
      <c r="L52" s="19"/>
      <c r="M52" s="220"/>
    </row>
    <row r="53" spans="1:13" s="3" customFormat="1" ht="22.5" x14ac:dyDescent="0.25">
      <c r="A53" s="25"/>
      <c r="B53" s="26" t="s">
        <v>100</v>
      </c>
      <c r="C53" s="338" t="s">
        <v>101</v>
      </c>
      <c r="D53" s="338"/>
      <c r="E53" s="338"/>
      <c r="F53" s="98" t="s">
        <v>67</v>
      </c>
      <c r="G53" s="22" t="s">
        <v>33</v>
      </c>
      <c r="H53" s="53"/>
      <c r="I53" s="28"/>
      <c r="J53" s="221"/>
      <c r="K53" s="28"/>
      <c r="L53" s="29"/>
      <c r="M53" s="233"/>
    </row>
    <row r="54" spans="1:13" s="3" customFormat="1" ht="22.5" x14ac:dyDescent="0.25">
      <c r="A54" s="25"/>
      <c r="B54" s="26" t="s">
        <v>78</v>
      </c>
      <c r="C54" s="338" t="s">
        <v>79</v>
      </c>
      <c r="D54" s="338"/>
      <c r="E54" s="338"/>
      <c r="F54" s="98" t="s">
        <v>46</v>
      </c>
      <c r="G54" s="22" t="s">
        <v>33</v>
      </c>
      <c r="H54" s="53"/>
      <c r="I54" s="28"/>
      <c r="J54" s="221"/>
      <c r="K54" s="28"/>
      <c r="L54" s="29"/>
      <c r="M54" s="233"/>
    </row>
    <row r="55" spans="1:13" s="3" customFormat="1" ht="22.5" x14ac:dyDescent="0.25">
      <c r="A55" s="25"/>
      <c r="B55" s="26" t="s">
        <v>102</v>
      </c>
      <c r="C55" s="338" t="s">
        <v>103</v>
      </c>
      <c r="D55" s="338"/>
      <c r="E55" s="338"/>
      <c r="F55" s="98" t="s">
        <v>67</v>
      </c>
      <c r="G55" s="22" t="s">
        <v>33</v>
      </c>
      <c r="H55" s="53"/>
      <c r="I55" s="28"/>
      <c r="J55" s="221"/>
      <c r="K55" s="28"/>
      <c r="L55" s="29"/>
      <c r="M55" s="233"/>
    </row>
    <row r="56" spans="1:13" s="3" customFormat="1" ht="22.5" x14ac:dyDescent="0.25">
      <c r="A56" s="25"/>
      <c r="B56" s="26" t="s">
        <v>104</v>
      </c>
      <c r="C56" s="338" t="s">
        <v>105</v>
      </c>
      <c r="D56" s="338"/>
      <c r="E56" s="338"/>
      <c r="F56" s="98" t="s">
        <v>46</v>
      </c>
      <c r="G56" s="22" t="s">
        <v>33</v>
      </c>
      <c r="H56" s="53"/>
      <c r="I56" s="28"/>
      <c r="J56" s="221"/>
      <c r="K56" s="28"/>
      <c r="L56" s="29"/>
      <c r="M56" s="233"/>
    </row>
    <row r="57" spans="1:13" s="3" customFormat="1" ht="22.5" x14ac:dyDescent="0.25">
      <c r="A57" s="25"/>
      <c r="B57" s="26" t="s">
        <v>106</v>
      </c>
      <c r="C57" s="338" t="s">
        <v>107</v>
      </c>
      <c r="D57" s="338"/>
      <c r="E57" s="338"/>
      <c r="F57" s="98" t="s">
        <v>46</v>
      </c>
      <c r="G57" s="22" t="s">
        <v>33</v>
      </c>
      <c r="H57" s="53"/>
      <c r="I57" s="28"/>
      <c r="J57" s="221"/>
      <c r="K57" s="28"/>
      <c r="L57" s="29"/>
      <c r="M57" s="233"/>
    </row>
    <row r="58" spans="1:13" s="3" customFormat="1" ht="22.5" x14ac:dyDescent="0.25">
      <c r="A58" s="25"/>
      <c r="B58" s="26" t="s">
        <v>108</v>
      </c>
      <c r="C58" s="338" t="s">
        <v>109</v>
      </c>
      <c r="D58" s="338"/>
      <c r="E58" s="338"/>
      <c r="F58" s="98" t="s">
        <v>46</v>
      </c>
      <c r="G58" s="22" t="s">
        <v>33</v>
      </c>
      <c r="H58" s="53"/>
      <c r="I58" s="28"/>
      <c r="J58" s="221"/>
      <c r="K58" s="28"/>
      <c r="L58" s="29"/>
      <c r="M58" s="233"/>
    </row>
    <row r="59" spans="1:13" s="3" customFormat="1" ht="22.5" hidden="1" x14ac:dyDescent="0.25">
      <c r="A59" s="36" t="s">
        <v>75</v>
      </c>
      <c r="B59" s="37" t="s">
        <v>110</v>
      </c>
      <c r="C59" s="352" t="s">
        <v>111</v>
      </c>
      <c r="D59" s="352"/>
      <c r="E59" s="352"/>
      <c r="F59" s="99" t="s">
        <v>112</v>
      </c>
      <c r="G59" s="39" t="s">
        <v>33</v>
      </c>
      <c r="H59" s="93"/>
      <c r="I59" s="40"/>
      <c r="J59" s="222"/>
      <c r="K59" s="40"/>
      <c r="L59" s="41"/>
      <c r="M59" s="234"/>
    </row>
    <row r="60" spans="1:13" s="3" customFormat="1" ht="22.5" hidden="1" x14ac:dyDescent="0.25">
      <c r="A60" s="36" t="s">
        <v>75</v>
      </c>
      <c r="B60" s="37" t="s">
        <v>113</v>
      </c>
      <c r="C60" s="352" t="s">
        <v>114</v>
      </c>
      <c r="D60" s="352"/>
      <c r="E60" s="352"/>
      <c r="F60" s="99" t="s">
        <v>38</v>
      </c>
      <c r="G60" s="39" t="s">
        <v>33</v>
      </c>
      <c r="H60" s="93"/>
      <c r="I60" s="40"/>
      <c r="J60" s="222"/>
      <c r="K60" s="40"/>
      <c r="L60" s="41"/>
      <c r="M60" s="234"/>
    </row>
    <row r="61" spans="1:13" s="3" customFormat="1" ht="22.5" hidden="1" x14ac:dyDescent="0.25">
      <c r="A61" s="36" t="s">
        <v>75</v>
      </c>
      <c r="B61" s="37" t="s">
        <v>115</v>
      </c>
      <c r="C61" s="352" t="s">
        <v>116</v>
      </c>
      <c r="D61" s="352"/>
      <c r="E61" s="352"/>
      <c r="F61" s="99" t="s">
        <v>67</v>
      </c>
      <c r="G61" s="39" t="s">
        <v>33</v>
      </c>
      <c r="H61" s="93"/>
      <c r="I61" s="40"/>
      <c r="J61" s="222"/>
      <c r="K61" s="40"/>
      <c r="L61" s="41"/>
      <c r="M61" s="234"/>
    </row>
    <row r="62" spans="1:13" s="3" customFormat="1" ht="22.5" hidden="1" x14ac:dyDescent="0.25">
      <c r="A62" s="36" t="s">
        <v>75</v>
      </c>
      <c r="B62" s="37" t="s">
        <v>117</v>
      </c>
      <c r="C62" s="352" t="s">
        <v>118</v>
      </c>
      <c r="D62" s="352"/>
      <c r="E62" s="352"/>
      <c r="F62" s="99" t="s">
        <v>38</v>
      </c>
      <c r="G62" s="39" t="s">
        <v>33</v>
      </c>
      <c r="H62" s="93"/>
      <c r="I62" s="40"/>
      <c r="J62" s="222"/>
      <c r="K62" s="40"/>
      <c r="L62" s="41"/>
      <c r="M62" s="234"/>
    </row>
    <row r="63" spans="1:13" s="3" customFormat="1" ht="15" customHeight="1" x14ac:dyDescent="0.25">
      <c r="A63" s="345" t="s">
        <v>119</v>
      </c>
      <c r="B63" s="346"/>
      <c r="C63" s="346"/>
      <c r="D63" s="346"/>
      <c r="E63" s="346"/>
      <c r="F63" s="346"/>
      <c r="G63" s="346"/>
      <c r="H63" s="94"/>
      <c r="I63" s="94"/>
      <c r="J63" s="257"/>
      <c r="K63" s="94"/>
      <c r="L63" s="95"/>
      <c r="M63" s="261"/>
    </row>
    <row r="64" spans="1:13" s="3" customFormat="1" ht="26.25" customHeight="1" x14ac:dyDescent="0.25">
      <c r="A64" s="16" t="s">
        <v>47</v>
      </c>
      <c r="B64" s="17" t="s">
        <v>120</v>
      </c>
      <c r="C64" s="349" t="s">
        <v>121</v>
      </c>
      <c r="D64" s="350"/>
      <c r="E64" s="351"/>
      <c r="F64" s="16" t="s">
        <v>122</v>
      </c>
      <c r="G64" s="31">
        <v>0.48</v>
      </c>
      <c r="H64" s="52">
        <v>127437.33</v>
      </c>
      <c r="I64" s="19">
        <v>61169.919999999998</v>
      </c>
      <c r="J64" s="220">
        <f>I64*1.2</f>
        <v>73403.903999999995</v>
      </c>
      <c r="K64" s="19"/>
      <c r="L64" s="19"/>
      <c r="M64" s="220"/>
    </row>
    <row r="65" spans="1:13" s="3" customFormat="1" ht="15" customHeight="1" x14ac:dyDescent="0.25">
      <c r="A65" s="345" t="s">
        <v>92</v>
      </c>
      <c r="B65" s="346"/>
      <c r="C65" s="346"/>
      <c r="D65" s="346"/>
      <c r="E65" s="346"/>
      <c r="F65" s="346"/>
      <c r="G65" s="346"/>
      <c r="H65" s="94"/>
      <c r="I65" s="94"/>
      <c r="J65" s="257"/>
      <c r="K65" s="94"/>
      <c r="L65" s="95"/>
      <c r="M65" s="261"/>
    </row>
    <row r="66" spans="1:13" s="3" customFormat="1" ht="36.75" customHeight="1" x14ac:dyDescent="0.25">
      <c r="A66" s="16" t="s">
        <v>52</v>
      </c>
      <c r="B66" s="17" t="s">
        <v>93</v>
      </c>
      <c r="C66" s="349" t="s">
        <v>94</v>
      </c>
      <c r="D66" s="350"/>
      <c r="E66" s="351"/>
      <c r="F66" s="16" t="s">
        <v>50</v>
      </c>
      <c r="G66" s="31">
        <v>24.23</v>
      </c>
      <c r="H66" s="52">
        <v>70.680000000000007</v>
      </c>
      <c r="I66" s="19">
        <v>1712.64</v>
      </c>
      <c r="J66" s="220">
        <f>I66*1.2</f>
        <v>2055.1680000000001</v>
      </c>
      <c r="K66" s="19"/>
      <c r="L66" s="19"/>
      <c r="M66" s="220"/>
    </row>
    <row r="67" spans="1:13" s="3" customFormat="1" ht="36.75" customHeight="1" x14ac:dyDescent="0.25">
      <c r="A67" s="16" t="s">
        <v>55</v>
      </c>
      <c r="B67" s="17" t="s">
        <v>48</v>
      </c>
      <c r="C67" s="349" t="s">
        <v>49</v>
      </c>
      <c r="D67" s="350"/>
      <c r="E67" s="351"/>
      <c r="F67" s="16" t="s">
        <v>50</v>
      </c>
      <c r="G67" s="31">
        <v>24.23</v>
      </c>
      <c r="H67" s="52">
        <v>831.6</v>
      </c>
      <c r="I67" s="19">
        <v>20149.759999999998</v>
      </c>
      <c r="J67" s="220">
        <f>I67*1.2</f>
        <v>24179.711999999996</v>
      </c>
      <c r="K67" s="19"/>
      <c r="L67" s="19"/>
      <c r="M67" s="220"/>
    </row>
    <row r="68" spans="1:13" s="3" customFormat="1" ht="20.25" customHeight="1" x14ac:dyDescent="0.25">
      <c r="A68" s="330" t="s">
        <v>57</v>
      </c>
      <c r="B68" s="331"/>
      <c r="C68" s="331"/>
      <c r="D68" s="331"/>
      <c r="E68" s="331"/>
      <c r="F68" s="331"/>
      <c r="G68" s="331"/>
      <c r="H68" s="60"/>
      <c r="I68" s="61">
        <f>SUM(I12:I67)</f>
        <v>16073424.7662</v>
      </c>
      <c r="J68" s="223">
        <f>SUM(J12:J67)</f>
        <v>19288109.719440002</v>
      </c>
      <c r="K68" s="66"/>
      <c r="L68" s="81">
        <f>SUM(L12:L67)</f>
        <v>0</v>
      </c>
      <c r="M68" s="253">
        <f>SUM(M12:M67)</f>
        <v>0</v>
      </c>
    </row>
    <row r="69" spans="1:13" s="48" customFormat="1" ht="20.25" customHeight="1" thickBot="1" x14ac:dyDescent="0.3">
      <c r="A69" s="332" t="s">
        <v>829</v>
      </c>
      <c r="B69" s="333"/>
      <c r="C69" s="333"/>
      <c r="D69" s="333"/>
      <c r="E69" s="333"/>
      <c r="F69" s="333"/>
      <c r="G69" s="333"/>
      <c r="H69" s="82"/>
      <c r="I69" s="322">
        <f>I68+L68</f>
        <v>16073424.7662</v>
      </c>
      <c r="J69" s="323"/>
      <c r="K69" s="323"/>
      <c r="L69" s="323"/>
      <c r="M69" s="324"/>
    </row>
    <row r="70" spans="1:13" s="48" customFormat="1" ht="20.25" customHeight="1" thickBot="1" x14ac:dyDescent="0.3">
      <c r="A70" s="332" t="s">
        <v>828</v>
      </c>
      <c r="B70" s="333"/>
      <c r="C70" s="333"/>
      <c r="D70" s="333"/>
      <c r="E70" s="333"/>
      <c r="F70" s="333"/>
      <c r="G70" s="333"/>
      <c r="H70" s="82"/>
      <c r="I70" s="325">
        <f>J68+M68</f>
        <v>19288109.719440002</v>
      </c>
      <c r="J70" s="326"/>
      <c r="K70" s="326"/>
      <c r="L70" s="326"/>
      <c r="M70" s="327"/>
    </row>
    <row r="71" spans="1:13" s="3" customFormat="1" ht="15" x14ac:dyDescent="0.25">
      <c r="A71" s="4"/>
      <c r="B71" s="4"/>
      <c r="C71" s="4"/>
      <c r="D71" s="4"/>
      <c r="E71" s="4"/>
      <c r="F71" s="62"/>
      <c r="G71" s="4"/>
      <c r="H71" s="4"/>
      <c r="I71" s="35"/>
      <c r="J71" s="258"/>
      <c r="K71" s="35"/>
      <c r="L71" s="4"/>
      <c r="M71" s="236"/>
    </row>
  </sheetData>
  <autoFilter ref="A9:M70">
    <filterColumn colId="0">
      <filters blank="1">
        <filter val="1"/>
        <filter val="2"/>
        <filter val="3"/>
        <filter val="4"/>
        <filter val="5"/>
        <filter val="6"/>
        <filter val="7"/>
        <filter val="8"/>
        <filter val="9"/>
        <filter val="ВСЕГО по смете"/>
        <filter val="ВСЕГО, без НДС"/>
        <filter val="ВСЕГО, с НДС"/>
        <filter val="Вывоз мусора"/>
        <filter val="Демонтаж железобетонного лотка h-1,00 м (междупутного)"/>
        <filter val="Демонтаж железобетонного лотка II типа h-1,25 м (междупутного)"/>
        <filter val="Демонтаж железобетонного лотка II типа h-1,50 м (междупутного)"/>
        <filter val="Засыпка котлована местным грунтом"/>
        <filter val="Разборка железобетонного колодца диаметром 1,0 м"/>
        <filter val="Раздел 1. Демонтаж лотков"/>
        <filter val="Раздел 2. Разборка железобетонного колодца"/>
      </filters>
    </filterColumn>
    <filterColumn colId="2" showButton="0"/>
    <filterColumn colId="3" showButton="0"/>
  </autoFilter>
  <mergeCells count="70">
    <mergeCell ref="A70:G70"/>
    <mergeCell ref="I69:M69"/>
    <mergeCell ref="I70:M70"/>
    <mergeCell ref="A2:M2"/>
    <mergeCell ref="A3:M3"/>
    <mergeCell ref="A4:M4"/>
    <mergeCell ref="C9:E9"/>
    <mergeCell ref="C12:E12"/>
    <mergeCell ref="C13:E13"/>
    <mergeCell ref="A5:M5"/>
    <mergeCell ref="C6:G6"/>
    <mergeCell ref="C19:E19"/>
    <mergeCell ref="C20:E20"/>
    <mergeCell ref="C8:E8"/>
    <mergeCell ref="C21:E21"/>
    <mergeCell ref="C22:E22"/>
    <mergeCell ref="C14:E14"/>
    <mergeCell ref="C15:E15"/>
    <mergeCell ref="C16:E16"/>
    <mergeCell ref="C17:E17"/>
    <mergeCell ref="C18:E18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41:E41"/>
    <mergeCell ref="C42:E42"/>
    <mergeCell ref="C43:E43"/>
    <mergeCell ref="C34:E34"/>
    <mergeCell ref="C36:E36"/>
    <mergeCell ref="C37:E37"/>
    <mergeCell ref="C38:E38"/>
    <mergeCell ref="A35:G35"/>
    <mergeCell ref="A69:G69"/>
    <mergeCell ref="A65:G65"/>
    <mergeCell ref="A63:G63"/>
    <mergeCell ref="A51:G51"/>
    <mergeCell ref="C59:E59"/>
    <mergeCell ref="C60:E60"/>
    <mergeCell ref="C61:E61"/>
    <mergeCell ref="C62:E62"/>
    <mergeCell ref="C54:E54"/>
    <mergeCell ref="C55:E55"/>
    <mergeCell ref="C56:E56"/>
    <mergeCell ref="C57:E57"/>
    <mergeCell ref="C58:E58"/>
    <mergeCell ref="C52:E52"/>
    <mergeCell ref="C53:E53"/>
    <mergeCell ref="A23:G23"/>
    <mergeCell ref="A11:G11"/>
    <mergeCell ref="A10:G10"/>
    <mergeCell ref="A68:G68"/>
    <mergeCell ref="C64:E64"/>
    <mergeCell ref="C66:E66"/>
    <mergeCell ref="C67:E67"/>
    <mergeCell ref="C49:E49"/>
    <mergeCell ref="C44:E44"/>
    <mergeCell ref="C45:E45"/>
    <mergeCell ref="C46:E46"/>
    <mergeCell ref="C48:E48"/>
    <mergeCell ref="A50:G50"/>
    <mergeCell ref="A47:G47"/>
    <mergeCell ref="C39:E39"/>
    <mergeCell ref="C40:E40"/>
  </mergeCells>
  <printOptions horizontalCentered="1"/>
  <pageMargins left="0.39370077848434498" right="0.39370077848434498" top="0.35433071851730302" bottom="0.31496062874794001" header="0.118110239505768" footer="0.118110239505768"/>
  <pageSetup paperSize="9" scale="94" fitToHeight="0" orientation="landscape" r:id="rId1"/>
  <headerFooter>
    <oddFooter>&amp;RСтраница &amp;P</oddFooter>
  </headerFooter>
  <ignoredErrors>
    <ignoredError sqref="A1:XFD8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9" tint="0.39997558519241921"/>
    <pageSetUpPr fitToPage="1"/>
  </sheetPr>
  <dimension ref="A1:BO60"/>
  <sheetViews>
    <sheetView topLeftCell="A39" workbookViewId="0">
      <selection activeCell="N42" sqref="N42:N48"/>
    </sheetView>
  </sheetViews>
  <sheetFormatPr defaultColWidth="9.140625" defaultRowHeight="11.25" customHeight="1" x14ac:dyDescent="0.2"/>
  <cols>
    <col min="1" max="1" width="9" style="1" customWidth="1"/>
    <col min="2" max="2" width="16.140625" style="1" customWidth="1"/>
    <col min="3" max="3" width="15.42578125" style="1" customWidth="1"/>
    <col min="4" max="4" width="15.140625" style="1" customWidth="1"/>
    <col min="5" max="5" width="25.7109375" style="1" customWidth="1"/>
    <col min="6" max="7" width="10.7109375" style="1" customWidth="1"/>
    <col min="8" max="9" width="17.42578125" style="49" customWidth="1"/>
    <col min="10" max="10" width="17.42578125" style="213" customWidth="1"/>
    <col min="11" max="12" width="17.42578125" style="49" customWidth="1"/>
    <col min="13" max="13" width="17.42578125" style="213" customWidth="1"/>
    <col min="14" max="14" width="19.5703125" style="1" customWidth="1"/>
    <col min="15" max="16" width="10.7109375" style="1" customWidth="1"/>
    <col min="17" max="46" width="172.5703125" style="2" hidden="1" customWidth="1"/>
    <col min="47" max="56" width="109.28515625" style="2" hidden="1" customWidth="1"/>
    <col min="57" max="58" width="172.5703125" style="2" hidden="1" customWidth="1"/>
    <col min="59" max="62" width="34.140625" style="2" hidden="1" customWidth="1"/>
    <col min="63" max="65" width="127.5703125" style="2" hidden="1" customWidth="1"/>
    <col min="66" max="66" width="9.140625" style="1"/>
    <col min="67" max="67" width="10" style="1" bestFit="1" customWidth="1"/>
    <col min="68" max="16384" width="9.140625" style="1"/>
  </cols>
  <sheetData>
    <row r="1" spans="1:59" s="3" customFormat="1" ht="15" x14ac:dyDescent="0.25">
      <c r="A1" s="88" t="s">
        <v>704</v>
      </c>
      <c r="B1" s="4"/>
      <c r="C1" s="4"/>
      <c r="D1" s="4"/>
      <c r="E1" s="4"/>
      <c r="F1" s="4"/>
      <c r="G1" s="4"/>
      <c r="H1" s="49"/>
      <c r="I1" s="49"/>
      <c r="J1" s="213"/>
      <c r="K1" s="49"/>
      <c r="L1" s="49"/>
      <c r="M1" s="213"/>
    </row>
    <row r="2" spans="1:59" s="3" customFormat="1" ht="15" x14ac:dyDescent="0.25">
      <c r="A2" s="339" t="s">
        <v>0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5" x14ac:dyDescent="0.25">
      <c r="A3" s="328" t="s">
        <v>2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</row>
    <row r="4" spans="1:59" s="3" customFormat="1" ht="15" x14ac:dyDescent="0.25">
      <c r="A4" s="7"/>
      <c r="B4" s="7"/>
      <c r="C4" s="7"/>
      <c r="D4" s="7"/>
      <c r="E4" s="7"/>
      <c r="F4" s="7"/>
      <c r="G4" s="7"/>
      <c r="H4" s="114"/>
      <c r="I4" s="114"/>
      <c r="J4" s="214"/>
      <c r="K4" s="114"/>
      <c r="L4" s="49"/>
      <c r="M4" s="213"/>
    </row>
    <row r="5" spans="1:59" s="3" customFormat="1" ht="15" x14ac:dyDescent="0.25">
      <c r="A5" s="340" t="s">
        <v>578</v>
      </c>
      <c r="B5" s="340"/>
      <c r="C5" s="340"/>
      <c r="D5" s="340"/>
      <c r="E5" s="340"/>
      <c r="F5" s="340"/>
      <c r="G5" s="340"/>
      <c r="H5" s="340"/>
      <c r="I5" s="340"/>
      <c r="J5" s="340"/>
      <c r="K5" s="340"/>
      <c r="L5" s="340"/>
      <c r="M5" s="340"/>
      <c r="AF5" s="6" t="s">
        <v>578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25">
      <c r="A6" s="328" t="s">
        <v>4</v>
      </c>
      <c r="B6" s="328"/>
      <c r="C6" s="328"/>
      <c r="D6" s="328"/>
      <c r="E6" s="328"/>
      <c r="F6" s="328"/>
      <c r="G6" s="328"/>
      <c r="H6" s="328"/>
      <c r="I6" s="328"/>
      <c r="J6" s="328"/>
      <c r="K6" s="328"/>
      <c r="L6" s="328"/>
      <c r="M6" s="328"/>
    </row>
    <row r="7" spans="1:59" s="3" customFormat="1" ht="30.75" customHeight="1" x14ac:dyDescent="0.25">
      <c r="A7" s="4"/>
      <c r="B7" s="8" t="s">
        <v>5</v>
      </c>
      <c r="C7" s="329" t="s">
        <v>579</v>
      </c>
      <c r="D7" s="329"/>
      <c r="E7" s="329"/>
      <c r="F7" s="329"/>
      <c r="G7" s="329"/>
      <c r="H7" s="50"/>
      <c r="I7" s="102"/>
      <c r="J7" s="215"/>
      <c r="K7" s="102"/>
      <c r="L7" s="102"/>
      <c r="M7" s="215"/>
    </row>
    <row r="8" spans="1:59" s="3" customFormat="1" ht="15.75" thickBot="1" x14ac:dyDescent="0.3">
      <c r="A8" s="13"/>
      <c r="H8" s="51"/>
      <c r="I8" s="51"/>
      <c r="J8" s="216"/>
      <c r="K8" s="51"/>
      <c r="L8" s="51"/>
      <c r="M8" s="216"/>
    </row>
    <row r="9" spans="1:59" s="3" customFormat="1" ht="36" customHeight="1" x14ac:dyDescent="0.25">
      <c r="A9" s="68" t="s">
        <v>7</v>
      </c>
      <c r="B9" s="69" t="s">
        <v>8</v>
      </c>
      <c r="C9" s="335" t="s">
        <v>9</v>
      </c>
      <c r="D9" s="336"/>
      <c r="E9" s="337"/>
      <c r="F9" s="70" t="s">
        <v>10</v>
      </c>
      <c r="G9" s="71" t="s">
        <v>11</v>
      </c>
      <c r="H9" s="72" t="s">
        <v>819</v>
      </c>
      <c r="I9" s="72" t="s">
        <v>820</v>
      </c>
      <c r="J9" s="217" t="s">
        <v>823</v>
      </c>
      <c r="K9" s="72" t="s">
        <v>821</v>
      </c>
      <c r="L9" s="103" t="s">
        <v>822</v>
      </c>
      <c r="M9" s="229" t="s">
        <v>824</v>
      </c>
    </row>
    <row r="10" spans="1:59" s="3" customFormat="1" ht="15.75" thickBot="1" x14ac:dyDescent="0.3">
      <c r="A10" s="83">
        <v>1</v>
      </c>
      <c r="B10" s="84">
        <v>2</v>
      </c>
      <c r="C10" s="355">
        <v>3</v>
      </c>
      <c r="D10" s="356"/>
      <c r="E10" s="357"/>
      <c r="F10" s="85">
        <v>4</v>
      </c>
      <c r="G10" s="84">
        <v>5</v>
      </c>
      <c r="H10" s="113">
        <v>6</v>
      </c>
      <c r="I10" s="104" t="s">
        <v>47</v>
      </c>
      <c r="J10" s="104" t="s">
        <v>52</v>
      </c>
      <c r="K10" s="104" t="s">
        <v>55</v>
      </c>
      <c r="L10" s="104" t="s">
        <v>56</v>
      </c>
      <c r="M10" s="104" t="s">
        <v>163</v>
      </c>
    </row>
    <row r="11" spans="1:59" s="3" customFormat="1" ht="15" x14ac:dyDescent="0.25">
      <c r="A11" s="123"/>
      <c r="B11" s="123"/>
      <c r="C11" s="123"/>
      <c r="D11" s="123"/>
      <c r="E11" s="123"/>
      <c r="F11" s="124"/>
      <c r="G11" s="123"/>
      <c r="H11" s="125"/>
      <c r="I11" s="126"/>
      <c r="J11" s="265"/>
      <c r="K11" s="126"/>
      <c r="L11" s="127"/>
      <c r="M11" s="262"/>
    </row>
    <row r="12" spans="1:59" s="3" customFormat="1" ht="15" customHeight="1" x14ac:dyDescent="0.25">
      <c r="A12" s="353" t="s">
        <v>580</v>
      </c>
      <c r="B12" s="354"/>
      <c r="C12" s="354"/>
      <c r="D12" s="354"/>
      <c r="E12" s="354"/>
      <c r="F12" s="354"/>
      <c r="G12" s="354"/>
      <c r="H12" s="137"/>
      <c r="I12" s="137"/>
      <c r="J12" s="266"/>
      <c r="K12" s="137"/>
      <c r="L12" s="138"/>
      <c r="M12" s="263"/>
      <c r="BE12" s="14" t="s">
        <v>580</v>
      </c>
    </row>
    <row r="13" spans="1:59" s="3" customFormat="1" ht="15" customHeight="1" x14ac:dyDescent="0.25">
      <c r="A13" s="358" t="s">
        <v>581</v>
      </c>
      <c r="B13" s="321"/>
      <c r="C13" s="321"/>
      <c r="D13" s="321"/>
      <c r="E13" s="321"/>
      <c r="F13" s="321"/>
      <c r="G13" s="321"/>
      <c r="H13" s="111"/>
      <c r="I13" s="111"/>
      <c r="J13" s="219"/>
      <c r="K13" s="111"/>
      <c r="L13" s="112"/>
      <c r="M13" s="232"/>
      <c r="BE13" s="14"/>
      <c r="BF13" s="15" t="s">
        <v>581</v>
      </c>
    </row>
    <row r="14" spans="1:59" s="3" customFormat="1" ht="34.5" x14ac:dyDescent="0.25">
      <c r="A14" s="16" t="s">
        <v>15</v>
      </c>
      <c r="B14" s="17" t="s">
        <v>217</v>
      </c>
      <c r="C14" s="319" t="s">
        <v>218</v>
      </c>
      <c r="D14" s="319"/>
      <c r="E14" s="319"/>
      <c r="F14" s="16" t="s">
        <v>43</v>
      </c>
      <c r="G14" s="18">
        <v>0.46700000000000003</v>
      </c>
      <c r="H14" s="52">
        <v>14565.14</v>
      </c>
      <c r="I14" s="19">
        <v>6801.92</v>
      </c>
      <c r="J14" s="220">
        <f>I14*1.2</f>
        <v>8162.3040000000001</v>
      </c>
      <c r="K14" s="19"/>
      <c r="L14" s="19"/>
      <c r="M14" s="220"/>
      <c r="BE14" s="14"/>
      <c r="BF14" s="15"/>
      <c r="BG14" s="21" t="s">
        <v>218</v>
      </c>
    </row>
    <row r="15" spans="1:59" s="3" customFormat="1" ht="57" x14ac:dyDescent="0.25">
      <c r="A15" s="16" t="s">
        <v>20</v>
      </c>
      <c r="B15" s="17" t="s">
        <v>220</v>
      </c>
      <c r="C15" s="319" t="s">
        <v>221</v>
      </c>
      <c r="D15" s="319"/>
      <c r="E15" s="319"/>
      <c r="F15" s="16" t="s">
        <v>43</v>
      </c>
      <c r="G15" s="18">
        <v>0.46700000000000003</v>
      </c>
      <c r="H15" s="52">
        <v>96200.08</v>
      </c>
      <c r="I15" s="19">
        <v>44925.440000000002</v>
      </c>
      <c r="J15" s="220">
        <f>I15*1.2</f>
        <v>53910.527999999998</v>
      </c>
      <c r="K15" s="19"/>
      <c r="L15" s="19"/>
      <c r="M15" s="220"/>
      <c r="BE15" s="14"/>
      <c r="BF15" s="15"/>
      <c r="BG15" s="21" t="s">
        <v>221</v>
      </c>
    </row>
    <row r="16" spans="1:59" s="3" customFormat="1" ht="45.75" x14ac:dyDescent="0.25">
      <c r="A16" s="16" t="s">
        <v>22</v>
      </c>
      <c r="B16" s="17" t="s">
        <v>48</v>
      </c>
      <c r="C16" s="319" t="s">
        <v>49</v>
      </c>
      <c r="D16" s="319"/>
      <c r="E16" s="319"/>
      <c r="F16" s="16" t="s">
        <v>50</v>
      </c>
      <c r="G16" s="24">
        <v>560.4</v>
      </c>
      <c r="H16" s="52">
        <v>831.59</v>
      </c>
      <c r="I16" s="19">
        <v>466026.23999999999</v>
      </c>
      <c r="J16" s="220">
        <f>I16*1.2</f>
        <v>559231.48800000001</v>
      </c>
      <c r="K16" s="19"/>
      <c r="L16" s="19"/>
      <c r="M16" s="220"/>
      <c r="BE16" s="14"/>
      <c r="BF16" s="15"/>
      <c r="BG16" s="21" t="s">
        <v>49</v>
      </c>
    </row>
    <row r="17" spans="1:59" s="3" customFormat="1" ht="15" customHeight="1" x14ac:dyDescent="0.25">
      <c r="A17" s="358" t="s">
        <v>215</v>
      </c>
      <c r="B17" s="321"/>
      <c r="C17" s="321"/>
      <c r="D17" s="321"/>
      <c r="E17" s="321"/>
      <c r="F17" s="321"/>
      <c r="G17" s="321"/>
      <c r="H17" s="111"/>
      <c r="I17" s="111"/>
      <c r="J17" s="219"/>
      <c r="K17" s="111"/>
      <c r="L17" s="112"/>
      <c r="M17" s="232"/>
      <c r="BE17" s="14"/>
      <c r="BF17" s="15" t="s">
        <v>215</v>
      </c>
      <c r="BG17" s="21"/>
    </row>
    <row r="18" spans="1:59" s="3" customFormat="1" ht="34.5" x14ac:dyDescent="0.25">
      <c r="A18" s="16" t="s">
        <v>27</v>
      </c>
      <c r="B18" s="17" t="s">
        <v>217</v>
      </c>
      <c r="C18" s="319" t="s">
        <v>218</v>
      </c>
      <c r="D18" s="319"/>
      <c r="E18" s="319"/>
      <c r="F18" s="16" t="s">
        <v>43</v>
      </c>
      <c r="G18" s="30">
        <v>0.97709999999999997</v>
      </c>
      <c r="H18" s="52">
        <v>14567.48</v>
      </c>
      <c r="I18" s="19">
        <v>14233.88</v>
      </c>
      <c r="J18" s="220">
        <f>I18*1.2</f>
        <v>17080.655999999999</v>
      </c>
      <c r="K18" s="19"/>
      <c r="L18" s="19"/>
      <c r="M18" s="220"/>
      <c r="BE18" s="14"/>
      <c r="BF18" s="15"/>
      <c r="BG18" s="21" t="s">
        <v>218</v>
      </c>
    </row>
    <row r="19" spans="1:59" s="3" customFormat="1" ht="57" x14ac:dyDescent="0.25">
      <c r="A19" s="16" t="s">
        <v>35</v>
      </c>
      <c r="B19" s="17" t="s">
        <v>220</v>
      </c>
      <c r="C19" s="319" t="s">
        <v>221</v>
      </c>
      <c r="D19" s="319"/>
      <c r="E19" s="319"/>
      <c r="F19" s="16" t="s">
        <v>43</v>
      </c>
      <c r="G19" s="30">
        <v>0.97709999999999997</v>
      </c>
      <c r="H19" s="52">
        <v>96201.08</v>
      </c>
      <c r="I19" s="19">
        <v>93998.080000000002</v>
      </c>
      <c r="J19" s="220">
        <f>I19*1.2</f>
        <v>112797.696</v>
      </c>
      <c r="K19" s="19"/>
      <c r="L19" s="19"/>
      <c r="M19" s="220"/>
      <c r="BE19" s="14"/>
      <c r="BF19" s="15"/>
      <c r="BG19" s="21" t="s">
        <v>221</v>
      </c>
    </row>
    <row r="20" spans="1:59" s="3" customFormat="1" ht="45.75" x14ac:dyDescent="0.25">
      <c r="A20" s="16" t="s">
        <v>40</v>
      </c>
      <c r="B20" s="17" t="s">
        <v>168</v>
      </c>
      <c r="C20" s="319" t="s">
        <v>169</v>
      </c>
      <c r="D20" s="319"/>
      <c r="E20" s="319"/>
      <c r="F20" s="16" t="s">
        <v>50</v>
      </c>
      <c r="G20" s="31">
        <v>1758.78</v>
      </c>
      <c r="H20" s="52">
        <v>1467.9</v>
      </c>
      <c r="I20" s="19">
        <v>2581713.9199999999</v>
      </c>
      <c r="J20" s="220">
        <f>I20*1.2</f>
        <v>3098056.7039999999</v>
      </c>
      <c r="K20" s="19"/>
      <c r="L20" s="19"/>
      <c r="M20" s="220"/>
      <c r="BE20" s="14"/>
      <c r="BF20" s="15"/>
      <c r="BG20" s="21" t="s">
        <v>169</v>
      </c>
    </row>
    <row r="21" spans="1:59" s="3" customFormat="1" ht="15" customHeight="1" x14ac:dyDescent="0.25">
      <c r="A21" s="358" t="s">
        <v>223</v>
      </c>
      <c r="B21" s="321"/>
      <c r="C21" s="321"/>
      <c r="D21" s="321"/>
      <c r="E21" s="321"/>
      <c r="F21" s="321"/>
      <c r="G21" s="321"/>
      <c r="H21" s="111"/>
      <c r="I21" s="111"/>
      <c r="J21" s="219"/>
      <c r="K21" s="111"/>
      <c r="L21" s="112"/>
      <c r="M21" s="232"/>
      <c r="BE21" s="14"/>
      <c r="BF21" s="15" t="s">
        <v>223</v>
      </c>
      <c r="BG21" s="21"/>
    </row>
    <row r="22" spans="1:59" s="3" customFormat="1" ht="34.5" x14ac:dyDescent="0.25">
      <c r="A22" s="16" t="s">
        <v>47</v>
      </c>
      <c r="B22" s="17" t="s">
        <v>225</v>
      </c>
      <c r="C22" s="319" t="s">
        <v>226</v>
      </c>
      <c r="D22" s="319"/>
      <c r="E22" s="319"/>
      <c r="F22" s="16" t="s">
        <v>43</v>
      </c>
      <c r="G22" s="30">
        <v>1.0279</v>
      </c>
      <c r="H22" s="52">
        <v>19561.75</v>
      </c>
      <c r="I22" s="19">
        <v>20107.52</v>
      </c>
      <c r="J22" s="220">
        <f>I22*1.2</f>
        <v>24129.024000000001</v>
      </c>
      <c r="K22" s="19"/>
      <c r="L22" s="19"/>
      <c r="M22" s="220"/>
      <c r="BE22" s="14"/>
      <c r="BF22" s="15"/>
      <c r="BG22" s="21" t="s">
        <v>226</v>
      </c>
    </row>
    <row r="23" spans="1:59" s="3" customFormat="1" ht="57" x14ac:dyDescent="0.25">
      <c r="A23" s="16" t="s">
        <v>52</v>
      </c>
      <c r="B23" s="17" t="s">
        <v>228</v>
      </c>
      <c r="C23" s="319" t="s">
        <v>229</v>
      </c>
      <c r="D23" s="319"/>
      <c r="E23" s="319"/>
      <c r="F23" s="16" t="s">
        <v>43</v>
      </c>
      <c r="G23" s="30">
        <v>1.0279</v>
      </c>
      <c r="H23" s="52">
        <v>116244.77</v>
      </c>
      <c r="I23" s="19">
        <v>119488</v>
      </c>
      <c r="J23" s="220">
        <f>I23*1.2</f>
        <v>143385.60000000001</v>
      </c>
      <c r="K23" s="19"/>
      <c r="L23" s="19"/>
      <c r="M23" s="220"/>
      <c r="BE23" s="14"/>
      <c r="BF23" s="15"/>
      <c r="BG23" s="21" t="s">
        <v>229</v>
      </c>
    </row>
    <row r="24" spans="1:59" s="3" customFormat="1" ht="45.75" x14ac:dyDescent="0.25">
      <c r="A24" s="16" t="s">
        <v>55</v>
      </c>
      <c r="B24" s="17" t="s">
        <v>48</v>
      </c>
      <c r="C24" s="319" t="s">
        <v>49</v>
      </c>
      <c r="D24" s="319"/>
      <c r="E24" s="319"/>
      <c r="F24" s="16" t="s">
        <v>50</v>
      </c>
      <c r="G24" s="31">
        <v>1850.22</v>
      </c>
      <c r="H24" s="52">
        <v>831.59</v>
      </c>
      <c r="I24" s="19">
        <v>1538632.96</v>
      </c>
      <c r="J24" s="220">
        <f>I24*1.2</f>
        <v>1846359.5519999999</v>
      </c>
      <c r="K24" s="19"/>
      <c r="L24" s="19"/>
      <c r="M24" s="220"/>
      <c r="BE24" s="14"/>
      <c r="BF24" s="15"/>
      <c r="BG24" s="21" t="s">
        <v>49</v>
      </c>
    </row>
    <row r="25" spans="1:59" s="3" customFormat="1" ht="15" customHeight="1" x14ac:dyDescent="0.25">
      <c r="A25" s="358" t="s">
        <v>582</v>
      </c>
      <c r="B25" s="321"/>
      <c r="C25" s="321"/>
      <c r="D25" s="321"/>
      <c r="E25" s="321"/>
      <c r="F25" s="321"/>
      <c r="G25" s="321"/>
      <c r="H25" s="111"/>
      <c r="I25" s="111"/>
      <c r="J25" s="219"/>
      <c r="K25" s="111"/>
      <c r="L25" s="112"/>
      <c r="M25" s="232"/>
      <c r="BE25" s="14"/>
      <c r="BF25" s="15" t="s">
        <v>582</v>
      </c>
      <c r="BG25" s="21"/>
    </row>
    <row r="26" spans="1:59" s="3" customFormat="1" ht="34.5" x14ac:dyDescent="0.25">
      <c r="A26" s="16" t="s">
        <v>56</v>
      </c>
      <c r="B26" s="17" t="s">
        <v>225</v>
      </c>
      <c r="C26" s="319" t="s">
        <v>226</v>
      </c>
      <c r="D26" s="319"/>
      <c r="E26" s="319"/>
      <c r="F26" s="16" t="s">
        <v>43</v>
      </c>
      <c r="G26" s="18">
        <v>7.9000000000000001E-2</v>
      </c>
      <c r="H26" s="52">
        <v>19556.46</v>
      </c>
      <c r="I26" s="19">
        <v>1544.96</v>
      </c>
      <c r="J26" s="220">
        <f>I26*1.2</f>
        <v>1853.952</v>
      </c>
      <c r="K26" s="19"/>
      <c r="L26" s="19"/>
      <c r="M26" s="220"/>
      <c r="BE26" s="14"/>
      <c r="BF26" s="15"/>
      <c r="BG26" s="21" t="s">
        <v>226</v>
      </c>
    </row>
    <row r="27" spans="1:59" s="3" customFormat="1" ht="15" customHeight="1" x14ac:dyDescent="0.25">
      <c r="A27" s="358" t="s">
        <v>583</v>
      </c>
      <c r="B27" s="321"/>
      <c r="C27" s="321"/>
      <c r="D27" s="321"/>
      <c r="E27" s="321"/>
      <c r="F27" s="321"/>
      <c r="G27" s="321"/>
      <c r="H27" s="111"/>
      <c r="I27" s="111"/>
      <c r="J27" s="219"/>
      <c r="K27" s="111"/>
      <c r="L27" s="112"/>
      <c r="M27" s="232"/>
      <c r="BE27" s="14"/>
      <c r="BF27" s="15" t="s">
        <v>583</v>
      </c>
      <c r="BG27" s="21"/>
    </row>
    <row r="28" spans="1:59" s="3" customFormat="1" ht="34.5" x14ac:dyDescent="0.25">
      <c r="A28" s="16" t="s">
        <v>163</v>
      </c>
      <c r="B28" s="17" t="s">
        <v>584</v>
      </c>
      <c r="C28" s="319" t="s">
        <v>585</v>
      </c>
      <c r="D28" s="319"/>
      <c r="E28" s="319"/>
      <c r="F28" s="16" t="s">
        <v>43</v>
      </c>
      <c r="G28" s="30">
        <v>5.0582000000000003</v>
      </c>
      <c r="H28" s="52">
        <v>46162.45</v>
      </c>
      <c r="I28" s="19">
        <v>233498.88</v>
      </c>
      <c r="J28" s="220">
        <f>I28*1.2</f>
        <v>280198.65600000002</v>
      </c>
      <c r="K28" s="19"/>
      <c r="L28" s="19"/>
      <c r="M28" s="220"/>
      <c r="BE28" s="14"/>
      <c r="BF28" s="15"/>
      <c r="BG28" s="21" t="s">
        <v>585</v>
      </c>
    </row>
    <row r="29" spans="1:59" s="3" customFormat="1" ht="23.25" x14ac:dyDescent="0.25">
      <c r="A29" s="16" t="s">
        <v>166</v>
      </c>
      <c r="B29" s="17" t="s">
        <v>202</v>
      </c>
      <c r="C29" s="319" t="s">
        <v>79</v>
      </c>
      <c r="D29" s="319"/>
      <c r="E29" s="319"/>
      <c r="F29" s="16" t="s">
        <v>46</v>
      </c>
      <c r="G29" s="18">
        <v>5968.6760000000004</v>
      </c>
      <c r="H29" s="52"/>
      <c r="I29" s="19"/>
      <c r="J29" s="220"/>
      <c r="K29" s="19">
        <v>1636.77</v>
      </c>
      <c r="L29" s="19">
        <f>K29*G29</f>
        <v>9769349.8165199999</v>
      </c>
      <c r="M29" s="220">
        <f>L29*1.2</f>
        <v>11723219.779824</v>
      </c>
      <c r="BE29" s="14"/>
      <c r="BF29" s="15"/>
      <c r="BG29" s="21" t="s">
        <v>79</v>
      </c>
    </row>
    <row r="30" spans="1:59" s="3" customFormat="1" ht="15" customHeight="1" x14ac:dyDescent="0.25">
      <c r="A30" s="358" t="s">
        <v>586</v>
      </c>
      <c r="B30" s="321"/>
      <c r="C30" s="321"/>
      <c r="D30" s="321"/>
      <c r="E30" s="321"/>
      <c r="F30" s="321"/>
      <c r="G30" s="321"/>
      <c r="H30" s="111"/>
      <c r="I30" s="111"/>
      <c r="J30" s="219"/>
      <c r="K30" s="111"/>
      <c r="L30" s="112"/>
      <c r="M30" s="232"/>
      <c r="BE30" s="14"/>
      <c r="BF30" s="15" t="s">
        <v>586</v>
      </c>
      <c r="BG30" s="21"/>
    </row>
    <row r="31" spans="1:59" s="3" customFormat="1" ht="34.5" x14ac:dyDescent="0.25">
      <c r="A31" s="16" t="s">
        <v>167</v>
      </c>
      <c r="B31" s="17" t="s">
        <v>587</v>
      </c>
      <c r="C31" s="319" t="s">
        <v>588</v>
      </c>
      <c r="D31" s="319"/>
      <c r="E31" s="319"/>
      <c r="F31" s="16" t="s">
        <v>43</v>
      </c>
      <c r="G31" s="18">
        <v>7.9000000000000001E-2</v>
      </c>
      <c r="H31" s="52">
        <v>39048.1</v>
      </c>
      <c r="I31" s="19">
        <v>3084.8</v>
      </c>
      <c r="J31" s="220">
        <f>I31*1.2</f>
        <v>3701.76</v>
      </c>
      <c r="K31" s="19"/>
      <c r="L31" s="19"/>
      <c r="M31" s="220"/>
      <c r="BE31" s="14"/>
      <c r="BF31" s="15"/>
      <c r="BG31" s="21" t="s">
        <v>588</v>
      </c>
    </row>
    <row r="32" spans="1:59" s="3" customFormat="1" ht="23.25" x14ac:dyDescent="0.25">
      <c r="A32" s="16" t="s">
        <v>170</v>
      </c>
      <c r="B32" s="17" t="s">
        <v>180</v>
      </c>
      <c r="C32" s="319" t="s">
        <v>181</v>
      </c>
      <c r="D32" s="319"/>
      <c r="E32" s="319"/>
      <c r="F32" s="16" t="s">
        <v>122</v>
      </c>
      <c r="G32" s="31">
        <v>0.79</v>
      </c>
      <c r="H32" s="52">
        <v>13997.37</v>
      </c>
      <c r="I32" s="19">
        <v>11057.92</v>
      </c>
      <c r="J32" s="220">
        <f>I32*1.2</f>
        <v>13269.503999999999</v>
      </c>
      <c r="K32" s="19"/>
      <c r="L32" s="19"/>
      <c r="M32" s="220"/>
      <c r="BE32" s="14"/>
      <c r="BF32" s="15"/>
      <c r="BG32" s="21" t="s">
        <v>181</v>
      </c>
    </row>
    <row r="33" spans="1:62" s="3" customFormat="1" ht="15" customHeight="1" x14ac:dyDescent="0.25">
      <c r="A33" s="358" t="s">
        <v>589</v>
      </c>
      <c r="B33" s="321"/>
      <c r="C33" s="321"/>
      <c r="D33" s="321"/>
      <c r="E33" s="321"/>
      <c r="F33" s="321"/>
      <c r="G33" s="321"/>
      <c r="H33" s="111"/>
      <c r="I33" s="111"/>
      <c r="J33" s="219"/>
      <c r="K33" s="111"/>
      <c r="L33" s="112"/>
      <c r="M33" s="232"/>
      <c r="BE33" s="14"/>
      <c r="BF33" s="15" t="s">
        <v>589</v>
      </c>
      <c r="BG33" s="21"/>
    </row>
    <row r="34" spans="1:62" s="3" customFormat="1" ht="45.75" x14ac:dyDescent="0.25">
      <c r="A34" s="16" t="s">
        <v>173</v>
      </c>
      <c r="B34" s="17" t="s">
        <v>590</v>
      </c>
      <c r="C34" s="319" t="s">
        <v>591</v>
      </c>
      <c r="D34" s="319"/>
      <c r="E34" s="319"/>
      <c r="F34" s="16" t="s">
        <v>43</v>
      </c>
      <c r="G34" s="30">
        <v>5.1372</v>
      </c>
      <c r="H34" s="52">
        <v>46469.39</v>
      </c>
      <c r="I34" s="19">
        <v>238722.56</v>
      </c>
      <c r="J34" s="220">
        <f>I34*1.2</f>
        <v>286467.07199999999</v>
      </c>
      <c r="K34" s="19"/>
      <c r="L34" s="19"/>
      <c r="M34" s="220"/>
      <c r="BE34" s="14"/>
      <c r="BF34" s="15"/>
      <c r="BG34" s="21" t="s">
        <v>591</v>
      </c>
    </row>
    <row r="35" spans="1:62" s="3" customFormat="1" ht="34.5" x14ac:dyDescent="0.25">
      <c r="A35" s="16" t="s">
        <v>174</v>
      </c>
      <c r="B35" s="17" t="s">
        <v>592</v>
      </c>
      <c r="C35" s="319" t="s">
        <v>593</v>
      </c>
      <c r="D35" s="319"/>
      <c r="E35" s="319"/>
      <c r="F35" s="16" t="s">
        <v>43</v>
      </c>
      <c r="G35" s="30">
        <v>5.1372</v>
      </c>
      <c r="H35" s="52">
        <v>46381.440000000002</v>
      </c>
      <c r="I35" s="19">
        <v>238270.72</v>
      </c>
      <c r="J35" s="220">
        <f>I35*1.2</f>
        <v>285924.864</v>
      </c>
      <c r="K35" s="19"/>
      <c r="L35" s="19"/>
      <c r="M35" s="220"/>
      <c r="BE35" s="14"/>
      <c r="BF35" s="15"/>
      <c r="BG35" s="21" t="s">
        <v>593</v>
      </c>
    </row>
    <row r="36" spans="1:62" s="3" customFormat="1" ht="15" customHeight="1" x14ac:dyDescent="0.25">
      <c r="A36" s="358" t="s">
        <v>594</v>
      </c>
      <c r="B36" s="321"/>
      <c r="C36" s="321"/>
      <c r="D36" s="321"/>
      <c r="E36" s="321"/>
      <c r="F36" s="321"/>
      <c r="G36" s="321"/>
      <c r="H36" s="111"/>
      <c r="I36" s="111"/>
      <c r="J36" s="219"/>
      <c r="K36" s="111"/>
      <c r="L36" s="112"/>
      <c r="M36" s="232"/>
      <c r="BE36" s="14"/>
      <c r="BF36" s="15" t="s">
        <v>594</v>
      </c>
      <c r="BG36" s="21"/>
    </row>
    <row r="37" spans="1:62" s="3" customFormat="1" ht="34.5" x14ac:dyDescent="0.25">
      <c r="A37" s="16" t="s">
        <v>177</v>
      </c>
      <c r="B37" s="17" t="s">
        <v>460</v>
      </c>
      <c r="C37" s="319" t="s">
        <v>461</v>
      </c>
      <c r="D37" s="319"/>
      <c r="E37" s="319"/>
      <c r="F37" s="16" t="s">
        <v>186</v>
      </c>
      <c r="G37" s="30">
        <v>0.32229999999999998</v>
      </c>
      <c r="H37" s="52">
        <v>79238.47</v>
      </c>
      <c r="I37" s="19">
        <v>25538.560000000001</v>
      </c>
      <c r="J37" s="220">
        <f>I37*1.2</f>
        <v>30646.272000000001</v>
      </c>
      <c r="K37" s="19"/>
      <c r="L37" s="19"/>
      <c r="M37" s="220"/>
      <c r="BE37" s="14"/>
      <c r="BF37" s="15"/>
      <c r="BG37" s="21" t="s">
        <v>461</v>
      </c>
    </row>
    <row r="38" spans="1:62" s="3" customFormat="1" ht="23.25" x14ac:dyDescent="0.25">
      <c r="A38" s="25"/>
      <c r="B38" s="26" t="s">
        <v>271</v>
      </c>
      <c r="C38" s="338" t="s">
        <v>272</v>
      </c>
      <c r="D38" s="338"/>
      <c r="E38" s="338"/>
      <c r="F38" s="27" t="s">
        <v>67</v>
      </c>
      <c r="G38" s="22" t="s">
        <v>595</v>
      </c>
      <c r="H38" s="52"/>
      <c r="I38" s="28"/>
      <c r="J38" s="221"/>
      <c r="K38" s="19"/>
      <c r="L38" s="29">
        <v>529</v>
      </c>
      <c r="M38" s="233">
        <f>L38*1.2</f>
        <v>634.79999999999995</v>
      </c>
      <c r="BE38" s="14"/>
      <c r="BF38" s="15"/>
      <c r="BG38" s="21"/>
      <c r="BH38" s="42"/>
      <c r="BI38" s="12" t="s">
        <v>272</v>
      </c>
    </row>
    <row r="39" spans="1:62" s="3" customFormat="1" ht="23.25" x14ac:dyDescent="0.25">
      <c r="A39" s="25" t="s">
        <v>126</v>
      </c>
      <c r="B39" s="26" t="s">
        <v>596</v>
      </c>
      <c r="C39" s="338" t="s">
        <v>463</v>
      </c>
      <c r="D39" s="338"/>
      <c r="E39" s="338"/>
      <c r="F39" s="27" t="s">
        <v>155</v>
      </c>
      <c r="G39" s="22" t="s">
        <v>597</v>
      </c>
      <c r="H39" s="52"/>
      <c r="I39" s="28"/>
      <c r="J39" s="221"/>
      <c r="K39" s="19">
        <v>450</v>
      </c>
      <c r="L39" s="29">
        <f>K39*338.95</f>
        <v>152527.5</v>
      </c>
      <c r="M39" s="233">
        <f>L39*1.2</f>
        <v>183033</v>
      </c>
      <c r="BE39" s="14"/>
      <c r="BF39" s="15"/>
      <c r="BG39" s="21"/>
      <c r="BH39" s="42"/>
      <c r="BI39" s="12"/>
      <c r="BJ39" s="12" t="s">
        <v>463</v>
      </c>
    </row>
    <row r="40" spans="1:62" s="3" customFormat="1" ht="15" customHeight="1" x14ac:dyDescent="0.25">
      <c r="A40" s="353" t="s">
        <v>598</v>
      </c>
      <c r="B40" s="354"/>
      <c r="C40" s="354"/>
      <c r="D40" s="354"/>
      <c r="E40" s="354"/>
      <c r="F40" s="354"/>
      <c r="G40" s="354"/>
      <c r="H40" s="137"/>
      <c r="I40" s="137"/>
      <c r="J40" s="266"/>
      <c r="K40" s="137"/>
      <c r="L40" s="138"/>
      <c r="M40" s="263"/>
      <c r="BE40" s="14" t="s">
        <v>598</v>
      </c>
      <c r="BF40" s="15"/>
      <c r="BG40" s="21"/>
      <c r="BH40" s="42"/>
      <c r="BI40" s="12"/>
      <c r="BJ40" s="12"/>
    </row>
    <row r="41" spans="1:62" s="3" customFormat="1" ht="15" customHeight="1" x14ac:dyDescent="0.25">
      <c r="A41" s="358" t="s">
        <v>599</v>
      </c>
      <c r="B41" s="321"/>
      <c r="C41" s="321"/>
      <c r="D41" s="321"/>
      <c r="E41" s="321"/>
      <c r="F41" s="321"/>
      <c r="G41" s="321"/>
      <c r="H41" s="111"/>
      <c r="I41" s="111"/>
      <c r="J41" s="219"/>
      <c r="K41" s="111"/>
      <c r="L41" s="112"/>
      <c r="M41" s="232"/>
      <c r="BE41" s="14"/>
      <c r="BF41" s="15" t="s">
        <v>599</v>
      </c>
      <c r="BG41" s="21"/>
      <c r="BH41" s="42"/>
      <c r="BI41" s="12"/>
      <c r="BJ41" s="12"/>
    </row>
    <row r="42" spans="1:62" s="3" customFormat="1" ht="34.5" x14ac:dyDescent="0.25">
      <c r="A42" s="16" t="s">
        <v>179</v>
      </c>
      <c r="B42" s="17" t="s">
        <v>600</v>
      </c>
      <c r="C42" s="319" t="s">
        <v>601</v>
      </c>
      <c r="D42" s="319"/>
      <c r="E42" s="319"/>
      <c r="F42" s="16" t="s">
        <v>186</v>
      </c>
      <c r="G42" s="30">
        <v>18.194500000000001</v>
      </c>
      <c r="H42" s="52">
        <v>3472.66</v>
      </c>
      <c r="I42" s="19">
        <v>63183.360000000001</v>
      </c>
      <c r="J42" s="220">
        <f>I42*1.2</f>
        <v>75820.031999999992</v>
      </c>
      <c r="K42" s="19"/>
      <c r="L42" s="19"/>
      <c r="M42" s="220"/>
      <c r="BE42" s="14"/>
      <c r="BF42" s="15"/>
      <c r="BG42" s="21" t="s">
        <v>601</v>
      </c>
      <c r="BH42" s="42"/>
      <c r="BI42" s="12"/>
      <c r="BJ42" s="12"/>
    </row>
    <row r="43" spans="1:62" s="3" customFormat="1" ht="15" customHeight="1" x14ac:dyDescent="0.25">
      <c r="A43" s="358" t="s">
        <v>602</v>
      </c>
      <c r="B43" s="321"/>
      <c r="C43" s="321"/>
      <c r="D43" s="321"/>
      <c r="E43" s="321"/>
      <c r="F43" s="321"/>
      <c r="G43" s="321"/>
      <c r="H43" s="111"/>
      <c r="I43" s="111"/>
      <c r="J43" s="219"/>
      <c r="K43" s="111"/>
      <c r="L43" s="112"/>
      <c r="M43" s="232"/>
      <c r="BE43" s="14"/>
      <c r="BF43" s="15" t="s">
        <v>602</v>
      </c>
      <c r="BG43" s="21"/>
      <c r="BH43" s="42"/>
      <c r="BI43" s="12"/>
      <c r="BJ43" s="12"/>
    </row>
    <row r="44" spans="1:62" s="3" customFormat="1" ht="34.5" x14ac:dyDescent="0.25">
      <c r="A44" s="16" t="s">
        <v>183</v>
      </c>
      <c r="B44" s="17" t="s">
        <v>600</v>
      </c>
      <c r="C44" s="319" t="s">
        <v>601</v>
      </c>
      <c r="D44" s="319"/>
      <c r="E44" s="319"/>
      <c r="F44" s="16" t="s">
        <v>186</v>
      </c>
      <c r="G44" s="18">
        <v>1.272</v>
      </c>
      <c r="H44" s="52">
        <v>3472.7</v>
      </c>
      <c r="I44" s="19">
        <v>4417.28</v>
      </c>
      <c r="J44" s="220">
        <f>I44*1.2</f>
        <v>5300.7359999999999</v>
      </c>
      <c r="K44" s="19"/>
      <c r="L44" s="19"/>
      <c r="M44" s="220"/>
      <c r="BE44" s="14"/>
      <c r="BF44" s="15"/>
      <c r="BG44" s="21" t="s">
        <v>601</v>
      </c>
      <c r="BH44" s="42"/>
      <c r="BI44" s="12"/>
      <c r="BJ44" s="12"/>
    </row>
    <row r="45" spans="1:62" s="3" customFormat="1" ht="15" customHeight="1" x14ac:dyDescent="0.25">
      <c r="A45" s="358" t="s">
        <v>603</v>
      </c>
      <c r="B45" s="321"/>
      <c r="C45" s="321"/>
      <c r="D45" s="321"/>
      <c r="E45" s="321"/>
      <c r="F45" s="321"/>
      <c r="G45" s="321"/>
      <c r="H45" s="111"/>
      <c r="I45" s="111"/>
      <c r="J45" s="219"/>
      <c r="K45" s="111"/>
      <c r="L45" s="112"/>
      <c r="M45" s="232"/>
      <c r="BE45" s="14"/>
      <c r="BF45" s="15" t="s">
        <v>603</v>
      </c>
      <c r="BG45" s="21"/>
      <c r="BH45" s="42"/>
      <c r="BI45" s="12"/>
      <c r="BJ45" s="12"/>
    </row>
    <row r="46" spans="1:62" s="3" customFormat="1" ht="15" customHeight="1" x14ac:dyDescent="0.25">
      <c r="A46" s="358" t="s">
        <v>604</v>
      </c>
      <c r="B46" s="321"/>
      <c r="C46" s="321"/>
      <c r="D46" s="321"/>
      <c r="E46" s="321"/>
      <c r="F46" s="321"/>
      <c r="G46" s="321"/>
      <c r="H46" s="111"/>
      <c r="I46" s="111"/>
      <c r="J46" s="219"/>
      <c r="K46" s="111"/>
      <c r="L46" s="112"/>
      <c r="M46" s="232"/>
      <c r="BE46" s="14"/>
      <c r="BF46" s="15" t="s">
        <v>604</v>
      </c>
      <c r="BG46" s="21"/>
      <c r="BH46" s="42"/>
      <c r="BI46" s="12"/>
      <c r="BJ46" s="12"/>
    </row>
    <row r="47" spans="1:62" s="3" customFormat="1" ht="15" customHeight="1" x14ac:dyDescent="0.25">
      <c r="A47" s="353" t="s">
        <v>605</v>
      </c>
      <c r="B47" s="354"/>
      <c r="C47" s="354"/>
      <c r="D47" s="354"/>
      <c r="E47" s="354"/>
      <c r="F47" s="354"/>
      <c r="G47" s="354"/>
      <c r="H47" s="137"/>
      <c r="I47" s="137"/>
      <c r="J47" s="266"/>
      <c r="K47" s="137"/>
      <c r="L47" s="115"/>
      <c r="M47" s="264"/>
      <c r="BE47" s="14" t="s">
        <v>605</v>
      </c>
      <c r="BF47" s="15"/>
      <c r="BG47" s="21"/>
      <c r="BH47" s="42"/>
      <c r="BI47" s="12"/>
      <c r="BJ47" s="12"/>
    </row>
    <row r="48" spans="1:62" s="3" customFormat="1" ht="34.5" x14ac:dyDescent="0.25">
      <c r="A48" s="16" t="s">
        <v>189</v>
      </c>
      <c r="B48" s="17" t="s">
        <v>273</v>
      </c>
      <c r="C48" s="319" t="s">
        <v>274</v>
      </c>
      <c r="D48" s="319"/>
      <c r="E48" s="319"/>
      <c r="F48" s="16" t="s">
        <v>248</v>
      </c>
      <c r="G48" s="31">
        <v>8.02</v>
      </c>
      <c r="H48" s="52">
        <v>8668.25</v>
      </c>
      <c r="I48" s="19">
        <v>69519.360000000001</v>
      </c>
      <c r="J48" s="220">
        <f>I48*1.2</f>
        <v>83423.232000000004</v>
      </c>
      <c r="K48" s="19"/>
      <c r="L48" s="19"/>
      <c r="M48" s="220"/>
      <c r="BE48" s="14"/>
      <c r="BF48" s="15"/>
      <c r="BG48" s="21" t="s">
        <v>274</v>
      </c>
      <c r="BH48" s="42"/>
      <c r="BI48" s="12"/>
      <c r="BJ48" s="12"/>
    </row>
    <row r="49" spans="1:67" s="3" customFormat="1" ht="22.5" hidden="1" x14ac:dyDescent="0.25">
      <c r="A49" s="36" t="s">
        <v>140</v>
      </c>
      <c r="B49" s="37" t="s">
        <v>275</v>
      </c>
      <c r="C49" s="352" t="s">
        <v>276</v>
      </c>
      <c r="D49" s="352"/>
      <c r="E49" s="352"/>
      <c r="F49" s="38" t="s">
        <v>46</v>
      </c>
      <c r="G49" s="39" t="s">
        <v>606</v>
      </c>
      <c r="H49" s="52"/>
      <c r="I49" s="40"/>
      <c r="J49" s="222"/>
      <c r="K49" s="19"/>
      <c r="L49" s="41"/>
      <c r="M49" s="234"/>
      <c r="BE49" s="14"/>
      <c r="BF49" s="15"/>
      <c r="BG49" s="21"/>
      <c r="BH49" s="42" t="s">
        <v>276</v>
      </c>
      <c r="BI49" s="12"/>
      <c r="BJ49" s="12"/>
    </row>
    <row r="50" spans="1:67" s="3" customFormat="1" ht="22.5" hidden="1" x14ac:dyDescent="0.25">
      <c r="A50" s="36" t="s">
        <v>140</v>
      </c>
      <c r="B50" s="37" t="s">
        <v>277</v>
      </c>
      <c r="C50" s="352" t="s">
        <v>278</v>
      </c>
      <c r="D50" s="352"/>
      <c r="E50" s="352"/>
      <c r="F50" s="38" t="s">
        <v>72</v>
      </c>
      <c r="G50" s="39" t="s">
        <v>607</v>
      </c>
      <c r="H50" s="52"/>
      <c r="I50" s="40"/>
      <c r="J50" s="222"/>
      <c r="K50" s="19"/>
      <c r="L50" s="41"/>
      <c r="M50" s="234"/>
      <c r="BE50" s="14"/>
      <c r="BF50" s="15"/>
      <c r="BG50" s="21"/>
      <c r="BH50" s="42" t="s">
        <v>278</v>
      </c>
      <c r="BI50" s="12"/>
      <c r="BJ50" s="12"/>
    </row>
    <row r="51" spans="1:67" s="3" customFormat="1" ht="23.25" x14ac:dyDescent="0.25">
      <c r="A51" s="25"/>
      <c r="B51" s="26" t="s">
        <v>279</v>
      </c>
      <c r="C51" s="338" t="s">
        <v>280</v>
      </c>
      <c r="D51" s="338"/>
      <c r="E51" s="338"/>
      <c r="F51" s="27" t="s">
        <v>67</v>
      </c>
      <c r="G51" s="22" t="s">
        <v>608</v>
      </c>
      <c r="H51" s="52"/>
      <c r="I51" s="28"/>
      <c r="J51" s="221"/>
      <c r="K51" s="19">
        <v>783</v>
      </c>
      <c r="L51" s="29">
        <f>K51*27.268</f>
        <v>21350.844000000001</v>
      </c>
      <c r="M51" s="233">
        <f>L51*1.22</f>
        <v>26048.02968</v>
      </c>
      <c r="BE51" s="14"/>
      <c r="BF51" s="15"/>
      <c r="BG51" s="21"/>
      <c r="BH51" s="42"/>
      <c r="BI51" s="12" t="s">
        <v>280</v>
      </c>
      <c r="BJ51" s="12"/>
    </row>
    <row r="52" spans="1:67" s="3" customFormat="1" ht="22.5" x14ac:dyDescent="0.25">
      <c r="A52" s="25" t="s">
        <v>126</v>
      </c>
      <c r="B52" s="26" t="s">
        <v>281</v>
      </c>
      <c r="C52" s="338" t="s">
        <v>276</v>
      </c>
      <c r="D52" s="338"/>
      <c r="E52" s="338"/>
      <c r="F52" s="27" t="s">
        <v>46</v>
      </c>
      <c r="G52" s="22" t="s">
        <v>606</v>
      </c>
      <c r="H52" s="52"/>
      <c r="I52" s="28"/>
      <c r="J52" s="221"/>
      <c r="K52" s="19">
        <v>1350</v>
      </c>
      <c r="L52" s="29">
        <f>K52*126.716</f>
        <v>171066.6</v>
      </c>
      <c r="M52" s="233">
        <f>L52*1.2</f>
        <v>205279.92</v>
      </c>
      <c r="BE52" s="14"/>
      <c r="BF52" s="15"/>
      <c r="BG52" s="21"/>
      <c r="BH52" s="42"/>
      <c r="BI52" s="12"/>
      <c r="BJ52" s="12" t="s">
        <v>276</v>
      </c>
    </row>
    <row r="53" spans="1:67" s="3" customFormat="1" ht="22.5" x14ac:dyDescent="0.25">
      <c r="A53" s="25" t="s">
        <v>126</v>
      </c>
      <c r="B53" s="26" t="s">
        <v>282</v>
      </c>
      <c r="C53" s="338" t="s">
        <v>283</v>
      </c>
      <c r="D53" s="338"/>
      <c r="E53" s="338"/>
      <c r="F53" s="27" t="s">
        <v>72</v>
      </c>
      <c r="G53" s="22" t="s">
        <v>607</v>
      </c>
      <c r="H53" s="52"/>
      <c r="I53" s="28"/>
      <c r="J53" s="221"/>
      <c r="K53" s="19">
        <v>859</v>
      </c>
      <c r="L53" s="29">
        <f>K53*21.654</f>
        <v>18600.786</v>
      </c>
      <c r="M53" s="233">
        <f>L53*1.2</f>
        <v>22320.943199999998</v>
      </c>
      <c r="BE53" s="14"/>
      <c r="BF53" s="15"/>
      <c r="BG53" s="21"/>
      <c r="BH53" s="42"/>
      <c r="BI53" s="12"/>
      <c r="BJ53" s="12" t="s">
        <v>283</v>
      </c>
    </row>
    <row r="54" spans="1:67" s="3" customFormat="1" ht="20.25" customHeight="1" x14ac:dyDescent="0.25">
      <c r="A54" s="330" t="s">
        <v>57</v>
      </c>
      <c r="B54" s="331"/>
      <c r="C54" s="331"/>
      <c r="D54" s="331"/>
      <c r="E54" s="331"/>
      <c r="F54" s="331"/>
      <c r="G54" s="331"/>
      <c r="H54" s="60"/>
      <c r="I54" s="61">
        <f>SUM(I14:I53)</f>
        <v>5774766.3599999994</v>
      </c>
      <c r="J54" s="223">
        <f>SUM(J14:J53)</f>
        <v>6929719.6319999984</v>
      </c>
      <c r="K54" s="66"/>
      <c r="L54" s="61">
        <f>SUM(L14:L53)</f>
        <v>10133424.54652</v>
      </c>
      <c r="M54" s="223">
        <f>SUM(M14:M53)</f>
        <v>12160536.472704001</v>
      </c>
    </row>
    <row r="55" spans="1:67" s="48" customFormat="1" ht="20.25" customHeight="1" thickBot="1" x14ac:dyDescent="0.3">
      <c r="A55" s="332" t="s">
        <v>829</v>
      </c>
      <c r="B55" s="333"/>
      <c r="C55" s="333"/>
      <c r="D55" s="333"/>
      <c r="E55" s="333"/>
      <c r="F55" s="333"/>
      <c r="G55" s="333"/>
      <c r="H55" s="82"/>
      <c r="I55" s="322">
        <f>I54+L54</f>
        <v>15908190.90652</v>
      </c>
      <c r="J55" s="323"/>
      <c r="K55" s="323"/>
      <c r="L55" s="323"/>
      <c r="M55" s="324"/>
    </row>
    <row r="56" spans="1:67" s="48" customFormat="1" ht="20.25" customHeight="1" thickBot="1" x14ac:dyDescent="0.3">
      <c r="A56" s="332" t="s">
        <v>828</v>
      </c>
      <c r="B56" s="333"/>
      <c r="C56" s="333"/>
      <c r="D56" s="333"/>
      <c r="E56" s="333"/>
      <c r="F56" s="333"/>
      <c r="G56" s="333"/>
      <c r="H56" s="82"/>
      <c r="I56" s="359">
        <f>J54+M54</f>
        <v>19090256.104704</v>
      </c>
      <c r="J56" s="360"/>
      <c r="K56" s="360"/>
      <c r="L56" s="360"/>
      <c r="M56" s="361"/>
    </row>
    <row r="58" spans="1:67" ht="11.25" customHeight="1" x14ac:dyDescent="0.2">
      <c r="BO58" s="49"/>
    </row>
    <row r="59" spans="1:67" ht="11.25" customHeight="1" x14ac:dyDescent="0.2">
      <c r="BO59" s="49"/>
    </row>
    <row r="60" spans="1:67" ht="11.25" customHeight="1" x14ac:dyDescent="0.2">
      <c r="BO60" s="49"/>
    </row>
  </sheetData>
  <autoFilter ref="A11:BS56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3"/>
        <filter val="4"/>
        <filter val="5"/>
        <filter val="6"/>
        <filter val="7"/>
        <filter val="8"/>
        <filter val="9"/>
        <filter val="ВСЕГО по смете"/>
        <filter val="ВСЕГО, без НДС"/>
        <filter val="ВСЕГО, с НДС"/>
        <filter val="Д"/>
        <filter val="Забивка пазух местным грунтом"/>
        <filter val="Планировка основания земляного полотна"/>
        <filter val="Планировка основной площадки земляного полотна"/>
        <filter val="Планировка откоса выемки - учтено в ФЕР01-02-040-02"/>
        <filter val="Планировка откосов насыпи вдоль пути №10 - укрепление не требуется, проектные решения ГП"/>
        <filter val="Раздел 1. Земляные работы"/>
        <filter val="Раздел 2. Планировочные работы"/>
        <filter val="Раздел 3. Укрепительные работы"/>
        <filter val="Срезка грунта бульдозером ИГЭ (1) (группа грунтов 1) + вывоз согласно транспортной схеме"/>
        <filter val="Срезка грунта бульдозером ИГЭ (3) (группа грунтов 3)"/>
        <filter val="Срезка грунта бульдозером ИГЭ (3) (группа грунтов 3) + вывоз согласно транспортной схеме"/>
        <filter val="Срезка грунта бульдозером ИГЭ (ПРС) (группа грунтов 1) + вывоз согласно транспортной схеме"/>
        <filter val="Укладка геотекстиля в основании защитного слоя"/>
        <filter val="Уплотнение грунта земляного полотна слоями толщиной 0.30 м за 8-10 проходов катками"/>
        <filter val="Устройство насыпи из дренирующего грунта"/>
      </filters>
    </filterColumn>
  </autoFilter>
  <mergeCells count="54">
    <mergeCell ref="A2:M2"/>
    <mergeCell ref="A3:M3"/>
    <mergeCell ref="A5:M5"/>
    <mergeCell ref="C14:E14"/>
    <mergeCell ref="C15:E15"/>
    <mergeCell ref="A13:G13"/>
    <mergeCell ref="A6:M6"/>
    <mergeCell ref="C7:G7"/>
    <mergeCell ref="C9:E9"/>
    <mergeCell ref="C10:E10"/>
    <mergeCell ref="A12:G12"/>
    <mergeCell ref="C22:E22"/>
    <mergeCell ref="C23:E23"/>
    <mergeCell ref="C24:E24"/>
    <mergeCell ref="C16:E16"/>
    <mergeCell ref="C18:E18"/>
    <mergeCell ref="C19:E19"/>
    <mergeCell ref="C20:E20"/>
    <mergeCell ref="A17:G17"/>
    <mergeCell ref="A21:G21"/>
    <mergeCell ref="C44:E44"/>
    <mergeCell ref="C37:E37"/>
    <mergeCell ref="C38:E38"/>
    <mergeCell ref="C39:E39"/>
    <mergeCell ref="A47:G47"/>
    <mergeCell ref="A40:G40"/>
    <mergeCell ref="A46:G46"/>
    <mergeCell ref="A45:G45"/>
    <mergeCell ref="A43:G43"/>
    <mergeCell ref="A41:G41"/>
    <mergeCell ref="I56:M56"/>
    <mergeCell ref="A55:G55"/>
    <mergeCell ref="I55:M55"/>
    <mergeCell ref="A36:G36"/>
    <mergeCell ref="A33:G33"/>
    <mergeCell ref="C34:E34"/>
    <mergeCell ref="C35:E35"/>
    <mergeCell ref="A54:G54"/>
    <mergeCell ref="A56:G56"/>
    <mergeCell ref="C50:E50"/>
    <mergeCell ref="C51:E51"/>
    <mergeCell ref="C52:E52"/>
    <mergeCell ref="C53:E53"/>
    <mergeCell ref="C48:E48"/>
    <mergeCell ref="C49:E49"/>
    <mergeCell ref="C42:E42"/>
    <mergeCell ref="A30:G30"/>
    <mergeCell ref="A27:G27"/>
    <mergeCell ref="A25:G25"/>
    <mergeCell ref="C31:E31"/>
    <mergeCell ref="C32:E32"/>
    <mergeCell ref="C26:E26"/>
    <mergeCell ref="C28:E28"/>
    <mergeCell ref="C29:E29"/>
  </mergeCells>
  <phoneticPr fontId="44" type="noConversion"/>
  <printOptions horizontalCentered="1"/>
  <pageMargins left="0.39370077848434498" right="0.39370077848434498" top="0.35433071851730302" bottom="0.31496062874794001" header="0.118110239505768" footer="0.118110239505768"/>
  <pageSetup paperSize="9" scale="67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9" tint="0.39997558519241921"/>
    <pageSetUpPr fitToPage="1"/>
  </sheetPr>
  <dimension ref="A1:BM253"/>
  <sheetViews>
    <sheetView tabSelected="1" topLeftCell="A5" zoomScale="90" zoomScaleNormal="90" workbookViewId="0">
      <pane ySplit="5" topLeftCell="A228" activePane="bottomLeft" state="frozen"/>
      <selection activeCell="A5" sqref="A5"/>
      <selection pane="bottomLeft" activeCell="L243" sqref="L243"/>
    </sheetView>
  </sheetViews>
  <sheetFormatPr defaultColWidth="9.140625" defaultRowHeight="11.25" customHeight="1" x14ac:dyDescent="0.2"/>
  <cols>
    <col min="1" max="1" width="9" style="1" customWidth="1"/>
    <col min="2" max="2" width="16.5703125" style="1" customWidth="1"/>
    <col min="3" max="3" width="24.28515625" style="1" customWidth="1"/>
    <col min="4" max="5" width="28.140625" style="1" customWidth="1"/>
    <col min="6" max="7" width="10.7109375" style="1" customWidth="1"/>
    <col min="8" max="9" width="15.28515625" style="49" customWidth="1"/>
    <col min="10" max="10" width="15.28515625" style="213" customWidth="1"/>
    <col min="11" max="12" width="18.7109375" style="49" customWidth="1"/>
    <col min="13" max="13" width="18.7109375" style="213" customWidth="1"/>
    <col min="14" max="16" width="10.7109375" style="1" customWidth="1"/>
    <col min="17" max="46" width="172.5703125" style="2" hidden="1" customWidth="1"/>
    <col min="47" max="56" width="109.28515625" style="2" hidden="1" customWidth="1"/>
    <col min="57" max="58" width="172.5703125" style="2" hidden="1" customWidth="1"/>
    <col min="59" max="62" width="34.140625" style="2" hidden="1" customWidth="1"/>
    <col min="63" max="65" width="127.5703125" style="2" hidden="1" customWidth="1"/>
    <col min="66" max="16384" width="9.140625" style="1"/>
  </cols>
  <sheetData>
    <row r="1" spans="1:60" s="3" customFormat="1" ht="15" x14ac:dyDescent="0.25">
      <c r="A1" s="88" t="s">
        <v>703</v>
      </c>
      <c r="B1" s="4"/>
      <c r="C1" s="4"/>
      <c r="D1" s="4"/>
      <c r="E1" s="4"/>
      <c r="F1" s="4"/>
      <c r="G1" s="4"/>
      <c r="H1" s="49"/>
      <c r="I1" s="49"/>
      <c r="J1" s="213"/>
      <c r="K1" s="49"/>
      <c r="L1" s="49"/>
      <c r="M1" s="213"/>
    </row>
    <row r="2" spans="1:60" s="3" customFormat="1" ht="15" x14ac:dyDescent="0.25">
      <c r="A2" s="339" t="s">
        <v>0</v>
      </c>
      <c r="B2" s="339"/>
      <c r="C2" s="339"/>
      <c r="D2" s="339"/>
      <c r="E2" s="339"/>
      <c r="F2" s="339"/>
      <c r="G2" s="339"/>
      <c r="H2" s="368"/>
      <c r="I2" s="368"/>
      <c r="J2" s="368"/>
      <c r="K2" s="368"/>
      <c r="L2" s="368"/>
      <c r="M2" s="368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60" s="3" customFormat="1" ht="15" x14ac:dyDescent="0.25">
      <c r="A3" s="328" t="s">
        <v>2</v>
      </c>
      <c r="B3" s="328"/>
      <c r="C3" s="328"/>
      <c r="D3" s="328"/>
      <c r="E3" s="328"/>
      <c r="F3" s="328"/>
      <c r="G3" s="328"/>
      <c r="H3" s="367"/>
      <c r="I3" s="367"/>
      <c r="J3" s="367"/>
      <c r="K3" s="367"/>
      <c r="L3" s="367"/>
      <c r="M3" s="367"/>
    </row>
    <row r="4" spans="1:60" s="3" customFormat="1" ht="15" x14ac:dyDescent="0.25">
      <c r="A4" s="7"/>
      <c r="B4" s="7"/>
      <c r="C4" s="7"/>
      <c r="D4" s="7"/>
      <c r="E4" s="7"/>
      <c r="F4" s="7"/>
      <c r="G4" s="7"/>
      <c r="H4" s="114"/>
      <c r="I4" s="114"/>
      <c r="J4" s="214"/>
      <c r="K4" s="114"/>
      <c r="L4" s="49"/>
      <c r="M4" s="213"/>
    </row>
    <row r="5" spans="1:60" s="3" customFormat="1" ht="15" x14ac:dyDescent="0.25">
      <c r="A5" s="340" t="s">
        <v>318</v>
      </c>
      <c r="B5" s="340"/>
      <c r="C5" s="340"/>
      <c r="D5" s="340"/>
      <c r="E5" s="340"/>
      <c r="F5" s="340"/>
      <c r="G5" s="340"/>
      <c r="H5" s="369"/>
      <c r="I5" s="369"/>
      <c r="J5" s="369"/>
      <c r="K5" s="369"/>
      <c r="L5" s="369"/>
      <c r="M5" s="369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</row>
    <row r="6" spans="1:60" s="3" customFormat="1" ht="15.75" customHeight="1" x14ac:dyDescent="0.25">
      <c r="A6" s="328" t="s">
        <v>4</v>
      </c>
      <c r="B6" s="328"/>
      <c r="C6" s="328"/>
      <c r="D6" s="328"/>
      <c r="E6" s="328"/>
      <c r="F6" s="328"/>
      <c r="G6" s="328"/>
      <c r="H6" s="367"/>
      <c r="I6" s="367"/>
      <c r="J6" s="367"/>
      <c r="K6" s="367"/>
      <c r="L6" s="367"/>
      <c r="M6" s="367"/>
    </row>
    <row r="7" spans="1:60" s="3" customFormat="1" ht="15" x14ac:dyDescent="0.25">
      <c r="A7" s="4"/>
      <c r="B7" s="8" t="s">
        <v>5</v>
      </c>
      <c r="C7" s="329" t="s">
        <v>6</v>
      </c>
      <c r="D7" s="329"/>
      <c r="E7" s="329"/>
      <c r="F7" s="329"/>
      <c r="G7" s="329"/>
      <c r="H7" s="50"/>
      <c r="I7" s="102"/>
      <c r="J7" s="215"/>
      <c r="K7" s="102"/>
      <c r="L7" s="102"/>
      <c r="M7" s="215"/>
    </row>
    <row r="8" spans="1:60" s="3" customFormat="1" ht="15.75" thickBot="1" x14ac:dyDescent="0.3">
      <c r="A8" s="13"/>
      <c r="H8" s="51"/>
      <c r="I8" s="51"/>
      <c r="J8" s="216"/>
      <c r="K8" s="51"/>
      <c r="L8" s="51"/>
      <c r="M8" s="216"/>
    </row>
    <row r="9" spans="1:60" s="3" customFormat="1" ht="36" customHeight="1" x14ac:dyDescent="0.25">
      <c r="A9" s="68" t="s">
        <v>7</v>
      </c>
      <c r="B9" s="69" t="s">
        <v>8</v>
      </c>
      <c r="C9" s="335" t="s">
        <v>9</v>
      </c>
      <c r="D9" s="336"/>
      <c r="E9" s="337"/>
      <c r="F9" s="70" t="s">
        <v>10</v>
      </c>
      <c r="G9" s="71" t="s">
        <v>11</v>
      </c>
      <c r="H9" s="72" t="s">
        <v>819</v>
      </c>
      <c r="I9" s="72" t="s">
        <v>820</v>
      </c>
      <c r="J9" s="217" t="s">
        <v>823</v>
      </c>
      <c r="K9" s="72" t="s">
        <v>821</v>
      </c>
      <c r="L9" s="103" t="s">
        <v>822</v>
      </c>
      <c r="M9" s="229" t="s">
        <v>824</v>
      </c>
    </row>
    <row r="10" spans="1:60" s="3" customFormat="1" ht="15.75" thickBot="1" x14ac:dyDescent="0.3">
      <c r="A10" s="83">
        <v>1</v>
      </c>
      <c r="B10" s="84">
        <v>2</v>
      </c>
      <c r="C10" s="355">
        <v>3</v>
      </c>
      <c r="D10" s="356"/>
      <c r="E10" s="357"/>
      <c r="F10" s="85">
        <v>4</v>
      </c>
      <c r="G10" s="84">
        <v>5</v>
      </c>
      <c r="H10" s="113">
        <v>6</v>
      </c>
      <c r="I10" s="104" t="s">
        <v>47</v>
      </c>
      <c r="J10" s="104" t="s">
        <v>52</v>
      </c>
      <c r="K10" s="104" t="s">
        <v>55</v>
      </c>
      <c r="L10" s="104" t="s">
        <v>56</v>
      </c>
      <c r="M10" s="104" t="s">
        <v>163</v>
      </c>
    </row>
    <row r="11" spans="1:60" s="3" customFormat="1" ht="15" customHeight="1" x14ac:dyDescent="0.25">
      <c r="A11" s="366" t="s">
        <v>319</v>
      </c>
      <c r="B11" s="354"/>
      <c r="C11" s="354"/>
      <c r="D11" s="354"/>
      <c r="E11" s="354"/>
      <c r="F11" s="354"/>
      <c r="G11" s="354"/>
      <c r="H11" s="137"/>
      <c r="I11" s="137"/>
      <c r="J11" s="266"/>
      <c r="K11" s="137"/>
      <c r="L11" s="139"/>
      <c r="M11" s="267"/>
      <c r="BE11" s="14"/>
    </row>
    <row r="12" spans="1:60" s="3" customFormat="1" ht="15" customHeight="1" x14ac:dyDescent="0.25">
      <c r="A12" s="320" t="s">
        <v>320</v>
      </c>
      <c r="B12" s="321"/>
      <c r="C12" s="321"/>
      <c r="D12" s="321"/>
      <c r="E12" s="321"/>
      <c r="F12" s="321"/>
      <c r="G12" s="321"/>
      <c r="H12" s="111"/>
      <c r="I12" s="111"/>
      <c r="J12" s="219"/>
      <c r="K12" s="111"/>
      <c r="L12" s="117"/>
      <c r="M12" s="268"/>
      <c r="BE12" s="14"/>
      <c r="BF12" s="15"/>
    </row>
    <row r="13" spans="1:60" s="3" customFormat="1" ht="15" customHeight="1" x14ac:dyDescent="0.25">
      <c r="A13" s="320" t="s">
        <v>320</v>
      </c>
      <c r="B13" s="321"/>
      <c r="C13" s="321"/>
      <c r="D13" s="321"/>
      <c r="E13" s="321"/>
      <c r="F13" s="321"/>
      <c r="G13" s="321"/>
      <c r="H13" s="111"/>
      <c r="I13" s="111"/>
      <c r="J13" s="219"/>
      <c r="K13" s="111"/>
      <c r="L13" s="117"/>
      <c r="M13" s="268"/>
      <c r="BE13" s="14"/>
      <c r="BF13" s="15"/>
    </row>
    <row r="14" spans="1:60" s="3" customFormat="1" ht="27.75" customHeight="1" x14ac:dyDescent="0.25">
      <c r="A14" s="74" t="s">
        <v>15</v>
      </c>
      <c r="B14" s="17" t="s">
        <v>322</v>
      </c>
      <c r="C14" s="319" t="s">
        <v>323</v>
      </c>
      <c r="D14" s="319"/>
      <c r="E14" s="319"/>
      <c r="F14" s="16" t="s">
        <v>18</v>
      </c>
      <c r="G14" s="18">
        <v>0.46200000000000002</v>
      </c>
      <c r="H14" s="52">
        <v>555855.23</v>
      </c>
      <c r="I14" s="19">
        <v>256805.12</v>
      </c>
      <c r="J14" s="287">
        <f>I14*1.2</f>
        <v>308166.14399999997</v>
      </c>
      <c r="K14" s="19"/>
      <c r="L14" s="118"/>
      <c r="M14" s="269"/>
      <c r="BE14" s="14"/>
      <c r="BF14" s="15"/>
      <c r="BG14" s="21"/>
    </row>
    <row r="15" spans="1:60" s="3" customFormat="1" ht="22.5" hidden="1" x14ac:dyDescent="0.25">
      <c r="A15" s="120" t="s">
        <v>140</v>
      </c>
      <c r="B15" s="37" t="s">
        <v>324</v>
      </c>
      <c r="C15" s="352" t="s">
        <v>325</v>
      </c>
      <c r="D15" s="352"/>
      <c r="E15" s="352"/>
      <c r="F15" s="38" t="s">
        <v>326</v>
      </c>
      <c r="G15" s="39" t="s">
        <v>327</v>
      </c>
      <c r="H15" s="39"/>
      <c r="I15" s="40"/>
      <c r="J15" s="222"/>
      <c r="K15" s="40"/>
      <c r="L15" s="121"/>
      <c r="M15" s="270"/>
      <c r="BE15" s="14"/>
      <c r="BF15" s="15"/>
      <c r="BG15" s="21"/>
      <c r="BH15" s="42"/>
    </row>
    <row r="16" spans="1:60" s="3" customFormat="1" ht="15" customHeight="1" x14ac:dyDescent="0.25">
      <c r="A16" s="320" t="s">
        <v>320</v>
      </c>
      <c r="B16" s="321"/>
      <c r="C16" s="321"/>
      <c r="D16" s="321"/>
      <c r="E16" s="321"/>
      <c r="F16" s="321"/>
      <c r="G16" s="321"/>
      <c r="H16" s="111"/>
      <c r="I16" s="111"/>
      <c r="J16" s="219"/>
      <c r="K16" s="111"/>
      <c r="L16" s="117"/>
      <c r="M16" s="268"/>
      <c r="BE16" s="14"/>
      <c r="BF16" s="15"/>
      <c r="BG16" s="21"/>
      <c r="BH16" s="42"/>
    </row>
    <row r="17" spans="1:61" s="3" customFormat="1" ht="15" customHeight="1" x14ac:dyDescent="0.25">
      <c r="A17" s="320" t="s">
        <v>328</v>
      </c>
      <c r="B17" s="321"/>
      <c r="C17" s="321"/>
      <c r="D17" s="321"/>
      <c r="E17" s="321"/>
      <c r="F17" s="321"/>
      <c r="G17" s="321"/>
      <c r="H17" s="111"/>
      <c r="I17" s="111"/>
      <c r="J17" s="219"/>
      <c r="K17" s="111"/>
      <c r="L17" s="117"/>
      <c r="M17" s="268"/>
      <c r="BE17" s="14"/>
      <c r="BF17" s="15"/>
      <c r="BG17" s="21"/>
      <c r="BH17" s="42"/>
    </row>
    <row r="18" spans="1:61" s="3" customFormat="1" ht="15" customHeight="1" x14ac:dyDescent="0.25">
      <c r="A18" s="320" t="s">
        <v>329</v>
      </c>
      <c r="B18" s="321"/>
      <c r="C18" s="321"/>
      <c r="D18" s="321"/>
      <c r="E18" s="321"/>
      <c r="F18" s="321"/>
      <c r="G18" s="321"/>
      <c r="H18" s="111"/>
      <c r="I18" s="111"/>
      <c r="J18" s="219"/>
      <c r="K18" s="111"/>
      <c r="L18" s="117"/>
      <c r="M18" s="268"/>
      <c r="BE18" s="14"/>
      <c r="BF18" s="15"/>
      <c r="BG18" s="21"/>
      <c r="BH18" s="42"/>
    </row>
    <row r="19" spans="1:61" s="3" customFormat="1" ht="27" customHeight="1" x14ac:dyDescent="0.25">
      <c r="A19" s="74" t="s">
        <v>20</v>
      </c>
      <c r="B19" s="17" t="s">
        <v>322</v>
      </c>
      <c r="C19" s="319" t="s">
        <v>323</v>
      </c>
      <c r="D19" s="319"/>
      <c r="E19" s="319"/>
      <c r="F19" s="16" t="s">
        <v>18</v>
      </c>
      <c r="G19" s="30">
        <v>7.6200000000000004E-2</v>
      </c>
      <c r="H19" s="52">
        <v>767092.91</v>
      </c>
      <c r="I19" s="19">
        <v>58452.480000000003</v>
      </c>
      <c r="J19" s="220">
        <f>I19*1.2</f>
        <v>70142.975999999995</v>
      </c>
      <c r="K19" s="19"/>
      <c r="L19" s="118"/>
      <c r="M19" s="269"/>
      <c r="BE19" s="14"/>
      <c r="BF19" s="15"/>
      <c r="BG19" s="21"/>
      <c r="BH19" s="42"/>
    </row>
    <row r="20" spans="1:61" s="3" customFormat="1" ht="22.5" hidden="1" x14ac:dyDescent="0.25">
      <c r="A20" s="120" t="s">
        <v>140</v>
      </c>
      <c r="B20" s="37" t="s">
        <v>324</v>
      </c>
      <c r="C20" s="352" t="s">
        <v>325</v>
      </c>
      <c r="D20" s="352"/>
      <c r="E20" s="352"/>
      <c r="F20" s="38" t="s">
        <v>326</v>
      </c>
      <c r="G20" s="39" t="s">
        <v>330</v>
      </c>
      <c r="H20" s="39"/>
      <c r="I20" s="40"/>
      <c r="J20" s="222"/>
      <c r="K20" s="40"/>
      <c r="L20" s="121"/>
      <c r="M20" s="270"/>
      <c r="BE20" s="14"/>
      <c r="BF20" s="15"/>
      <c r="BG20" s="21"/>
      <c r="BH20" s="42"/>
    </row>
    <row r="21" spans="1:61" s="3" customFormat="1" ht="22.5" x14ac:dyDescent="0.25">
      <c r="A21" s="77" t="s">
        <v>126</v>
      </c>
      <c r="B21" s="26" t="s">
        <v>331</v>
      </c>
      <c r="C21" s="338" t="s">
        <v>332</v>
      </c>
      <c r="D21" s="338"/>
      <c r="E21" s="338"/>
      <c r="F21" s="27" t="s">
        <v>326</v>
      </c>
      <c r="G21" s="22" t="s">
        <v>330</v>
      </c>
      <c r="H21" s="22"/>
      <c r="I21" s="28"/>
      <c r="J21" s="221"/>
      <c r="K21" s="28">
        <v>36808.57</v>
      </c>
      <c r="L21" s="119">
        <v>2804812.83</v>
      </c>
      <c r="M21" s="271">
        <v>3365775.4</v>
      </c>
      <c r="BE21" s="14"/>
      <c r="BF21" s="15"/>
      <c r="BG21" s="21"/>
      <c r="BH21" s="42"/>
      <c r="BI21" s="12"/>
    </row>
    <row r="22" spans="1:61" s="3" customFormat="1" ht="27.75" customHeight="1" x14ac:dyDescent="0.25">
      <c r="A22" s="320" t="s">
        <v>333</v>
      </c>
      <c r="B22" s="321"/>
      <c r="C22" s="321"/>
      <c r="D22" s="321"/>
      <c r="E22" s="321"/>
      <c r="F22" s="321"/>
      <c r="G22" s="321"/>
      <c r="H22" s="111"/>
      <c r="I22" s="111"/>
      <c r="J22" s="219"/>
      <c r="K22" s="111"/>
      <c r="L22" s="117"/>
      <c r="M22" s="268"/>
      <c r="BE22" s="14"/>
      <c r="BF22" s="15"/>
      <c r="BG22" s="21"/>
      <c r="BH22" s="42"/>
      <c r="BI22" s="12"/>
    </row>
    <row r="23" spans="1:61" s="3" customFormat="1" ht="15" customHeight="1" x14ac:dyDescent="0.25">
      <c r="A23" s="320" t="s">
        <v>328</v>
      </c>
      <c r="B23" s="321"/>
      <c r="C23" s="321"/>
      <c r="D23" s="321"/>
      <c r="E23" s="321"/>
      <c r="F23" s="321"/>
      <c r="G23" s="321"/>
      <c r="H23" s="111"/>
      <c r="I23" s="111"/>
      <c r="J23" s="219"/>
      <c r="K23" s="111"/>
      <c r="L23" s="117"/>
      <c r="M23" s="268"/>
      <c r="BE23" s="14"/>
      <c r="BF23" s="15"/>
      <c r="BG23" s="21"/>
      <c r="BH23" s="42"/>
      <c r="BI23" s="12"/>
    </row>
    <row r="24" spans="1:61" s="3" customFormat="1" ht="15" x14ac:dyDescent="0.25">
      <c r="A24" s="74" t="s">
        <v>22</v>
      </c>
      <c r="B24" s="17" t="s">
        <v>334</v>
      </c>
      <c r="C24" s="319" t="s">
        <v>335</v>
      </c>
      <c r="D24" s="319"/>
      <c r="E24" s="319"/>
      <c r="F24" s="16" t="s">
        <v>18</v>
      </c>
      <c r="G24" s="30">
        <v>7.7999999999999996E-3</v>
      </c>
      <c r="H24" s="52">
        <v>568943.59</v>
      </c>
      <c r="I24" s="19">
        <v>4437.76</v>
      </c>
      <c r="J24" s="220">
        <f>I24*1.2</f>
        <v>5325.3119999999999</v>
      </c>
      <c r="K24" s="19"/>
      <c r="L24" s="118"/>
      <c r="M24" s="269"/>
      <c r="BE24" s="14"/>
      <c r="BF24" s="15"/>
      <c r="BG24" s="21"/>
      <c r="BH24" s="42"/>
      <c r="BI24" s="12"/>
    </row>
    <row r="25" spans="1:61" s="3" customFormat="1" ht="22.5" hidden="1" x14ac:dyDescent="0.25">
      <c r="A25" s="120" t="s">
        <v>75</v>
      </c>
      <c r="B25" s="37" t="s">
        <v>336</v>
      </c>
      <c r="C25" s="352" t="s">
        <v>337</v>
      </c>
      <c r="D25" s="352"/>
      <c r="E25" s="352"/>
      <c r="F25" s="38" t="s">
        <v>155</v>
      </c>
      <c r="G25" s="39" t="s">
        <v>33</v>
      </c>
      <c r="H25" s="39"/>
      <c r="I25" s="40"/>
      <c r="J25" s="222"/>
      <c r="K25" s="40"/>
      <c r="L25" s="121"/>
      <c r="M25" s="270"/>
      <c r="BE25" s="14"/>
      <c r="BF25" s="15"/>
      <c r="BG25" s="21"/>
      <c r="BH25" s="42"/>
      <c r="BI25" s="12"/>
    </row>
    <row r="26" spans="1:61" s="3" customFormat="1" ht="22.5" hidden="1" x14ac:dyDescent="0.25">
      <c r="A26" s="120" t="s">
        <v>140</v>
      </c>
      <c r="B26" s="37" t="s">
        <v>324</v>
      </c>
      <c r="C26" s="352" t="s">
        <v>325</v>
      </c>
      <c r="D26" s="352"/>
      <c r="E26" s="352"/>
      <c r="F26" s="38" t="s">
        <v>326</v>
      </c>
      <c r="G26" s="39" t="s">
        <v>338</v>
      </c>
      <c r="H26" s="39"/>
      <c r="I26" s="40"/>
      <c r="J26" s="222"/>
      <c r="K26" s="40"/>
      <c r="L26" s="121"/>
      <c r="M26" s="270"/>
      <c r="BE26" s="14"/>
      <c r="BF26" s="15"/>
      <c r="BG26" s="21"/>
      <c r="BH26" s="42"/>
      <c r="BI26" s="12"/>
    </row>
    <row r="27" spans="1:61" s="3" customFormat="1" ht="22.5" x14ac:dyDescent="0.25">
      <c r="A27" s="77" t="s">
        <v>126</v>
      </c>
      <c r="B27" s="26" t="s">
        <v>339</v>
      </c>
      <c r="C27" s="338" t="s">
        <v>337</v>
      </c>
      <c r="D27" s="338"/>
      <c r="E27" s="338"/>
      <c r="F27" s="27" t="s">
        <v>155</v>
      </c>
      <c r="G27" s="22" t="s">
        <v>340</v>
      </c>
      <c r="H27" s="22"/>
      <c r="I27" s="28"/>
      <c r="J27" s="221"/>
      <c r="K27" s="28">
        <v>450</v>
      </c>
      <c r="L27" s="119">
        <f>K27*7.8</f>
        <v>3510</v>
      </c>
      <c r="M27" s="271">
        <f>L27*1.2</f>
        <v>4212</v>
      </c>
      <c r="BE27" s="14"/>
      <c r="BF27" s="15"/>
      <c r="BG27" s="21"/>
      <c r="BH27" s="42"/>
      <c r="BI27" s="12"/>
    </row>
    <row r="28" spans="1:61" s="3" customFormat="1" ht="22.5" x14ac:dyDescent="0.25">
      <c r="A28" s="77" t="s">
        <v>126</v>
      </c>
      <c r="B28" s="26" t="s">
        <v>331</v>
      </c>
      <c r="C28" s="338" t="s">
        <v>332</v>
      </c>
      <c r="D28" s="338"/>
      <c r="E28" s="338"/>
      <c r="F28" s="27" t="s">
        <v>326</v>
      </c>
      <c r="G28" s="22" t="s">
        <v>338</v>
      </c>
      <c r="H28" s="22"/>
      <c r="I28" s="28"/>
      <c r="J28" s="221"/>
      <c r="K28" s="28">
        <v>36808.57</v>
      </c>
      <c r="L28" s="119">
        <f>K28*7.8</f>
        <v>287106.84600000002</v>
      </c>
      <c r="M28" s="271">
        <f>L28*1.2</f>
        <v>344528.21520000004</v>
      </c>
      <c r="BE28" s="14"/>
      <c r="BF28" s="15"/>
      <c r="BG28" s="21"/>
      <c r="BH28" s="42"/>
      <c r="BI28" s="12"/>
    </row>
    <row r="29" spans="1:61" s="3" customFormat="1" ht="21.75" customHeight="1" x14ac:dyDescent="0.25">
      <c r="A29" s="320" t="s">
        <v>320</v>
      </c>
      <c r="B29" s="321"/>
      <c r="C29" s="321"/>
      <c r="D29" s="321"/>
      <c r="E29" s="321"/>
      <c r="F29" s="321"/>
      <c r="G29" s="321"/>
      <c r="H29" s="111"/>
      <c r="I29" s="111"/>
      <c r="J29" s="219"/>
      <c r="K29" s="111"/>
      <c r="L29" s="117"/>
      <c r="M29" s="268"/>
      <c r="BE29" s="14"/>
      <c r="BF29" s="15"/>
      <c r="BG29" s="21"/>
      <c r="BH29" s="42"/>
      <c r="BI29" s="12"/>
    </row>
    <row r="30" spans="1:61" s="3" customFormat="1" ht="13.9" customHeight="1" x14ac:dyDescent="0.25">
      <c r="A30" s="320" t="s">
        <v>328</v>
      </c>
      <c r="B30" s="321"/>
      <c r="C30" s="321"/>
      <c r="D30" s="321"/>
      <c r="E30" s="321"/>
      <c r="F30" s="321"/>
      <c r="G30" s="321"/>
      <c r="H30" s="111"/>
      <c r="I30" s="111"/>
      <c r="J30" s="219"/>
      <c r="K30" s="111"/>
      <c r="L30" s="117"/>
      <c r="M30" s="268"/>
      <c r="BE30" s="14"/>
      <c r="BF30" s="15"/>
      <c r="BG30" s="21"/>
      <c r="BH30" s="42"/>
      <c r="BI30" s="12"/>
    </row>
    <row r="31" spans="1:61" s="3" customFormat="1" ht="25.15" customHeight="1" x14ac:dyDescent="0.25">
      <c r="A31" s="74" t="s">
        <v>27</v>
      </c>
      <c r="B31" s="17" t="s">
        <v>322</v>
      </c>
      <c r="C31" s="319" t="s">
        <v>323</v>
      </c>
      <c r="D31" s="319"/>
      <c r="E31" s="319"/>
      <c r="F31" s="16" t="s">
        <v>18</v>
      </c>
      <c r="G31" s="18">
        <v>1.169</v>
      </c>
      <c r="H31" s="52">
        <v>555856.15</v>
      </c>
      <c r="I31" s="19">
        <v>649795.83999999997</v>
      </c>
      <c r="J31" s="220">
        <f>I31*1.2</f>
        <v>779755.00799999991</v>
      </c>
      <c r="K31" s="19"/>
      <c r="L31" s="118"/>
      <c r="M31" s="269"/>
      <c r="BE31" s="14"/>
      <c r="BF31" s="15"/>
      <c r="BG31" s="21"/>
      <c r="BH31" s="42"/>
      <c r="BI31" s="12"/>
    </row>
    <row r="32" spans="1:61" s="3" customFormat="1" ht="24" customHeight="1" x14ac:dyDescent="0.25">
      <c r="A32" s="120" t="s">
        <v>140</v>
      </c>
      <c r="B32" s="37" t="s">
        <v>324</v>
      </c>
      <c r="C32" s="352" t="s">
        <v>325</v>
      </c>
      <c r="D32" s="352"/>
      <c r="E32" s="352"/>
      <c r="F32" s="38" t="s">
        <v>326</v>
      </c>
      <c r="G32" s="39" t="s">
        <v>341</v>
      </c>
      <c r="H32" s="39"/>
      <c r="I32" s="40"/>
      <c r="J32" s="222"/>
      <c r="K32" s="40"/>
      <c r="L32" s="121"/>
      <c r="M32" s="270"/>
      <c r="BE32" s="14"/>
      <c r="BF32" s="15"/>
      <c r="BG32" s="21"/>
      <c r="BH32" s="42"/>
      <c r="BI32" s="12"/>
    </row>
    <row r="33" spans="1:61" s="3" customFormat="1" ht="40.15" customHeight="1" x14ac:dyDescent="0.25">
      <c r="A33" s="77" t="s">
        <v>126</v>
      </c>
      <c r="B33" s="26" t="s">
        <v>331</v>
      </c>
      <c r="C33" s="338" t="s">
        <v>332</v>
      </c>
      <c r="D33" s="338"/>
      <c r="E33" s="338"/>
      <c r="F33" s="27" t="s">
        <v>326</v>
      </c>
      <c r="G33" s="22" t="s">
        <v>341</v>
      </c>
      <c r="H33" s="22"/>
      <c r="I33" s="28"/>
      <c r="J33" s="221"/>
      <c r="K33" s="28">
        <v>36808.57</v>
      </c>
      <c r="L33" s="119">
        <f>K33*1169</f>
        <v>43029218.329999998</v>
      </c>
      <c r="M33" s="271">
        <f>L33*1.2</f>
        <v>51635061.995999999</v>
      </c>
      <c r="BE33" s="14"/>
      <c r="BF33" s="15"/>
      <c r="BG33" s="21"/>
      <c r="BH33" s="42"/>
      <c r="BI33" s="12"/>
    </row>
    <row r="34" spans="1:61" s="3" customFormat="1" ht="29.25" customHeight="1" x14ac:dyDescent="0.25">
      <c r="A34" s="320" t="s">
        <v>333</v>
      </c>
      <c r="B34" s="321"/>
      <c r="C34" s="321"/>
      <c r="D34" s="321"/>
      <c r="E34" s="321"/>
      <c r="F34" s="321"/>
      <c r="G34" s="321"/>
      <c r="H34" s="111"/>
      <c r="I34" s="111"/>
      <c r="J34" s="219"/>
      <c r="K34" s="111"/>
      <c r="L34" s="117"/>
      <c r="M34" s="268"/>
      <c r="BE34" s="14"/>
      <c r="BF34" s="15"/>
      <c r="BG34" s="21"/>
      <c r="BH34" s="42"/>
      <c r="BI34" s="12"/>
    </row>
    <row r="35" spans="1:61" s="3" customFormat="1" ht="15" customHeight="1" x14ac:dyDescent="0.25">
      <c r="A35" s="320" t="s">
        <v>328</v>
      </c>
      <c r="B35" s="321"/>
      <c r="C35" s="321"/>
      <c r="D35" s="321"/>
      <c r="E35" s="321"/>
      <c r="F35" s="321"/>
      <c r="G35" s="321"/>
      <c r="H35" s="111"/>
      <c r="I35" s="111"/>
      <c r="J35" s="219"/>
      <c r="K35" s="111"/>
      <c r="L35" s="117"/>
      <c r="M35" s="268"/>
      <c r="BE35" s="14"/>
      <c r="BF35" s="15"/>
      <c r="BG35" s="21"/>
      <c r="BH35" s="42"/>
      <c r="BI35" s="12"/>
    </row>
    <row r="36" spans="1:61" s="3" customFormat="1" ht="15" x14ac:dyDescent="0.25">
      <c r="A36" s="74" t="s">
        <v>35</v>
      </c>
      <c r="B36" s="17" t="s">
        <v>334</v>
      </c>
      <c r="C36" s="319" t="s">
        <v>335</v>
      </c>
      <c r="D36" s="319"/>
      <c r="E36" s="319"/>
      <c r="F36" s="16" t="s">
        <v>18</v>
      </c>
      <c r="G36" s="31">
        <v>0.23</v>
      </c>
      <c r="H36" s="52">
        <v>569021.22</v>
      </c>
      <c r="I36" s="19">
        <v>130874.88</v>
      </c>
      <c r="J36" s="220">
        <f>I36*1.2</f>
        <v>157049.856</v>
      </c>
      <c r="K36" s="19"/>
      <c r="L36" s="118"/>
      <c r="M36" s="269"/>
      <c r="BE36" s="14"/>
      <c r="BF36" s="15"/>
      <c r="BG36" s="21"/>
      <c r="BH36" s="42"/>
      <c r="BI36" s="12"/>
    </row>
    <row r="37" spans="1:61" s="3" customFormat="1" ht="22.5" hidden="1" x14ac:dyDescent="0.25">
      <c r="A37" s="120" t="s">
        <v>75</v>
      </c>
      <c r="B37" s="37" t="s">
        <v>336</v>
      </c>
      <c r="C37" s="352" t="s">
        <v>337</v>
      </c>
      <c r="D37" s="352"/>
      <c r="E37" s="352"/>
      <c r="F37" s="38" t="s">
        <v>155</v>
      </c>
      <c r="G37" s="39" t="s">
        <v>33</v>
      </c>
      <c r="H37" s="39"/>
      <c r="I37" s="40"/>
      <c r="J37" s="222"/>
      <c r="K37" s="40"/>
      <c r="L37" s="121"/>
      <c r="M37" s="270"/>
      <c r="BE37" s="14"/>
      <c r="BF37" s="15"/>
      <c r="BG37" s="21"/>
      <c r="BH37" s="42"/>
      <c r="BI37" s="12"/>
    </row>
    <row r="38" spans="1:61" s="3" customFormat="1" ht="22.5" hidden="1" x14ac:dyDescent="0.25">
      <c r="A38" s="120" t="s">
        <v>140</v>
      </c>
      <c r="B38" s="37" t="s">
        <v>324</v>
      </c>
      <c r="C38" s="352" t="s">
        <v>325</v>
      </c>
      <c r="D38" s="352"/>
      <c r="E38" s="352"/>
      <c r="F38" s="38" t="s">
        <v>326</v>
      </c>
      <c r="G38" s="39" t="s">
        <v>342</v>
      </c>
      <c r="H38" s="39"/>
      <c r="I38" s="40"/>
      <c r="J38" s="222"/>
      <c r="K38" s="40"/>
      <c r="L38" s="121"/>
      <c r="M38" s="270"/>
      <c r="BE38" s="14"/>
      <c r="BF38" s="15"/>
      <c r="BG38" s="21"/>
      <c r="BH38" s="42"/>
      <c r="BI38" s="12"/>
    </row>
    <row r="39" spans="1:61" s="3" customFormat="1" ht="22.5" x14ac:dyDescent="0.25">
      <c r="A39" s="77" t="s">
        <v>126</v>
      </c>
      <c r="B39" s="26" t="s">
        <v>339</v>
      </c>
      <c r="C39" s="338" t="s">
        <v>337</v>
      </c>
      <c r="D39" s="338"/>
      <c r="E39" s="338"/>
      <c r="F39" s="27" t="s">
        <v>155</v>
      </c>
      <c r="G39" s="22" t="s">
        <v>343</v>
      </c>
      <c r="H39" s="22"/>
      <c r="I39" s="28"/>
      <c r="J39" s="221"/>
      <c r="K39" s="28">
        <v>450</v>
      </c>
      <c r="L39" s="119">
        <f>K39*985.32</f>
        <v>443394</v>
      </c>
      <c r="M39" s="271">
        <f>L39*1.2</f>
        <v>532072.79999999993</v>
      </c>
      <c r="BE39" s="14"/>
      <c r="BF39" s="15"/>
      <c r="BG39" s="21"/>
      <c r="BH39" s="42"/>
      <c r="BI39" s="12"/>
    </row>
    <row r="40" spans="1:61" s="3" customFormat="1" ht="22.5" x14ac:dyDescent="0.25">
      <c r="A40" s="77" t="s">
        <v>126</v>
      </c>
      <c r="B40" s="26" t="s">
        <v>331</v>
      </c>
      <c r="C40" s="338" t="s">
        <v>332</v>
      </c>
      <c r="D40" s="338"/>
      <c r="E40" s="338"/>
      <c r="F40" s="27" t="s">
        <v>326</v>
      </c>
      <c r="G40" s="22" t="s">
        <v>342</v>
      </c>
      <c r="H40" s="22"/>
      <c r="I40" s="28"/>
      <c r="J40" s="221"/>
      <c r="K40" s="28">
        <v>36808.57</v>
      </c>
      <c r="L40" s="119">
        <f>K40*230</f>
        <v>8465971.0999999996</v>
      </c>
      <c r="M40" s="271">
        <f>L40*1.2</f>
        <v>10159165.319999998</v>
      </c>
      <c r="BE40" s="14"/>
      <c r="BF40" s="15"/>
      <c r="BG40" s="21"/>
      <c r="BH40" s="42"/>
      <c r="BI40" s="12"/>
    </row>
    <row r="41" spans="1:61" s="3" customFormat="1" ht="15" customHeight="1" x14ac:dyDescent="0.25">
      <c r="A41" s="320" t="s">
        <v>344</v>
      </c>
      <c r="B41" s="321"/>
      <c r="C41" s="321"/>
      <c r="D41" s="321"/>
      <c r="E41" s="321"/>
      <c r="F41" s="321"/>
      <c r="G41" s="321"/>
      <c r="H41" s="111"/>
      <c r="I41" s="111"/>
      <c r="J41" s="219"/>
      <c r="K41" s="111"/>
      <c r="L41" s="117"/>
      <c r="M41" s="268"/>
      <c r="BE41" s="14"/>
      <c r="BF41" s="15"/>
      <c r="BG41" s="21"/>
      <c r="BH41" s="42"/>
      <c r="BI41" s="12"/>
    </row>
    <row r="42" spans="1:61" s="3" customFormat="1" ht="15" customHeight="1" x14ac:dyDescent="0.25">
      <c r="A42" s="320" t="s">
        <v>321</v>
      </c>
      <c r="B42" s="321"/>
      <c r="C42" s="321"/>
      <c r="D42" s="321"/>
      <c r="E42" s="321"/>
      <c r="F42" s="321"/>
      <c r="G42" s="321"/>
      <c r="H42" s="111"/>
      <c r="I42" s="111"/>
      <c r="J42" s="219"/>
      <c r="K42" s="111"/>
      <c r="L42" s="117"/>
      <c r="M42" s="268"/>
      <c r="BE42" s="14"/>
      <c r="BF42" s="15"/>
      <c r="BG42" s="21"/>
      <c r="BH42" s="42"/>
      <c r="BI42" s="12"/>
    </row>
    <row r="43" spans="1:61" s="3" customFormat="1" ht="30" customHeight="1" x14ac:dyDescent="0.25">
      <c r="A43" s="74" t="s">
        <v>40</v>
      </c>
      <c r="B43" s="17" t="s">
        <v>322</v>
      </c>
      <c r="C43" s="319" t="s">
        <v>323</v>
      </c>
      <c r="D43" s="319"/>
      <c r="E43" s="319"/>
      <c r="F43" s="16" t="s">
        <v>18</v>
      </c>
      <c r="G43" s="18">
        <v>1.2929999999999999</v>
      </c>
      <c r="H43" s="52">
        <v>555854.6</v>
      </c>
      <c r="I43" s="19">
        <v>718720</v>
      </c>
      <c r="J43" s="220">
        <f>I43*1.2</f>
        <v>862464</v>
      </c>
      <c r="K43" s="19"/>
      <c r="L43" s="118"/>
      <c r="M43" s="269"/>
      <c r="BE43" s="14"/>
      <c r="BF43" s="15"/>
      <c r="BG43" s="21"/>
      <c r="BH43" s="42"/>
      <c r="BI43" s="12"/>
    </row>
    <row r="44" spans="1:61" s="3" customFormat="1" ht="22.5" hidden="1" x14ac:dyDescent="0.25">
      <c r="A44" s="120" t="s">
        <v>140</v>
      </c>
      <c r="B44" s="37" t="s">
        <v>324</v>
      </c>
      <c r="C44" s="352" t="s">
        <v>325</v>
      </c>
      <c r="D44" s="352"/>
      <c r="E44" s="352"/>
      <c r="F44" s="38" t="s">
        <v>326</v>
      </c>
      <c r="G44" s="39" t="s">
        <v>345</v>
      </c>
      <c r="H44" s="39"/>
      <c r="I44" s="40"/>
      <c r="J44" s="222"/>
      <c r="K44" s="40"/>
      <c r="L44" s="121"/>
      <c r="M44" s="270"/>
      <c r="BE44" s="14"/>
      <c r="BF44" s="15"/>
      <c r="BG44" s="21"/>
      <c r="BH44" s="42"/>
      <c r="BI44" s="12"/>
    </row>
    <row r="45" spans="1:61" s="3" customFormat="1" ht="15" customHeight="1" x14ac:dyDescent="0.25">
      <c r="A45" s="320" t="s">
        <v>344</v>
      </c>
      <c r="B45" s="321"/>
      <c r="C45" s="321"/>
      <c r="D45" s="321"/>
      <c r="E45" s="321"/>
      <c r="F45" s="321"/>
      <c r="G45" s="321"/>
      <c r="H45" s="111"/>
      <c r="I45" s="111"/>
      <c r="J45" s="219"/>
      <c r="K45" s="111"/>
      <c r="L45" s="117"/>
      <c r="M45" s="268"/>
      <c r="BE45" s="14"/>
      <c r="BF45" s="15"/>
      <c r="BG45" s="21"/>
      <c r="BH45" s="42"/>
      <c r="BI45" s="12"/>
    </row>
    <row r="46" spans="1:61" s="3" customFormat="1" ht="26.25" customHeight="1" x14ac:dyDescent="0.25">
      <c r="A46" s="74" t="s">
        <v>47</v>
      </c>
      <c r="B46" s="17" t="s">
        <v>322</v>
      </c>
      <c r="C46" s="319" t="s">
        <v>323</v>
      </c>
      <c r="D46" s="319"/>
      <c r="E46" s="319"/>
      <c r="F46" s="16" t="s">
        <v>18</v>
      </c>
      <c r="G46" s="18">
        <v>0.123</v>
      </c>
      <c r="H46" s="52">
        <v>555842.6</v>
      </c>
      <c r="I46" s="19">
        <v>68368.639999999999</v>
      </c>
      <c r="J46" s="220">
        <f>I46*1.2</f>
        <v>82042.368000000002</v>
      </c>
      <c r="K46" s="19"/>
      <c r="L46" s="118"/>
      <c r="M46" s="269"/>
      <c r="BE46" s="14"/>
      <c r="BF46" s="15"/>
      <c r="BG46" s="21"/>
      <c r="BH46" s="42"/>
      <c r="BI46" s="12"/>
    </row>
    <row r="47" spans="1:61" s="3" customFormat="1" ht="22.5" hidden="1" x14ac:dyDescent="0.25">
      <c r="A47" s="120" t="s">
        <v>140</v>
      </c>
      <c r="B47" s="37" t="s">
        <v>324</v>
      </c>
      <c r="C47" s="352" t="s">
        <v>325</v>
      </c>
      <c r="D47" s="352"/>
      <c r="E47" s="352"/>
      <c r="F47" s="38" t="s">
        <v>326</v>
      </c>
      <c r="G47" s="39" t="s">
        <v>346</v>
      </c>
      <c r="H47" s="39"/>
      <c r="I47" s="40"/>
      <c r="J47" s="222"/>
      <c r="K47" s="40"/>
      <c r="L47" s="121"/>
      <c r="M47" s="270"/>
      <c r="BE47" s="14"/>
      <c r="BF47" s="15"/>
      <c r="BG47" s="21"/>
      <c r="BH47" s="42"/>
      <c r="BI47" s="12"/>
    </row>
    <row r="48" spans="1:61" s="3" customFormat="1" ht="22.5" x14ac:dyDescent="0.25">
      <c r="A48" s="77" t="s">
        <v>126</v>
      </c>
      <c r="B48" s="26" t="s">
        <v>347</v>
      </c>
      <c r="C48" s="338" t="s">
        <v>348</v>
      </c>
      <c r="D48" s="338"/>
      <c r="E48" s="338"/>
      <c r="F48" s="27" t="s">
        <v>326</v>
      </c>
      <c r="G48" s="22" t="s">
        <v>346</v>
      </c>
      <c r="H48" s="288"/>
      <c r="I48" s="28"/>
      <c r="J48" s="221"/>
      <c r="K48" s="28">
        <v>36808.57</v>
      </c>
      <c r="L48" s="119">
        <f>K48*123</f>
        <v>4527454.1100000003</v>
      </c>
      <c r="M48" s="271">
        <f>L48*1.2</f>
        <v>5432944.932</v>
      </c>
      <c r="BE48" s="14"/>
      <c r="BF48" s="15"/>
      <c r="BG48" s="21"/>
      <c r="BH48" s="42"/>
      <c r="BI48" s="12"/>
    </row>
    <row r="49" spans="1:61" s="3" customFormat="1" ht="15" customHeight="1" x14ac:dyDescent="0.25">
      <c r="A49" s="320" t="s">
        <v>344</v>
      </c>
      <c r="B49" s="321"/>
      <c r="C49" s="321"/>
      <c r="D49" s="321"/>
      <c r="E49" s="321"/>
      <c r="F49" s="321"/>
      <c r="G49" s="321"/>
      <c r="H49" s="111"/>
      <c r="I49" s="111"/>
      <c r="J49" s="219"/>
      <c r="K49" s="111"/>
      <c r="L49" s="117"/>
      <c r="M49" s="268"/>
      <c r="BE49" s="14"/>
      <c r="BF49" s="15"/>
      <c r="BG49" s="21"/>
      <c r="BH49" s="42"/>
      <c r="BI49" s="12"/>
    </row>
    <row r="50" spans="1:61" s="3" customFormat="1" ht="15" customHeight="1" x14ac:dyDescent="0.25">
      <c r="A50" s="320" t="s">
        <v>329</v>
      </c>
      <c r="B50" s="321"/>
      <c r="C50" s="321"/>
      <c r="D50" s="321"/>
      <c r="E50" s="321"/>
      <c r="F50" s="321"/>
      <c r="G50" s="321"/>
      <c r="H50" s="111"/>
      <c r="I50" s="111"/>
      <c r="J50" s="219"/>
      <c r="K50" s="111"/>
      <c r="L50" s="117"/>
      <c r="M50" s="268"/>
      <c r="BE50" s="14"/>
      <c r="BF50" s="15"/>
      <c r="BG50" s="21"/>
      <c r="BH50" s="42"/>
      <c r="BI50" s="12"/>
    </row>
    <row r="51" spans="1:61" s="3" customFormat="1" ht="24.75" customHeight="1" x14ac:dyDescent="0.25">
      <c r="A51" s="74" t="s">
        <v>52</v>
      </c>
      <c r="B51" s="17" t="s">
        <v>322</v>
      </c>
      <c r="C51" s="319" t="s">
        <v>323</v>
      </c>
      <c r="D51" s="319"/>
      <c r="E51" s="319"/>
      <c r="F51" s="16" t="s">
        <v>18</v>
      </c>
      <c r="G51" s="30">
        <v>1.35E-2</v>
      </c>
      <c r="H51" s="52">
        <v>767241.48</v>
      </c>
      <c r="I51" s="19">
        <v>10357.76</v>
      </c>
      <c r="J51" s="220">
        <f>I51*1.2</f>
        <v>12429.312</v>
      </c>
      <c r="K51" s="19"/>
      <c r="L51" s="118"/>
      <c r="M51" s="269"/>
      <c r="BE51" s="14"/>
      <c r="BF51" s="15"/>
      <c r="BG51" s="21"/>
      <c r="BH51" s="42"/>
      <c r="BI51" s="12"/>
    </row>
    <row r="52" spans="1:61" s="3" customFormat="1" ht="22.5" hidden="1" x14ac:dyDescent="0.25">
      <c r="A52" s="120" t="s">
        <v>140</v>
      </c>
      <c r="B52" s="37" t="s">
        <v>324</v>
      </c>
      <c r="C52" s="352" t="s">
        <v>325</v>
      </c>
      <c r="D52" s="352"/>
      <c r="E52" s="352"/>
      <c r="F52" s="38" t="s">
        <v>326</v>
      </c>
      <c r="G52" s="39" t="s">
        <v>349</v>
      </c>
      <c r="H52" s="39"/>
      <c r="I52" s="40"/>
      <c r="J52" s="222"/>
      <c r="K52" s="40"/>
      <c r="L52" s="121"/>
      <c r="M52" s="270"/>
      <c r="BE52" s="14"/>
      <c r="BF52" s="15"/>
      <c r="BG52" s="21"/>
      <c r="BH52" s="42"/>
      <c r="BI52" s="12"/>
    </row>
    <row r="53" spans="1:61" s="3" customFormat="1" ht="22.5" x14ac:dyDescent="0.25">
      <c r="A53" s="77" t="s">
        <v>126</v>
      </c>
      <c r="B53" s="26" t="s">
        <v>347</v>
      </c>
      <c r="C53" s="338" t="s">
        <v>348</v>
      </c>
      <c r="D53" s="338"/>
      <c r="E53" s="338"/>
      <c r="F53" s="27" t="s">
        <v>326</v>
      </c>
      <c r="G53" s="22" t="s">
        <v>349</v>
      </c>
      <c r="H53" s="22"/>
      <c r="I53" s="28"/>
      <c r="J53" s="221"/>
      <c r="K53" s="28">
        <v>36808.57</v>
      </c>
      <c r="L53" s="119">
        <f>K53*13.5</f>
        <v>496915.69500000001</v>
      </c>
      <c r="M53" s="271">
        <f>L53*1.2</f>
        <v>596298.83400000003</v>
      </c>
      <c r="BE53" s="14"/>
      <c r="BF53" s="15"/>
      <c r="BG53" s="21"/>
      <c r="BH53" s="42"/>
      <c r="BI53" s="12"/>
    </row>
    <row r="54" spans="1:61" s="3" customFormat="1" ht="30.75" customHeight="1" x14ac:dyDescent="0.25">
      <c r="A54" s="320" t="s">
        <v>350</v>
      </c>
      <c r="B54" s="321"/>
      <c r="C54" s="321"/>
      <c r="D54" s="321"/>
      <c r="E54" s="321"/>
      <c r="F54" s="321"/>
      <c r="G54" s="321"/>
      <c r="H54" s="111"/>
      <c r="I54" s="111"/>
      <c r="J54" s="219"/>
      <c r="K54" s="111"/>
      <c r="L54" s="117"/>
      <c r="M54" s="268"/>
      <c r="BE54" s="14"/>
      <c r="BF54" s="15"/>
      <c r="BG54" s="21"/>
      <c r="BH54" s="42"/>
      <c r="BI54" s="12"/>
    </row>
    <row r="55" spans="1:61" s="3" customFormat="1" ht="15" customHeight="1" x14ac:dyDescent="0.25">
      <c r="A55" s="320" t="s">
        <v>329</v>
      </c>
      <c r="B55" s="321"/>
      <c r="C55" s="321"/>
      <c r="D55" s="321"/>
      <c r="E55" s="321"/>
      <c r="F55" s="321"/>
      <c r="G55" s="321"/>
      <c r="H55" s="111"/>
      <c r="I55" s="111"/>
      <c r="J55" s="219"/>
      <c r="K55" s="111"/>
      <c r="L55" s="117"/>
      <c r="M55" s="268"/>
      <c r="BE55" s="14"/>
      <c r="BF55" s="15"/>
      <c r="BG55" s="21"/>
      <c r="BH55" s="42"/>
      <c r="BI55" s="12"/>
    </row>
    <row r="56" spans="1:61" s="3" customFormat="1" ht="15" x14ac:dyDescent="0.25">
      <c r="A56" s="74" t="s">
        <v>55</v>
      </c>
      <c r="B56" s="17" t="s">
        <v>334</v>
      </c>
      <c r="C56" s="319" t="s">
        <v>335</v>
      </c>
      <c r="D56" s="319"/>
      <c r="E56" s="319"/>
      <c r="F56" s="16" t="s">
        <v>18</v>
      </c>
      <c r="G56" s="30">
        <v>1.35E-2</v>
      </c>
      <c r="H56" s="52">
        <v>785256.29</v>
      </c>
      <c r="I56" s="19">
        <v>10600.96</v>
      </c>
      <c r="J56" s="220">
        <f>I56*1.2</f>
        <v>12721.151999999998</v>
      </c>
      <c r="K56" s="19"/>
      <c r="L56" s="118"/>
      <c r="M56" s="269"/>
      <c r="BE56" s="14"/>
      <c r="BF56" s="15"/>
      <c r="BG56" s="21"/>
      <c r="BH56" s="42"/>
      <c r="BI56" s="12"/>
    </row>
    <row r="57" spans="1:61" s="3" customFormat="1" ht="22.5" hidden="1" x14ac:dyDescent="0.25">
      <c r="A57" s="120" t="s">
        <v>75</v>
      </c>
      <c r="B57" s="37" t="s">
        <v>336</v>
      </c>
      <c r="C57" s="352" t="s">
        <v>337</v>
      </c>
      <c r="D57" s="352"/>
      <c r="E57" s="352"/>
      <c r="F57" s="38" t="s">
        <v>155</v>
      </c>
      <c r="G57" s="39" t="s">
        <v>33</v>
      </c>
      <c r="H57" s="39"/>
      <c r="I57" s="40"/>
      <c r="J57" s="222"/>
      <c r="K57" s="40"/>
      <c r="L57" s="121"/>
      <c r="M57" s="270"/>
      <c r="BE57" s="14"/>
      <c r="BF57" s="15"/>
      <c r="BG57" s="21"/>
      <c r="BH57" s="42"/>
      <c r="BI57" s="12"/>
    </row>
    <row r="58" spans="1:61" s="3" customFormat="1" ht="22.5" hidden="1" x14ac:dyDescent="0.25">
      <c r="A58" s="120" t="s">
        <v>140</v>
      </c>
      <c r="B58" s="37" t="s">
        <v>324</v>
      </c>
      <c r="C58" s="352" t="s">
        <v>325</v>
      </c>
      <c r="D58" s="352"/>
      <c r="E58" s="352"/>
      <c r="F58" s="38" t="s">
        <v>326</v>
      </c>
      <c r="G58" s="39" t="s">
        <v>349</v>
      </c>
      <c r="H58" s="39"/>
      <c r="I58" s="40"/>
      <c r="J58" s="222"/>
      <c r="K58" s="40"/>
      <c r="L58" s="121"/>
      <c r="M58" s="270"/>
      <c r="BE58" s="14"/>
      <c r="BF58" s="15"/>
      <c r="BG58" s="21"/>
      <c r="BH58" s="42"/>
      <c r="BI58" s="12"/>
    </row>
    <row r="59" spans="1:61" s="3" customFormat="1" ht="22.5" x14ac:dyDescent="0.25">
      <c r="A59" s="77" t="s">
        <v>126</v>
      </c>
      <c r="B59" s="26" t="s">
        <v>339</v>
      </c>
      <c r="C59" s="338" t="s">
        <v>337</v>
      </c>
      <c r="D59" s="338"/>
      <c r="E59" s="338"/>
      <c r="F59" s="27" t="s">
        <v>155</v>
      </c>
      <c r="G59" s="22" t="s">
        <v>351</v>
      </c>
      <c r="H59" s="22"/>
      <c r="I59" s="28"/>
      <c r="J59" s="221"/>
      <c r="K59" s="28">
        <v>450</v>
      </c>
      <c r="L59" s="119">
        <f>K59*57.83</f>
        <v>26023.5</v>
      </c>
      <c r="M59" s="271">
        <f>L59*1.2</f>
        <v>31228.199999999997</v>
      </c>
      <c r="BE59" s="14"/>
      <c r="BF59" s="15"/>
      <c r="BG59" s="21"/>
      <c r="BH59" s="42"/>
      <c r="BI59" s="12"/>
    </row>
    <row r="60" spans="1:61" s="3" customFormat="1" ht="22.5" x14ac:dyDescent="0.25">
      <c r="A60" s="77" t="s">
        <v>126</v>
      </c>
      <c r="B60" s="26" t="s">
        <v>347</v>
      </c>
      <c r="C60" s="338" t="s">
        <v>348</v>
      </c>
      <c r="D60" s="338"/>
      <c r="E60" s="338"/>
      <c r="F60" s="27" t="s">
        <v>326</v>
      </c>
      <c r="G60" s="22" t="s">
        <v>349</v>
      </c>
      <c r="H60" s="22"/>
      <c r="I60" s="28"/>
      <c r="J60" s="221"/>
      <c r="K60" s="28">
        <v>36808.57</v>
      </c>
      <c r="L60" s="119">
        <f>K60*13.5</f>
        <v>496915.69500000001</v>
      </c>
      <c r="M60" s="271">
        <f>L60*1.2</f>
        <v>596298.83400000003</v>
      </c>
      <c r="BE60" s="14"/>
      <c r="BF60" s="15"/>
      <c r="BG60" s="21"/>
      <c r="BH60" s="42"/>
      <c r="BI60" s="12"/>
    </row>
    <row r="61" spans="1:61" s="3" customFormat="1" ht="15" customHeight="1" x14ac:dyDescent="0.25">
      <c r="A61" s="320" t="s">
        <v>352</v>
      </c>
      <c r="B61" s="321"/>
      <c r="C61" s="321"/>
      <c r="D61" s="321"/>
      <c r="E61" s="321"/>
      <c r="F61" s="321"/>
      <c r="G61" s="321"/>
      <c r="H61" s="111"/>
      <c r="I61" s="111"/>
      <c r="J61" s="219"/>
      <c r="K61" s="111"/>
      <c r="L61" s="117"/>
      <c r="M61" s="268"/>
      <c r="BE61" s="14"/>
      <c r="BF61" s="15"/>
      <c r="BG61" s="21"/>
      <c r="BH61" s="42"/>
      <c r="BI61" s="12"/>
    </row>
    <row r="62" spans="1:61" s="3" customFormat="1" ht="15" customHeight="1" x14ac:dyDescent="0.25">
      <c r="A62" s="320" t="s">
        <v>321</v>
      </c>
      <c r="B62" s="321"/>
      <c r="C62" s="321"/>
      <c r="D62" s="321"/>
      <c r="E62" s="321"/>
      <c r="F62" s="321"/>
      <c r="G62" s="321"/>
      <c r="H62" s="111"/>
      <c r="I62" s="111"/>
      <c r="J62" s="219"/>
      <c r="K62" s="111"/>
      <c r="L62" s="117"/>
      <c r="M62" s="268"/>
      <c r="BE62" s="14"/>
      <c r="BF62" s="15"/>
      <c r="BG62" s="21"/>
      <c r="BH62" s="42"/>
      <c r="BI62" s="12"/>
    </row>
    <row r="63" spans="1:61" s="3" customFormat="1" ht="15" x14ac:dyDescent="0.25">
      <c r="A63" s="74" t="s">
        <v>56</v>
      </c>
      <c r="B63" s="17" t="s">
        <v>334</v>
      </c>
      <c r="C63" s="319" t="s">
        <v>335</v>
      </c>
      <c r="D63" s="319"/>
      <c r="E63" s="319"/>
      <c r="F63" s="16" t="s">
        <v>18</v>
      </c>
      <c r="G63" s="18">
        <v>0.161</v>
      </c>
      <c r="H63" s="52">
        <v>569035.53</v>
      </c>
      <c r="I63" s="19">
        <v>91614.720000000001</v>
      </c>
      <c r="J63" s="220">
        <f>I63*1.2</f>
        <v>109937.664</v>
      </c>
      <c r="K63" s="19"/>
      <c r="L63" s="118"/>
      <c r="M63" s="269"/>
      <c r="BE63" s="14"/>
      <c r="BF63" s="15"/>
      <c r="BG63" s="21"/>
      <c r="BH63" s="42"/>
      <c r="BI63" s="12"/>
    </row>
    <row r="64" spans="1:61" s="3" customFormat="1" ht="22.5" hidden="1" x14ac:dyDescent="0.25">
      <c r="A64" s="120" t="s">
        <v>75</v>
      </c>
      <c r="B64" s="37" t="s">
        <v>336</v>
      </c>
      <c r="C64" s="352" t="s">
        <v>337</v>
      </c>
      <c r="D64" s="352"/>
      <c r="E64" s="352"/>
      <c r="F64" s="38" t="s">
        <v>155</v>
      </c>
      <c r="G64" s="39" t="s">
        <v>33</v>
      </c>
      <c r="H64" s="39"/>
      <c r="I64" s="40"/>
      <c r="J64" s="222"/>
      <c r="K64" s="40"/>
      <c r="L64" s="121"/>
      <c r="M64" s="270"/>
      <c r="BE64" s="14"/>
      <c r="BF64" s="15"/>
      <c r="BG64" s="21"/>
      <c r="BH64" s="42"/>
      <c r="BI64" s="12"/>
    </row>
    <row r="65" spans="1:62" s="3" customFormat="1" ht="22.5" hidden="1" x14ac:dyDescent="0.25">
      <c r="A65" s="120" t="s">
        <v>140</v>
      </c>
      <c r="B65" s="37" t="s">
        <v>324</v>
      </c>
      <c r="C65" s="352" t="s">
        <v>325</v>
      </c>
      <c r="D65" s="352"/>
      <c r="E65" s="352"/>
      <c r="F65" s="38" t="s">
        <v>326</v>
      </c>
      <c r="G65" s="39" t="s">
        <v>353</v>
      </c>
      <c r="H65" s="39"/>
      <c r="I65" s="40"/>
      <c r="J65" s="222"/>
      <c r="K65" s="40"/>
      <c r="L65" s="121"/>
      <c r="M65" s="270"/>
      <c r="BE65" s="14"/>
      <c r="BF65" s="15"/>
      <c r="BG65" s="21"/>
      <c r="BH65" s="42"/>
      <c r="BI65" s="12"/>
    </row>
    <row r="66" spans="1:62" s="3" customFormat="1" ht="22.5" x14ac:dyDescent="0.25">
      <c r="A66" s="77" t="s">
        <v>126</v>
      </c>
      <c r="B66" s="26" t="s">
        <v>339</v>
      </c>
      <c r="C66" s="338" t="s">
        <v>337</v>
      </c>
      <c r="D66" s="338"/>
      <c r="E66" s="338"/>
      <c r="F66" s="27" t="s">
        <v>155</v>
      </c>
      <c r="G66" s="22" t="s">
        <v>354</v>
      </c>
      <c r="H66" s="22"/>
      <c r="I66" s="28"/>
      <c r="J66" s="221"/>
      <c r="K66" s="28">
        <v>450</v>
      </c>
      <c r="L66" s="119">
        <f>K66*689.724</f>
        <v>310375.80000000005</v>
      </c>
      <c r="M66" s="271">
        <f>L66*1.2</f>
        <v>372450.96</v>
      </c>
      <c r="BE66" s="14"/>
      <c r="BF66" s="15"/>
      <c r="BG66" s="21"/>
      <c r="BH66" s="42"/>
      <c r="BI66" s="12"/>
    </row>
    <row r="67" spans="1:62" s="3" customFormat="1" ht="22.5" x14ac:dyDescent="0.25">
      <c r="A67" s="77" t="s">
        <v>126</v>
      </c>
      <c r="B67" s="26" t="s">
        <v>347</v>
      </c>
      <c r="C67" s="338" t="s">
        <v>348</v>
      </c>
      <c r="D67" s="338"/>
      <c r="E67" s="338"/>
      <c r="F67" s="27" t="s">
        <v>326</v>
      </c>
      <c r="G67" s="22" t="s">
        <v>353</v>
      </c>
      <c r="H67" s="22"/>
      <c r="I67" s="28"/>
      <c r="J67" s="221"/>
      <c r="K67" s="28">
        <v>36808.57</v>
      </c>
      <c r="L67" s="119">
        <f>K67*161</f>
        <v>5926179.7699999996</v>
      </c>
      <c r="M67" s="271">
        <f>L67*1.2</f>
        <v>7111415.7239999995</v>
      </c>
      <c r="BE67" s="14"/>
      <c r="BF67" s="15"/>
      <c r="BG67" s="21"/>
      <c r="BH67" s="42"/>
      <c r="BI67" s="12"/>
    </row>
    <row r="68" spans="1:62" s="3" customFormat="1" ht="15" customHeight="1" x14ac:dyDescent="0.25">
      <c r="A68" s="320" t="s">
        <v>355</v>
      </c>
      <c r="B68" s="321"/>
      <c r="C68" s="321"/>
      <c r="D68" s="321"/>
      <c r="E68" s="321"/>
      <c r="F68" s="321"/>
      <c r="G68" s="321"/>
      <c r="H68" s="111"/>
      <c r="I68" s="111"/>
      <c r="J68" s="219"/>
      <c r="K68" s="111"/>
      <c r="L68" s="117"/>
      <c r="M68" s="268"/>
      <c r="BE68" s="14"/>
      <c r="BF68" s="15"/>
      <c r="BG68" s="21"/>
      <c r="BH68" s="42"/>
      <c r="BI68" s="12"/>
    </row>
    <row r="69" spans="1:62" s="3" customFormat="1" ht="15" customHeight="1" x14ac:dyDescent="0.25">
      <c r="A69" s="320" t="s">
        <v>356</v>
      </c>
      <c r="B69" s="321"/>
      <c r="C69" s="321"/>
      <c r="D69" s="321"/>
      <c r="E69" s="321"/>
      <c r="F69" s="321"/>
      <c r="G69" s="321"/>
      <c r="H69" s="111"/>
      <c r="I69" s="111"/>
      <c r="J69" s="219"/>
      <c r="K69" s="111"/>
      <c r="L69" s="117"/>
      <c r="M69" s="268"/>
      <c r="BE69" s="14"/>
      <c r="BF69" s="15"/>
      <c r="BG69" s="21"/>
      <c r="BH69" s="42"/>
      <c r="BI69" s="12"/>
    </row>
    <row r="70" spans="1:62" s="3" customFormat="1" ht="15" x14ac:dyDescent="0.25">
      <c r="A70" s="74" t="s">
        <v>163</v>
      </c>
      <c r="B70" s="17" t="s">
        <v>357</v>
      </c>
      <c r="C70" s="319" t="s">
        <v>358</v>
      </c>
      <c r="D70" s="319"/>
      <c r="E70" s="319"/>
      <c r="F70" s="16" t="s">
        <v>25</v>
      </c>
      <c r="G70" s="23">
        <v>7</v>
      </c>
      <c r="H70" s="52">
        <v>316135.67999999999</v>
      </c>
      <c r="I70" s="19">
        <v>2212949.7599999998</v>
      </c>
      <c r="J70" s="220">
        <f>I70*1.2</f>
        <v>2655539.7119999998</v>
      </c>
      <c r="K70" s="19"/>
      <c r="L70" s="118"/>
      <c r="M70" s="269"/>
      <c r="BE70" s="14"/>
      <c r="BF70" s="15"/>
      <c r="BG70" s="21"/>
      <c r="BH70" s="42"/>
      <c r="BI70" s="12"/>
    </row>
    <row r="71" spans="1:62" s="3" customFormat="1" ht="22.5" hidden="1" x14ac:dyDescent="0.25">
      <c r="A71" s="120" t="s">
        <v>75</v>
      </c>
      <c r="B71" s="37" t="s">
        <v>359</v>
      </c>
      <c r="C71" s="352" t="s">
        <v>360</v>
      </c>
      <c r="D71" s="352"/>
      <c r="E71" s="352"/>
      <c r="F71" s="38" t="s">
        <v>46</v>
      </c>
      <c r="G71" s="39" t="s">
        <v>33</v>
      </c>
      <c r="H71" s="39"/>
      <c r="I71" s="40"/>
      <c r="J71" s="222"/>
      <c r="K71" s="40"/>
      <c r="L71" s="121"/>
      <c r="M71" s="270"/>
      <c r="BE71" s="14"/>
      <c r="BF71" s="15"/>
      <c r="BG71" s="21"/>
      <c r="BH71" s="42"/>
      <c r="BI71" s="12"/>
    </row>
    <row r="72" spans="1:62" s="3" customFormat="1" ht="22.5" x14ac:dyDescent="0.25">
      <c r="A72" s="77"/>
      <c r="B72" s="26" t="s">
        <v>361</v>
      </c>
      <c r="C72" s="338" t="s">
        <v>362</v>
      </c>
      <c r="D72" s="338"/>
      <c r="E72" s="338"/>
      <c r="F72" s="27" t="s">
        <v>363</v>
      </c>
      <c r="G72" s="22" t="s">
        <v>364</v>
      </c>
      <c r="H72" s="22"/>
      <c r="I72" s="28"/>
      <c r="J72" s="221"/>
      <c r="K72" s="28"/>
      <c r="L72" s="119"/>
      <c r="M72" s="271"/>
      <c r="BE72" s="14"/>
      <c r="BF72" s="15"/>
      <c r="BG72" s="21"/>
      <c r="BH72" s="42"/>
      <c r="BI72" s="12"/>
      <c r="BJ72" s="12"/>
    </row>
    <row r="73" spans="1:62" s="3" customFormat="1" ht="22.5" hidden="1" x14ac:dyDescent="0.25">
      <c r="A73" s="120" t="s">
        <v>75</v>
      </c>
      <c r="B73" s="37" t="s">
        <v>365</v>
      </c>
      <c r="C73" s="352" t="s">
        <v>366</v>
      </c>
      <c r="D73" s="352"/>
      <c r="E73" s="352"/>
      <c r="F73" s="38" t="s">
        <v>38</v>
      </c>
      <c r="G73" s="39" t="s">
        <v>33</v>
      </c>
      <c r="H73" s="39"/>
      <c r="I73" s="40"/>
      <c r="J73" s="222"/>
      <c r="K73" s="40"/>
      <c r="L73" s="121"/>
      <c r="M73" s="270"/>
      <c r="BE73" s="14"/>
      <c r="BF73" s="15"/>
      <c r="BG73" s="21"/>
      <c r="BH73" s="42"/>
      <c r="BI73" s="12"/>
      <c r="BJ73" s="12"/>
    </row>
    <row r="74" spans="1:62" s="3" customFormat="1" ht="22.5" x14ac:dyDescent="0.25">
      <c r="A74" s="77"/>
      <c r="B74" s="26" t="s">
        <v>367</v>
      </c>
      <c r="C74" s="338" t="s">
        <v>368</v>
      </c>
      <c r="D74" s="338"/>
      <c r="E74" s="338"/>
      <c r="F74" s="27" t="s">
        <v>38</v>
      </c>
      <c r="G74" s="22" t="s">
        <v>369</v>
      </c>
      <c r="H74" s="22"/>
      <c r="I74" s="28"/>
      <c r="J74" s="221"/>
      <c r="K74" s="28"/>
      <c r="L74" s="119"/>
      <c r="M74" s="271"/>
      <c r="BE74" s="14"/>
      <c r="BF74" s="15"/>
      <c r="BG74" s="21"/>
      <c r="BH74" s="42"/>
      <c r="BI74" s="12"/>
      <c r="BJ74" s="12"/>
    </row>
    <row r="75" spans="1:62" s="3" customFormat="1" ht="22.5" x14ac:dyDescent="0.25">
      <c r="A75" s="77"/>
      <c r="B75" s="26" t="s">
        <v>370</v>
      </c>
      <c r="C75" s="338" t="s">
        <v>371</v>
      </c>
      <c r="D75" s="338"/>
      <c r="E75" s="338"/>
      <c r="F75" s="27" t="s">
        <v>363</v>
      </c>
      <c r="G75" s="22" t="s">
        <v>364</v>
      </c>
      <c r="H75" s="22"/>
      <c r="I75" s="28"/>
      <c r="J75" s="221"/>
      <c r="K75" s="28"/>
      <c r="L75" s="119"/>
      <c r="M75" s="271"/>
      <c r="BE75" s="14"/>
      <c r="BF75" s="15"/>
      <c r="BG75" s="21"/>
      <c r="BH75" s="42"/>
      <c r="BI75" s="12"/>
      <c r="BJ75" s="12"/>
    </row>
    <row r="76" spans="1:62" s="3" customFormat="1" ht="22.5" x14ac:dyDescent="0.25">
      <c r="A76" s="77"/>
      <c r="B76" s="26" t="s">
        <v>372</v>
      </c>
      <c r="C76" s="338" t="s">
        <v>373</v>
      </c>
      <c r="D76" s="338"/>
      <c r="E76" s="338"/>
      <c r="F76" s="27" t="s">
        <v>67</v>
      </c>
      <c r="G76" s="22" t="s">
        <v>374</v>
      </c>
      <c r="H76" s="22"/>
      <c r="I76" s="28"/>
      <c r="J76" s="221"/>
      <c r="K76" s="28"/>
      <c r="L76" s="119"/>
      <c r="M76" s="271"/>
      <c r="BE76" s="14"/>
      <c r="BF76" s="15"/>
      <c r="BG76" s="21"/>
      <c r="BH76" s="42"/>
      <c r="BI76" s="12"/>
      <c r="BJ76" s="12"/>
    </row>
    <row r="77" spans="1:62" s="3" customFormat="1" ht="22.5" x14ac:dyDescent="0.25">
      <c r="A77" s="77"/>
      <c r="B77" s="26" t="s">
        <v>375</v>
      </c>
      <c r="C77" s="338" t="s">
        <v>376</v>
      </c>
      <c r="D77" s="338"/>
      <c r="E77" s="338"/>
      <c r="F77" s="27" t="s">
        <v>67</v>
      </c>
      <c r="G77" s="22" t="s">
        <v>377</v>
      </c>
      <c r="H77" s="22"/>
      <c r="I77" s="28"/>
      <c r="J77" s="221"/>
      <c r="K77" s="28"/>
      <c r="L77" s="119"/>
      <c r="M77" s="271"/>
      <c r="BE77" s="14"/>
      <c r="BF77" s="15"/>
      <c r="BG77" s="21"/>
      <c r="BH77" s="42"/>
      <c r="BI77" s="12"/>
      <c r="BJ77" s="12"/>
    </row>
    <row r="78" spans="1:62" s="3" customFormat="1" ht="22.5" x14ac:dyDescent="0.25">
      <c r="A78" s="77"/>
      <c r="B78" s="26" t="s">
        <v>378</v>
      </c>
      <c r="C78" s="338" t="s">
        <v>379</v>
      </c>
      <c r="D78" s="338"/>
      <c r="E78" s="338"/>
      <c r="F78" s="27" t="s">
        <v>67</v>
      </c>
      <c r="G78" s="22" t="s">
        <v>380</v>
      </c>
      <c r="H78" s="22"/>
      <c r="I78" s="28"/>
      <c r="J78" s="221"/>
      <c r="K78" s="28"/>
      <c r="L78" s="119"/>
      <c r="M78" s="271"/>
      <c r="BE78" s="14"/>
      <c r="BF78" s="15"/>
      <c r="BG78" s="21"/>
      <c r="BH78" s="42"/>
      <c r="BI78" s="12"/>
      <c r="BJ78" s="12"/>
    </row>
    <row r="79" spans="1:62" s="3" customFormat="1" ht="22.5" x14ac:dyDescent="0.25">
      <c r="A79" s="77"/>
      <c r="B79" s="26" t="s">
        <v>381</v>
      </c>
      <c r="C79" s="338" t="s">
        <v>382</v>
      </c>
      <c r="D79" s="338"/>
      <c r="E79" s="338"/>
      <c r="F79" s="27" t="s">
        <v>38</v>
      </c>
      <c r="G79" s="22" t="s">
        <v>383</v>
      </c>
      <c r="H79" s="22"/>
      <c r="I79" s="28"/>
      <c r="J79" s="221"/>
      <c r="K79" s="28"/>
      <c r="L79" s="119"/>
      <c r="M79" s="271"/>
      <c r="BE79" s="14"/>
      <c r="BF79" s="15"/>
      <c r="BG79" s="21"/>
      <c r="BH79" s="42"/>
      <c r="BI79" s="12"/>
      <c r="BJ79" s="12"/>
    </row>
    <row r="80" spans="1:62" s="3" customFormat="1" ht="22.5" x14ac:dyDescent="0.25">
      <c r="A80" s="77"/>
      <c r="B80" s="26" t="s">
        <v>384</v>
      </c>
      <c r="C80" s="338" t="s">
        <v>385</v>
      </c>
      <c r="D80" s="338"/>
      <c r="E80" s="338"/>
      <c r="F80" s="27" t="s">
        <v>112</v>
      </c>
      <c r="G80" s="22" t="s">
        <v>386</v>
      </c>
      <c r="H80" s="22"/>
      <c r="I80" s="28"/>
      <c r="J80" s="221"/>
      <c r="K80" s="28"/>
      <c r="L80" s="119"/>
      <c r="M80" s="271"/>
      <c r="BE80" s="14"/>
      <c r="BF80" s="15"/>
      <c r="BG80" s="21"/>
      <c r="BH80" s="42"/>
      <c r="BI80" s="12"/>
      <c r="BJ80" s="12"/>
    </row>
    <row r="81" spans="1:62" s="3" customFormat="1" ht="22.5" hidden="1" x14ac:dyDescent="0.25">
      <c r="A81" s="120" t="s">
        <v>140</v>
      </c>
      <c r="B81" s="37" t="s">
        <v>387</v>
      </c>
      <c r="C81" s="352" t="s">
        <v>388</v>
      </c>
      <c r="D81" s="352"/>
      <c r="E81" s="352"/>
      <c r="F81" s="38" t="s">
        <v>139</v>
      </c>
      <c r="G81" s="39" t="s">
        <v>389</v>
      </c>
      <c r="H81" s="39"/>
      <c r="I81" s="40"/>
      <c r="J81" s="222"/>
      <c r="K81" s="40"/>
      <c r="L81" s="121"/>
      <c r="M81" s="270"/>
      <c r="BE81" s="14"/>
      <c r="BF81" s="15"/>
      <c r="BG81" s="21"/>
      <c r="BH81" s="42"/>
      <c r="BI81" s="12"/>
      <c r="BJ81" s="12"/>
    </row>
    <row r="82" spans="1:62" s="3" customFormat="1" ht="22.5" hidden="1" x14ac:dyDescent="0.25">
      <c r="A82" s="120" t="s">
        <v>140</v>
      </c>
      <c r="B82" s="37" t="s">
        <v>390</v>
      </c>
      <c r="C82" s="352" t="s">
        <v>391</v>
      </c>
      <c r="D82" s="352"/>
      <c r="E82" s="352"/>
      <c r="F82" s="38" t="s">
        <v>25</v>
      </c>
      <c r="G82" s="39" t="s">
        <v>392</v>
      </c>
      <c r="H82" s="39"/>
      <c r="I82" s="40"/>
      <c r="J82" s="222"/>
      <c r="K82" s="40"/>
      <c r="L82" s="121"/>
      <c r="M82" s="270"/>
      <c r="BE82" s="14"/>
      <c r="BF82" s="15"/>
      <c r="BG82" s="21"/>
      <c r="BH82" s="42"/>
      <c r="BI82" s="12"/>
      <c r="BJ82" s="12"/>
    </row>
    <row r="83" spans="1:62" s="3" customFormat="1" ht="22.5" x14ac:dyDescent="0.25">
      <c r="A83" s="77"/>
      <c r="B83" s="26" t="s">
        <v>393</v>
      </c>
      <c r="C83" s="338" t="s">
        <v>394</v>
      </c>
      <c r="D83" s="338"/>
      <c r="E83" s="338"/>
      <c r="F83" s="27" t="s">
        <v>38</v>
      </c>
      <c r="G83" s="22" t="s">
        <v>383</v>
      </c>
      <c r="H83" s="22"/>
      <c r="I83" s="28"/>
      <c r="J83" s="221"/>
      <c r="K83" s="28"/>
      <c r="L83" s="119"/>
      <c r="M83" s="271"/>
      <c r="BE83" s="14"/>
      <c r="BF83" s="15"/>
      <c r="BG83" s="21"/>
      <c r="BH83" s="42"/>
      <c r="BI83" s="12"/>
      <c r="BJ83" s="12"/>
    </row>
    <row r="84" spans="1:62" s="3" customFormat="1" ht="22.5" x14ac:dyDescent="0.25">
      <c r="A84" s="77"/>
      <c r="B84" s="26" t="s">
        <v>395</v>
      </c>
      <c r="C84" s="338" t="s">
        <v>396</v>
      </c>
      <c r="D84" s="338"/>
      <c r="E84" s="338"/>
      <c r="F84" s="27" t="s">
        <v>38</v>
      </c>
      <c r="G84" s="22" t="s">
        <v>383</v>
      </c>
      <c r="H84" s="22"/>
      <c r="I84" s="28"/>
      <c r="J84" s="221"/>
      <c r="K84" s="28"/>
      <c r="L84" s="119"/>
      <c r="M84" s="271"/>
      <c r="BE84" s="14"/>
      <c r="BF84" s="15"/>
      <c r="BG84" s="21"/>
      <c r="BH84" s="42"/>
      <c r="BI84" s="12"/>
      <c r="BJ84" s="12"/>
    </row>
    <row r="85" spans="1:62" s="3" customFormat="1" ht="27.75" customHeight="1" x14ac:dyDescent="0.25">
      <c r="A85" s="74" t="s">
        <v>166</v>
      </c>
      <c r="B85" s="17" t="s">
        <v>397</v>
      </c>
      <c r="C85" s="319" t="s">
        <v>398</v>
      </c>
      <c r="D85" s="319"/>
      <c r="E85" s="319"/>
      <c r="F85" s="16" t="s">
        <v>25</v>
      </c>
      <c r="G85" s="23">
        <v>7</v>
      </c>
      <c r="H85" s="52">
        <v>333162.06</v>
      </c>
      <c r="I85" s="19">
        <v>2332134.3999999999</v>
      </c>
      <c r="J85" s="220">
        <f>I85*1.2</f>
        <v>2798561.2799999998</v>
      </c>
      <c r="K85" s="19"/>
      <c r="L85" s="118"/>
      <c r="M85" s="269"/>
      <c r="BE85" s="14"/>
      <c r="BF85" s="15"/>
      <c r="BG85" s="21"/>
      <c r="BH85" s="42"/>
      <c r="BI85" s="12"/>
      <c r="BJ85" s="12"/>
    </row>
    <row r="86" spans="1:62" s="3" customFormat="1" ht="25.5" customHeight="1" x14ac:dyDescent="0.25">
      <c r="A86" s="320" t="s">
        <v>399</v>
      </c>
      <c r="B86" s="321"/>
      <c r="C86" s="321"/>
      <c r="D86" s="321"/>
      <c r="E86" s="321"/>
      <c r="F86" s="321"/>
      <c r="G86" s="321"/>
      <c r="H86" s="111"/>
      <c r="I86" s="111"/>
      <c r="J86" s="219"/>
      <c r="K86" s="111"/>
      <c r="L86" s="117"/>
      <c r="M86" s="268"/>
      <c r="BE86" s="14"/>
      <c r="BF86" s="15"/>
      <c r="BG86" s="21"/>
      <c r="BH86" s="42"/>
      <c r="BI86" s="12"/>
      <c r="BJ86" s="12"/>
    </row>
    <row r="87" spans="1:62" s="3" customFormat="1" ht="15" customHeight="1" x14ac:dyDescent="0.25">
      <c r="A87" s="320" t="s">
        <v>400</v>
      </c>
      <c r="B87" s="321"/>
      <c r="C87" s="321"/>
      <c r="D87" s="321"/>
      <c r="E87" s="321"/>
      <c r="F87" s="321"/>
      <c r="G87" s="321"/>
      <c r="H87" s="111"/>
      <c r="I87" s="111"/>
      <c r="J87" s="219"/>
      <c r="K87" s="111"/>
      <c r="L87" s="117"/>
      <c r="M87" s="268"/>
      <c r="BE87" s="14"/>
      <c r="BF87" s="15"/>
      <c r="BG87" s="21"/>
      <c r="BH87" s="42"/>
      <c r="BI87" s="12"/>
      <c r="BJ87" s="12"/>
    </row>
    <row r="88" spans="1:62" s="3" customFormat="1" ht="15" x14ac:dyDescent="0.25">
      <c r="A88" s="74" t="s">
        <v>167</v>
      </c>
      <c r="B88" s="17" t="s">
        <v>357</v>
      </c>
      <c r="C88" s="319" t="s">
        <v>358</v>
      </c>
      <c r="D88" s="319"/>
      <c r="E88" s="319"/>
      <c r="F88" s="16" t="s">
        <v>25</v>
      </c>
      <c r="G88" s="23">
        <v>8</v>
      </c>
      <c r="H88" s="52">
        <v>316135.2</v>
      </c>
      <c r="I88" s="19">
        <v>2529081.6</v>
      </c>
      <c r="J88" s="220">
        <f>I88*1.2</f>
        <v>3034897.92</v>
      </c>
      <c r="K88" s="19"/>
      <c r="L88" s="118"/>
      <c r="M88" s="269"/>
      <c r="BE88" s="14"/>
      <c r="BF88" s="15"/>
      <c r="BG88" s="21"/>
      <c r="BH88" s="42"/>
      <c r="BI88" s="12"/>
      <c r="BJ88" s="12"/>
    </row>
    <row r="89" spans="1:62" s="3" customFormat="1" ht="22.5" hidden="1" x14ac:dyDescent="0.25">
      <c r="A89" s="120" t="s">
        <v>75</v>
      </c>
      <c r="B89" s="37" t="s">
        <v>359</v>
      </c>
      <c r="C89" s="352" t="s">
        <v>360</v>
      </c>
      <c r="D89" s="352"/>
      <c r="E89" s="352"/>
      <c r="F89" s="38" t="s">
        <v>46</v>
      </c>
      <c r="G89" s="39" t="s">
        <v>33</v>
      </c>
      <c r="H89" s="39"/>
      <c r="I89" s="40"/>
      <c r="J89" s="222"/>
      <c r="K89" s="40"/>
      <c r="L89" s="121"/>
      <c r="M89" s="270"/>
      <c r="BE89" s="14"/>
      <c r="BF89" s="15"/>
      <c r="BG89" s="21"/>
      <c r="BH89" s="42"/>
      <c r="BI89" s="12"/>
      <c r="BJ89" s="12"/>
    </row>
    <row r="90" spans="1:62" s="3" customFormat="1" ht="22.5" x14ac:dyDescent="0.25">
      <c r="A90" s="77"/>
      <c r="B90" s="26" t="s">
        <v>361</v>
      </c>
      <c r="C90" s="338" t="s">
        <v>362</v>
      </c>
      <c r="D90" s="338"/>
      <c r="E90" s="338"/>
      <c r="F90" s="27" t="s">
        <v>363</v>
      </c>
      <c r="G90" s="22" t="s">
        <v>401</v>
      </c>
      <c r="H90" s="22"/>
      <c r="I90" s="28"/>
      <c r="J90" s="221"/>
      <c r="K90" s="28"/>
      <c r="L90" s="119"/>
      <c r="M90" s="271"/>
      <c r="BE90" s="14"/>
      <c r="BF90" s="15"/>
      <c r="BG90" s="21"/>
      <c r="BH90" s="42"/>
      <c r="BI90" s="12"/>
      <c r="BJ90" s="12"/>
    </row>
    <row r="91" spans="1:62" s="3" customFormat="1" ht="22.5" hidden="1" x14ac:dyDescent="0.25">
      <c r="A91" s="120" t="s">
        <v>75</v>
      </c>
      <c r="B91" s="37" t="s">
        <v>365</v>
      </c>
      <c r="C91" s="352" t="s">
        <v>366</v>
      </c>
      <c r="D91" s="352"/>
      <c r="E91" s="352"/>
      <c r="F91" s="38" t="s">
        <v>38</v>
      </c>
      <c r="G91" s="39" t="s">
        <v>33</v>
      </c>
      <c r="H91" s="39"/>
      <c r="I91" s="40"/>
      <c r="J91" s="222"/>
      <c r="K91" s="40"/>
      <c r="L91" s="121"/>
      <c r="M91" s="270"/>
      <c r="BE91" s="14"/>
      <c r="BF91" s="15"/>
      <c r="BG91" s="21"/>
      <c r="BH91" s="42"/>
      <c r="BI91" s="12"/>
      <c r="BJ91" s="12"/>
    </row>
    <row r="92" spans="1:62" s="3" customFormat="1" ht="22.5" x14ac:dyDescent="0.25">
      <c r="A92" s="77"/>
      <c r="B92" s="26" t="s">
        <v>367</v>
      </c>
      <c r="C92" s="338" t="s">
        <v>368</v>
      </c>
      <c r="D92" s="338"/>
      <c r="E92" s="338"/>
      <c r="F92" s="27" t="s">
        <v>38</v>
      </c>
      <c r="G92" s="22" t="s">
        <v>402</v>
      </c>
      <c r="H92" s="22"/>
      <c r="I92" s="28"/>
      <c r="J92" s="221"/>
      <c r="K92" s="28"/>
      <c r="L92" s="119"/>
      <c r="M92" s="271"/>
      <c r="BE92" s="14"/>
      <c r="BF92" s="15"/>
      <c r="BG92" s="21"/>
      <c r="BH92" s="42"/>
      <c r="BI92" s="12"/>
      <c r="BJ92" s="12"/>
    </row>
    <row r="93" spans="1:62" s="3" customFormat="1" ht="22.5" x14ac:dyDescent="0.25">
      <c r="A93" s="77"/>
      <c r="B93" s="26" t="s">
        <v>370</v>
      </c>
      <c r="C93" s="338" t="s">
        <v>371</v>
      </c>
      <c r="D93" s="338"/>
      <c r="E93" s="338"/>
      <c r="F93" s="27" t="s">
        <v>363</v>
      </c>
      <c r="G93" s="22" t="s">
        <v>401</v>
      </c>
      <c r="H93" s="22"/>
      <c r="I93" s="28"/>
      <c r="J93" s="221"/>
      <c r="K93" s="28"/>
      <c r="L93" s="119"/>
      <c r="M93" s="271"/>
      <c r="BE93" s="14"/>
      <c r="BF93" s="15"/>
      <c r="BG93" s="21"/>
      <c r="BH93" s="42"/>
      <c r="BI93" s="12"/>
      <c r="BJ93" s="12"/>
    </row>
    <row r="94" spans="1:62" s="3" customFormat="1" ht="22.5" x14ac:dyDescent="0.25">
      <c r="A94" s="77"/>
      <c r="B94" s="26" t="s">
        <v>372</v>
      </c>
      <c r="C94" s="338" t="s">
        <v>373</v>
      </c>
      <c r="D94" s="338"/>
      <c r="E94" s="338"/>
      <c r="F94" s="27" t="s">
        <v>67</v>
      </c>
      <c r="G94" s="22" t="s">
        <v>403</v>
      </c>
      <c r="H94" s="22"/>
      <c r="I94" s="28"/>
      <c r="J94" s="221"/>
      <c r="K94" s="28"/>
      <c r="L94" s="119"/>
      <c r="M94" s="271"/>
      <c r="BE94" s="14"/>
      <c r="BF94" s="15"/>
      <c r="BG94" s="21"/>
      <c r="BH94" s="42"/>
      <c r="BI94" s="12"/>
      <c r="BJ94" s="12"/>
    </row>
    <row r="95" spans="1:62" s="3" customFormat="1" ht="22.5" x14ac:dyDescent="0.25">
      <c r="A95" s="77"/>
      <c r="B95" s="26" t="s">
        <v>375</v>
      </c>
      <c r="C95" s="338" t="s">
        <v>376</v>
      </c>
      <c r="D95" s="338"/>
      <c r="E95" s="338"/>
      <c r="F95" s="27" t="s">
        <v>67</v>
      </c>
      <c r="G95" s="22" t="s">
        <v>404</v>
      </c>
      <c r="H95" s="22"/>
      <c r="I95" s="28"/>
      <c r="J95" s="221"/>
      <c r="K95" s="28"/>
      <c r="L95" s="119"/>
      <c r="M95" s="271"/>
      <c r="BE95" s="14"/>
      <c r="BF95" s="15"/>
      <c r="BG95" s="21"/>
      <c r="BH95" s="42"/>
      <c r="BI95" s="12"/>
      <c r="BJ95" s="12"/>
    </row>
    <row r="96" spans="1:62" s="3" customFormat="1" ht="22.5" x14ac:dyDescent="0.25">
      <c r="A96" s="77"/>
      <c r="B96" s="26" t="s">
        <v>378</v>
      </c>
      <c r="C96" s="338" t="s">
        <v>379</v>
      </c>
      <c r="D96" s="338"/>
      <c r="E96" s="338"/>
      <c r="F96" s="27" t="s">
        <v>67</v>
      </c>
      <c r="G96" s="22" t="s">
        <v>405</v>
      </c>
      <c r="H96" s="22"/>
      <c r="I96" s="28"/>
      <c r="J96" s="221"/>
      <c r="K96" s="28"/>
      <c r="L96" s="119"/>
      <c r="M96" s="271"/>
      <c r="BE96" s="14"/>
      <c r="BF96" s="15"/>
      <c r="BG96" s="21"/>
      <c r="BH96" s="42"/>
      <c r="BI96" s="12"/>
      <c r="BJ96" s="12"/>
    </row>
    <row r="97" spans="1:62" s="3" customFormat="1" ht="22.5" x14ac:dyDescent="0.25">
      <c r="A97" s="77"/>
      <c r="B97" s="26" t="s">
        <v>381</v>
      </c>
      <c r="C97" s="338" t="s">
        <v>382</v>
      </c>
      <c r="D97" s="338"/>
      <c r="E97" s="338"/>
      <c r="F97" s="27" t="s">
        <v>38</v>
      </c>
      <c r="G97" s="22" t="s">
        <v>406</v>
      </c>
      <c r="H97" s="22"/>
      <c r="I97" s="28"/>
      <c r="J97" s="221"/>
      <c r="K97" s="28"/>
      <c r="L97" s="119"/>
      <c r="M97" s="271"/>
      <c r="BE97" s="14"/>
      <c r="BF97" s="15"/>
      <c r="BG97" s="21"/>
      <c r="BH97" s="42"/>
      <c r="BI97" s="12"/>
      <c r="BJ97" s="12"/>
    </row>
    <row r="98" spans="1:62" s="3" customFormat="1" ht="22.5" x14ac:dyDescent="0.25">
      <c r="A98" s="77"/>
      <c r="B98" s="26" t="s">
        <v>384</v>
      </c>
      <c r="C98" s="338" t="s">
        <v>385</v>
      </c>
      <c r="D98" s="338"/>
      <c r="E98" s="338"/>
      <c r="F98" s="27" t="s">
        <v>112</v>
      </c>
      <c r="G98" s="22" t="s">
        <v>407</v>
      </c>
      <c r="H98" s="22"/>
      <c r="I98" s="28"/>
      <c r="J98" s="221"/>
      <c r="K98" s="28"/>
      <c r="L98" s="119"/>
      <c r="M98" s="271"/>
      <c r="BE98" s="14"/>
      <c r="BF98" s="15"/>
      <c r="BG98" s="21"/>
      <c r="BH98" s="42"/>
      <c r="BI98" s="12"/>
      <c r="BJ98" s="12"/>
    </row>
    <row r="99" spans="1:62" s="3" customFormat="1" ht="22.5" hidden="1" x14ac:dyDescent="0.25">
      <c r="A99" s="120" t="s">
        <v>140</v>
      </c>
      <c r="B99" s="37" t="s">
        <v>387</v>
      </c>
      <c r="C99" s="352" t="s">
        <v>388</v>
      </c>
      <c r="D99" s="352"/>
      <c r="E99" s="352"/>
      <c r="F99" s="38" t="s">
        <v>139</v>
      </c>
      <c r="G99" s="39" t="s">
        <v>289</v>
      </c>
      <c r="H99" s="39"/>
      <c r="I99" s="40"/>
      <c r="J99" s="222"/>
      <c r="K99" s="40"/>
      <c r="L99" s="121"/>
      <c r="M99" s="270"/>
      <c r="BE99" s="14"/>
      <c r="BF99" s="15"/>
      <c r="BG99" s="21"/>
      <c r="BH99" s="42"/>
      <c r="BI99" s="12"/>
      <c r="BJ99" s="12"/>
    </row>
    <row r="100" spans="1:62" s="3" customFormat="1" ht="22.5" hidden="1" x14ac:dyDescent="0.25">
      <c r="A100" s="120" t="s">
        <v>140</v>
      </c>
      <c r="B100" s="37" t="s">
        <v>390</v>
      </c>
      <c r="C100" s="352" t="s">
        <v>391</v>
      </c>
      <c r="D100" s="352"/>
      <c r="E100" s="352"/>
      <c r="F100" s="38" t="s">
        <v>25</v>
      </c>
      <c r="G100" s="39" t="s">
        <v>408</v>
      </c>
      <c r="H100" s="39"/>
      <c r="I100" s="40"/>
      <c r="J100" s="222"/>
      <c r="K100" s="40"/>
      <c r="L100" s="121"/>
      <c r="M100" s="270"/>
      <c r="BE100" s="14"/>
      <c r="BF100" s="15"/>
      <c r="BG100" s="21"/>
      <c r="BH100" s="42"/>
      <c r="BI100" s="12"/>
      <c r="BJ100" s="12"/>
    </row>
    <row r="101" spans="1:62" s="3" customFormat="1" ht="22.5" x14ac:dyDescent="0.25">
      <c r="A101" s="77"/>
      <c r="B101" s="26" t="s">
        <v>393</v>
      </c>
      <c r="C101" s="338" t="s">
        <v>394</v>
      </c>
      <c r="D101" s="338"/>
      <c r="E101" s="338"/>
      <c r="F101" s="27" t="s">
        <v>38</v>
      </c>
      <c r="G101" s="22" t="s">
        <v>406</v>
      </c>
      <c r="H101" s="22"/>
      <c r="I101" s="28"/>
      <c r="J101" s="221"/>
      <c r="K101" s="28"/>
      <c r="L101" s="119"/>
      <c r="M101" s="271"/>
      <c r="BE101" s="14"/>
      <c r="BF101" s="15"/>
      <c r="BG101" s="21"/>
      <c r="BH101" s="42"/>
      <c r="BI101" s="12"/>
      <c r="BJ101" s="12"/>
    </row>
    <row r="102" spans="1:62" s="3" customFormat="1" ht="22.5" x14ac:dyDescent="0.25">
      <c r="A102" s="77"/>
      <c r="B102" s="26" t="s">
        <v>395</v>
      </c>
      <c r="C102" s="338" t="s">
        <v>396</v>
      </c>
      <c r="D102" s="338"/>
      <c r="E102" s="338"/>
      <c r="F102" s="27" t="s">
        <v>38</v>
      </c>
      <c r="G102" s="22" t="s">
        <v>406</v>
      </c>
      <c r="H102" s="22"/>
      <c r="I102" s="28"/>
      <c r="J102" s="221"/>
      <c r="K102" s="28"/>
      <c r="L102" s="119"/>
      <c r="M102" s="271"/>
      <c r="BE102" s="14"/>
      <c r="BF102" s="15"/>
      <c r="BG102" s="21"/>
      <c r="BH102" s="42"/>
      <c r="BI102" s="12"/>
      <c r="BJ102" s="12"/>
    </row>
    <row r="103" spans="1:62" s="3" customFormat="1" ht="15" x14ac:dyDescent="0.25">
      <c r="A103" s="74" t="s">
        <v>170</v>
      </c>
      <c r="B103" s="17" t="s">
        <v>409</v>
      </c>
      <c r="C103" s="319" t="s">
        <v>410</v>
      </c>
      <c r="D103" s="319"/>
      <c r="E103" s="319"/>
      <c r="F103" s="16" t="s">
        <v>25</v>
      </c>
      <c r="G103" s="23">
        <v>8</v>
      </c>
      <c r="H103" s="52">
        <v>335466.40000000002</v>
      </c>
      <c r="I103" s="19">
        <v>2683731.2000000002</v>
      </c>
      <c r="J103" s="220">
        <f>I103*1.2</f>
        <v>3220477.44</v>
      </c>
      <c r="K103" s="19"/>
      <c r="L103" s="118"/>
      <c r="M103" s="269"/>
      <c r="BE103" s="14"/>
      <c r="BF103" s="15"/>
      <c r="BG103" s="21"/>
      <c r="BH103" s="42"/>
      <c r="BI103" s="12"/>
      <c r="BJ103" s="12"/>
    </row>
    <row r="104" spans="1:62" s="3" customFormat="1" ht="22.5" hidden="1" x14ac:dyDescent="0.25">
      <c r="A104" s="120" t="s">
        <v>75</v>
      </c>
      <c r="B104" s="37" t="s">
        <v>336</v>
      </c>
      <c r="C104" s="352" t="s">
        <v>337</v>
      </c>
      <c r="D104" s="352"/>
      <c r="E104" s="352"/>
      <c r="F104" s="38" t="s">
        <v>155</v>
      </c>
      <c r="G104" s="39" t="s">
        <v>33</v>
      </c>
      <c r="H104" s="39"/>
      <c r="I104" s="40"/>
      <c r="J104" s="222"/>
      <c r="K104" s="40"/>
      <c r="L104" s="121"/>
      <c r="M104" s="270"/>
      <c r="BE104" s="14"/>
      <c r="BF104" s="15"/>
      <c r="BG104" s="21"/>
      <c r="BH104" s="42"/>
      <c r="BI104" s="12"/>
      <c r="BJ104" s="12"/>
    </row>
    <row r="105" spans="1:62" s="3" customFormat="1" ht="22.5" x14ac:dyDescent="0.25">
      <c r="A105" s="77" t="s">
        <v>126</v>
      </c>
      <c r="B105" s="26" t="s">
        <v>339</v>
      </c>
      <c r="C105" s="338" t="s">
        <v>337</v>
      </c>
      <c r="D105" s="338"/>
      <c r="E105" s="338"/>
      <c r="F105" s="27" t="s">
        <v>155</v>
      </c>
      <c r="G105" s="22" t="s">
        <v>411</v>
      </c>
      <c r="H105" s="22"/>
      <c r="I105" s="28"/>
      <c r="J105" s="221"/>
      <c r="K105" s="28">
        <v>450</v>
      </c>
      <c r="L105" s="119">
        <f>K105*1626.24</f>
        <v>731808</v>
      </c>
      <c r="M105" s="271">
        <f>L105*1.2</f>
        <v>878169.59999999998</v>
      </c>
      <c r="BE105" s="14"/>
      <c r="BF105" s="15"/>
      <c r="BG105" s="21"/>
      <c r="BH105" s="42"/>
      <c r="BI105" s="12"/>
      <c r="BJ105" s="12"/>
    </row>
    <row r="106" spans="1:62" s="3" customFormat="1" ht="15" customHeight="1" x14ac:dyDescent="0.25">
      <c r="A106" s="320" t="s">
        <v>412</v>
      </c>
      <c r="B106" s="321"/>
      <c r="C106" s="321"/>
      <c r="D106" s="321"/>
      <c r="E106" s="321"/>
      <c r="F106" s="321"/>
      <c r="G106" s="321"/>
      <c r="H106" s="111"/>
      <c r="I106" s="111"/>
      <c r="J106" s="219"/>
      <c r="K106" s="111"/>
      <c r="L106" s="117"/>
      <c r="M106" s="268"/>
      <c r="BE106" s="14"/>
      <c r="BF106" s="15"/>
      <c r="BG106" s="21"/>
      <c r="BH106" s="42"/>
      <c r="BI106" s="12"/>
      <c r="BJ106" s="12"/>
    </row>
    <row r="107" spans="1:62" s="3" customFormat="1" ht="15" customHeight="1" x14ac:dyDescent="0.25">
      <c r="A107" s="320" t="s">
        <v>355</v>
      </c>
      <c r="B107" s="321"/>
      <c r="C107" s="321"/>
      <c r="D107" s="321"/>
      <c r="E107" s="321"/>
      <c r="F107" s="321"/>
      <c r="G107" s="321"/>
      <c r="H107" s="111"/>
      <c r="I107" s="111"/>
      <c r="J107" s="219"/>
      <c r="K107" s="111"/>
      <c r="L107" s="117"/>
      <c r="M107" s="268"/>
      <c r="BE107" s="14"/>
      <c r="BF107" s="15"/>
      <c r="BG107" s="21"/>
      <c r="BH107" s="42"/>
      <c r="BI107" s="12"/>
      <c r="BJ107" s="12"/>
    </row>
    <row r="108" spans="1:62" s="3" customFormat="1" ht="15" customHeight="1" x14ac:dyDescent="0.25">
      <c r="A108" s="320" t="s">
        <v>413</v>
      </c>
      <c r="B108" s="321"/>
      <c r="C108" s="321"/>
      <c r="D108" s="321"/>
      <c r="E108" s="321"/>
      <c r="F108" s="321"/>
      <c r="G108" s="321"/>
      <c r="H108" s="111"/>
      <c r="I108" s="111"/>
      <c r="J108" s="219"/>
      <c r="K108" s="111"/>
      <c r="L108" s="117"/>
      <c r="M108" s="268"/>
      <c r="BE108" s="14"/>
      <c r="BF108" s="15"/>
      <c r="BG108" s="21"/>
      <c r="BH108" s="42"/>
      <c r="BI108" s="12"/>
      <c r="BJ108" s="12"/>
    </row>
    <row r="109" spans="1:62" s="3" customFormat="1" ht="15" x14ac:dyDescent="0.25">
      <c r="A109" s="74" t="s">
        <v>173</v>
      </c>
      <c r="B109" s="17" t="s">
        <v>357</v>
      </c>
      <c r="C109" s="319" t="s">
        <v>358</v>
      </c>
      <c r="D109" s="319"/>
      <c r="E109" s="319"/>
      <c r="F109" s="16" t="s">
        <v>25</v>
      </c>
      <c r="G109" s="23">
        <v>8</v>
      </c>
      <c r="H109" s="52">
        <v>316135.2</v>
      </c>
      <c r="I109" s="19">
        <v>2529081.6</v>
      </c>
      <c r="J109" s="220">
        <f>I109*1.2</f>
        <v>3034897.92</v>
      </c>
      <c r="K109" s="19">
        <v>0</v>
      </c>
      <c r="L109" s="118">
        <f>K109*8</f>
        <v>0</v>
      </c>
      <c r="M109" s="269">
        <f>L109*1.2</f>
        <v>0</v>
      </c>
      <c r="BE109" s="14"/>
      <c r="BF109" s="15"/>
      <c r="BG109" s="21"/>
      <c r="BH109" s="42"/>
      <c r="BI109" s="12"/>
      <c r="BJ109" s="12"/>
    </row>
    <row r="110" spans="1:62" s="3" customFormat="1" ht="22.5" hidden="1" x14ac:dyDescent="0.25">
      <c r="A110" s="120" t="s">
        <v>75</v>
      </c>
      <c r="B110" s="37" t="s">
        <v>359</v>
      </c>
      <c r="C110" s="352" t="s">
        <v>360</v>
      </c>
      <c r="D110" s="352"/>
      <c r="E110" s="352"/>
      <c r="F110" s="38" t="s">
        <v>46</v>
      </c>
      <c r="G110" s="39" t="s">
        <v>33</v>
      </c>
      <c r="H110" s="39"/>
      <c r="I110" s="40"/>
      <c r="J110" s="222"/>
      <c r="K110" s="40"/>
      <c r="L110" s="121"/>
      <c r="M110" s="270"/>
      <c r="BE110" s="14"/>
      <c r="BF110" s="15"/>
      <c r="BG110" s="21"/>
      <c r="BH110" s="42"/>
      <c r="BI110" s="12"/>
      <c r="BJ110" s="12"/>
    </row>
    <row r="111" spans="1:62" s="3" customFormat="1" ht="22.5" x14ac:dyDescent="0.25">
      <c r="A111" s="77"/>
      <c r="B111" s="26" t="s">
        <v>361</v>
      </c>
      <c r="C111" s="338" t="s">
        <v>362</v>
      </c>
      <c r="D111" s="338"/>
      <c r="E111" s="338"/>
      <c r="F111" s="27" t="s">
        <v>363</v>
      </c>
      <c r="G111" s="22" t="s">
        <v>401</v>
      </c>
      <c r="H111" s="22"/>
      <c r="I111" s="28"/>
      <c r="J111" s="221"/>
      <c r="K111" s="28"/>
      <c r="L111" s="119"/>
      <c r="M111" s="271"/>
      <c r="BE111" s="14"/>
      <c r="BF111" s="15"/>
      <c r="BG111" s="21"/>
      <c r="BH111" s="42"/>
      <c r="BI111" s="12"/>
      <c r="BJ111" s="12"/>
    </row>
    <row r="112" spans="1:62" s="3" customFormat="1" ht="22.5" hidden="1" x14ac:dyDescent="0.25">
      <c r="A112" s="120" t="s">
        <v>75</v>
      </c>
      <c r="B112" s="37" t="s">
        <v>365</v>
      </c>
      <c r="C112" s="352" t="s">
        <v>366</v>
      </c>
      <c r="D112" s="352"/>
      <c r="E112" s="352"/>
      <c r="F112" s="38" t="s">
        <v>38</v>
      </c>
      <c r="G112" s="39" t="s">
        <v>33</v>
      </c>
      <c r="H112" s="39"/>
      <c r="I112" s="40"/>
      <c r="J112" s="222"/>
      <c r="K112" s="40"/>
      <c r="L112" s="121"/>
      <c r="M112" s="270"/>
      <c r="BE112" s="14"/>
      <c r="BF112" s="15"/>
      <c r="BG112" s="21"/>
      <c r="BH112" s="42"/>
      <c r="BI112" s="12"/>
      <c r="BJ112" s="12"/>
    </row>
    <row r="113" spans="1:62" s="3" customFormat="1" ht="22.5" x14ac:dyDescent="0.25">
      <c r="A113" s="77"/>
      <c r="B113" s="26" t="s">
        <v>367</v>
      </c>
      <c r="C113" s="338" t="s">
        <v>368</v>
      </c>
      <c r="D113" s="338"/>
      <c r="E113" s="338"/>
      <c r="F113" s="27" t="s">
        <v>38</v>
      </c>
      <c r="G113" s="22" t="s">
        <v>402</v>
      </c>
      <c r="H113" s="22"/>
      <c r="I113" s="28"/>
      <c r="J113" s="221"/>
      <c r="K113" s="28"/>
      <c r="L113" s="119"/>
      <c r="M113" s="271"/>
      <c r="BE113" s="14"/>
      <c r="BF113" s="15"/>
      <c r="BG113" s="21"/>
      <c r="BH113" s="42"/>
      <c r="BI113" s="12"/>
      <c r="BJ113" s="12"/>
    </row>
    <row r="114" spans="1:62" s="3" customFormat="1" ht="22.5" x14ac:dyDescent="0.25">
      <c r="A114" s="77"/>
      <c r="B114" s="26" t="s">
        <v>370</v>
      </c>
      <c r="C114" s="338" t="s">
        <v>371</v>
      </c>
      <c r="D114" s="338"/>
      <c r="E114" s="338"/>
      <c r="F114" s="27" t="s">
        <v>363</v>
      </c>
      <c r="G114" s="22" t="s">
        <v>401</v>
      </c>
      <c r="H114" s="22"/>
      <c r="I114" s="28"/>
      <c r="J114" s="221"/>
      <c r="K114" s="28"/>
      <c r="L114" s="119"/>
      <c r="M114" s="271"/>
      <c r="BE114" s="14"/>
      <c r="BF114" s="15"/>
      <c r="BG114" s="21"/>
      <c r="BH114" s="42"/>
      <c r="BI114" s="12"/>
      <c r="BJ114" s="12"/>
    </row>
    <row r="115" spans="1:62" s="3" customFormat="1" ht="22.5" x14ac:dyDescent="0.25">
      <c r="A115" s="77"/>
      <c r="B115" s="26" t="s">
        <v>372</v>
      </c>
      <c r="C115" s="338" t="s">
        <v>373</v>
      </c>
      <c r="D115" s="338"/>
      <c r="E115" s="338"/>
      <c r="F115" s="27" t="s">
        <v>67</v>
      </c>
      <c r="G115" s="22" t="s">
        <v>403</v>
      </c>
      <c r="H115" s="22"/>
      <c r="I115" s="28"/>
      <c r="J115" s="221"/>
      <c r="K115" s="28"/>
      <c r="L115" s="119"/>
      <c r="M115" s="271"/>
      <c r="BE115" s="14"/>
      <c r="BF115" s="15"/>
      <c r="BG115" s="21"/>
      <c r="BH115" s="42"/>
      <c r="BI115" s="12"/>
      <c r="BJ115" s="12"/>
    </row>
    <row r="116" spans="1:62" s="3" customFormat="1" ht="22.5" x14ac:dyDescent="0.25">
      <c r="A116" s="77"/>
      <c r="B116" s="26" t="s">
        <v>375</v>
      </c>
      <c r="C116" s="338" t="s">
        <v>376</v>
      </c>
      <c r="D116" s="338"/>
      <c r="E116" s="338"/>
      <c r="F116" s="27" t="s">
        <v>67</v>
      </c>
      <c r="G116" s="22" t="s">
        <v>404</v>
      </c>
      <c r="H116" s="22"/>
      <c r="I116" s="28"/>
      <c r="J116" s="221"/>
      <c r="K116" s="28"/>
      <c r="L116" s="119"/>
      <c r="M116" s="271"/>
      <c r="BE116" s="14"/>
      <c r="BF116" s="15"/>
      <c r="BG116" s="21"/>
      <c r="BH116" s="42"/>
      <c r="BI116" s="12"/>
      <c r="BJ116" s="12"/>
    </row>
    <row r="117" spans="1:62" s="3" customFormat="1" ht="22.5" x14ac:dyDescent="0.25">
      <c r="A117" s="77"/>
      <c r="B117" s="26" t="s">
        <v>378</v>
      </c>
      <c r="C117" s="338" t="s">
        <v>379</v>
      </c>
      <c r="D117" s="338"/>
      <c r="E117" s="338"/>
      <c r="F117" s="27" t="s">
        <v>67</v>
      </c>
      <c r="G117" s="22" t="s">
        <v>405</v>
      </c>
      <c r="H117" s="22"/>
      <c r="I117" s="28"/>
      <c r="J117" s="221"/>
      <c r="K117" s="28"/>
      <c r="L117" s="119"/>
      <c r="M117" s="271"/>
      <c r="BE117" s="14"/>
      <c r="BF117" s="15"/>
      <c r="BG117" s="21"/>
      <c r="BH117" s="42"/>
      <c r="BI117" s="12"/>
      <c r="BJ117" s="12"/>
    </row>
    <row r="118" spans="1:62" s="3" customFormat="1" ht="22.5" x14ac:dyDescent="0.25">
      <c r="A118" s="77"/>
      <c r="B118" s="26" t="s">
        <v>381</v>
      </c>
      <c r="C118" s="338" t="s">
        <v>382</v>
      </c>
      <c r="D118" s="338"/>
      <c r="E118" s="338"/>
      <c r="F118" s="27" t="s">
        <v>38</v>
      </c>
      <c r="G118" s="22" t="s">
        <v>406</v>
      </c>
      <c r="H118" s="22"/>
      <c r="I118" s="28"/>
      <c r="J118" s="221"/>
      <c r="K118" s="28"/>
      <c r="L118" s="119"/>
      <c r="M118" s="271"/>
      <c r="BE118" s="14"/>
      <c r="BF118" s="15"/>
      <c r="BG118" s="21"/>
      <c r="BH118" s="42"/>
      <c r="BI118" s="12"/>
      <c r="BJ118" s="12"/>
    </row>
    <row r="119" spans="1:62" s="3" customFormat="1" ht="22.5" x14ac:dyDescent="0.25">
      <c r="A119" s="77"/>
      <c r="B119" s="26" t="s">
        <v>384</v>
      </c>
      <c r="C119" s="338" t="s">
        <v>385</v>
      </c>
      <c r="D119" s="338"/>
      <c r="E119" s="338"/>
      <c r="F119" s="27" t="s">
        <v>112</v>
      </c>
      <c r="G119" s="22" t="s">
        <v>407</v>
      </c>
      <c r="H119" s="22"/>
      <c r="I119" s="28"/>
      <c r="J119" s="221"/>
      <c r="K119" s="28"/>
      <c r="L119" s="119"/>
      <c r="M119" s="271"/>
      <c r="BE119" s="14"/>
      <c r="BF119" s="15"/>
      <c r="BG119" s="21"/>
      <c r="BH119" s="42"/>
      <c r="BI119" s="12"/>
      <c r="BJ119" s="12"/>
    </row>
    <row r="120" spans="1:62" s="3" customFormat="1" ht="22.5" hidden="1" x14ac:dyDescent="0.25">
      <c r="A120" s="120" t="s">
        <v>140</v>
      </c>
      <c r="B120" s="37" t="s">
        <v>387</v>
      </c>
      <c r="C120" s="352" t="s">
        <v>388</v>
      </c>
      <c r="D120" s="352"/>
      <c r="E120" s="352"/>
      <c r="F120" s="38" t="s">
        <v>139</v>
      </c>
      <c r="G120" s="39" t="s">
        <v>289</v>
      </c>
      <c r="H120" s="39"/>
      <c r="I120" s="40"/>
      <c r="J120" s="222"/>
      <c r="K120" s="40"/>
      <c r="L120" s="121"/>
      <c r="M120" s="270"/>
      <c r="BE120" s="14"/>
      <c r="BF120" s="15"/>
      <c r="BG120" s="21"/>
      <c r="BH120" s="42"/>
      <c r="BI120" s="12"/>
      <c r="BJ120" s="12"/>
    </row>
    <row r="121" spans="1:62" s="3" customFormat="1" ht="22.5" hidden="1" x14ac:dyDescent="0.25">
      <c r="A121" s="120" t="s">
        <v>140</v>
      </c>
      <c r="B121" s="37" t="s">
        <v>390</v>
      </c>
      <c r="C121" s="352" t="s">
        <v>391</v>
      </c>
      <c r="D121" s="352"/>
      <c r="E121" s="352"/>
      <c r="F121" s="38" t="s">
        <v>25</v>
      </c>
      <c r="G121" s="39" t="s">
        <v>408</v>
      </c>
      <c r="H121" s="39"/>
      <c r="I121" s="40"/>
      <c r="J121" s="222"/>
      <c r="K121" s="40"/>
      <c r="L121" s="121"/>
      <c r="M121" s="270"/>
      <c r="BE121" s="14"/>
      <c r="BF121" s="15"/>
      <c r="BG121" s="21"/>
      <c r="BH121" s="42"/>
      <c r="BI121" s="12"/>
      <c r="BJ121" s="12"/>
    </row>
    <row r="122" spans="1:62" s="3" customFormat="1" ht="22.5" x14ac:dyDescent="0.25">
      <c r="A122" s="77"/>
      <c r="B122" s="26" t="s">
        <v>393</v>
      </c>
      <c r="C122" s="338" t="s">
        <v>394</v>
      </c>
      <c r="D122" s="338"/>
      <c r="E122" s="338"/>
      <c r="F122" s="27" t="s">
        <v>38</v>
      </c>
      <c r="G122" s="22" t="s">
        <v>406</v>
      </c>
      <c r="H122" s="22"/>
      <c r="I122" s="28"/>
      <c r="J122" s="221"/>
      <c r="K122" s="28"/>
      <c r="L122" s="119"/>
      <c r="M122" s="271"/>
      <c r="BE122" s="14"/>
      <c r="BF122" s="15"/>
      <c r="BG122" s="21"/>
      <c r="BH122" s="42"/>
      <c r="BI122" s="12"/>
      <c r="BJ122" s="12"/>
    </row>
    <row r="123" spans="1:62" s="3" customFormat="1" ht="22.5" x14ac:dyDescent="0.25">
      <c r="A123" s="77"/>
      <c r="B123" s="26" t="s">
        <v>395</v>
      </c>
      <c r="C123" s="338" t="s">
        <v>396</v>
      </c>
      <c r="D123" s="338"/>
      <c r="E123" s="338"/>
      <c r="F123" s="27" t="s">
        <v>38</v>
      </c>
      <c r="G123" s="22" t="s">
        <v>406</v>
      </c>
      <c r="H123" s="22"/>
      <c r="I123" s="28"/>
      <c r="J123" s="221"/>
      <c r="K123" s="28"/>
      <c r="L123" s="119"/>
      <c r="M123" s="271"/>
      <c r="BE123" s="14"/>
      <c r="BF123" s="15"/>
      <c r="BG123" s="21"/>
      <c r="BH123" s="42"/>
      <c r="BI123" s="12"/>
      <c r="BJ123" s="12"/>
    </row>
    <row r="124" spans="1:62" s="3" customFormat="1" ht="15" x14ac:dyDescent="0.25">
      <c r="A124" s="74" t="s">
        <v>174</v>
      </c>
      <c r="B124" s="17" t="s">
        <v>397</v>
      </c>
      <c r="C124" s="319" t="s">
        <v>398</v>
      </c>
      <c r="D124" s="319"/>
      <c r="E124" s="319"/>
      <c r="F124" s="16" t="s">
        <v>25</v>
      </c>
      <c r="G124" s="23">
        <v>8</v>
      </c>
      <c r="H124" s="52">
        <v>333161.44</v>
      </c>
      <c r="I124" s="19">
        <v>2665291.52</v>
      </c>
      <c r="J124" s="220">
        <f>I124*1.2</f>
        <v>3198349.824</v>
      </c>
      <c r="K124" s="19"/>
      <c r="L124" s="118"/>
      <c r="M124" s="269"/>
      <c r="BE124" s="14"/>
      <c r="BF124" s="15"/>
      <c r="BG124" s="21"/>
      <c r="BH124" s="42"/>
      <c r="BI124" s="12"/>
      <c r="BJ124" s="12"/>
    </row>
    <row r="125" spans="1:62" s="3" customFormat="1" ht="33" customHeight="1" x14ac:dyDescent="0.25">
      <c r="A125" s="320" t="s">
        <v>399</v>
      </c>
      <c r="B125" s="321"/>
      <c r="C125" s="321"/>
      <c r="D125" s="321"/>
      <c r="E125" s="321"/>
      <c r="F125" s="321"/>
      <c r="G125" s="321"/>
      <c r="H125" s="111"/>
      <c r="I125" s="111"/>
      <c r="J125" s="219"/>
      <c r="K125" s="111"/>
      <c r="L125" s="117"/>
      <c r="M125" s="268"/>
      <c r="BE125" s="14"/>
      <c r="BF125" s="15"/>
      <c r="BG125" s="21"/>
      <c r="BH125" s="42"/>
      <c r="BI125" s="12"/>
      <c r="BJ125" s="12"/>
    </row>
    <row r="126" spans="1:62" s="3" customFormat="1" ht="30" customHeight="1" x14ac:dyDescent="0.25">
      <c r="A126" s="320" t="s">
        <v>413</v>
      </c>
      <c r="B126" s="321"/>
      <c r="C126" s="321"/>
      <c r="D126" s="321"/>
      <c r="E126" s="321"/>
      <c r="F126" s="321"/>
      <c r="G126" s="321"/>
      <c r="H126" s="111"/>
      <c r="I126" s="111"/>
      <c r="J126" s="219"/>
      <c r="K126" s="111"/>
      <c r="L126" s="117"/>
      <c r="M126" s="268"/>
      <c r="BE126" s="14"/>
      <c r="BF126" s="15"/>
      <c r="BG126" s="21"/>
      <c r="BH126" s="42"/>
      <c r="BI126" s="12"/>
      <c r="BJ126" s="12"/>
    </row>
    <row r="127" spans="1:62" s="3" customFormat="1" ht="24.75" customHeight="1" x14ac:dyDescent="0.25">
      <c r="A127" s="74" t="s">
        <v>177</v>
      </c>
      <c r="B127" s="17" t="s">
        <v>357</v>
      </c>
      <c r="C127" s="319" t="s">
        <v>358</v>
      </c>
      <c r="D127" s="319"/>
      <c r="E127" s="319"/>
      <c r="F127" s="16" t="s">
        <v>25</v>
      </c>
      <c r="G127" s="23">
        <v>3</v>
      </c>
      <c r="H127" s="52">
        <v>316134.83</v>
      </c>
      <c r="I127" s="19">
        <v>948404.48</v>
      </c>
      <c r="J127" s="220">
        <f>I127*1.2</f>
        <v>1138085.3759999999</v>
      </c>
      <c r="K127" s="19">
        <v>0</v>
      </c>
      <c r="L127" s="118">
        <f>K127*3</f>
        <v>0</v>
      </c>
      <c r="M127" s="269">
        <f>L127*1.2</f>
        <v>0</v>
      </c>
      <c r="BE127" s="14"/>
      <c r="BF127" s="15"/>
      <c r="BG127" s="21"/>
      <c r="BH127" s="42"/>
      <c r="BI127" s="12"/>
      <c r="BJ127" s="12"/>
    </row>
    <row r="128" spans="1:62" s="3" customFormat="1" ht="22.5" hidden="1" x14ac:dyDescent="0.25">
      <c r="A128" s="120" t="s">
        <v>75</v>
      </c>
      <c r="B128" s="37" t="s">
        <v>359</v>
      </c>
      <c r="C128" s="352" t="s">
        <v>360</v>
      </c>
      <c r="D128" s="352"/>
      <c r="E128" s="352"/>
      <c r="F128" s="38" t="s">
        <v>46</v>
      </c>
      <c r="G128" s="39" t="s">
        <v>33</v>
      </c>
      <c r="H128" s="39"/>
      <c r="I128" s="40"/>
      <c r="J128" s="222"/>
      <c r="K128" s="40"/>
      <c r="L128" s="121"/>
      <c r="M128" s="270"/>
      <c r="BE128" s="14"/>
      <c r="BF128" s="15"/>
      <c r="BG128" s="21"/>
      <c r="BH128" s="42"/>
      <c r="BI128" s="12"/>
      <c r="BJ128" s="12"/>
    </row>
    <row r="129" spans="1:62" s="3" customFormat="1" ht="22.5" x14ac:dyDescent="0.25">
      <c r="A129" s="77"/>
      <c r="B129" s="26" t="s">
        <v>361</v>
      </c>
      <c r="C129" s="338" t="s">
        <v>362</v>
      </c>
      <c r="D129" s="338"/>
      <c r="E129" s="338"/>
      <c r="F129" s="27" t="s">
        <v>363</v>
      </c>
      <c r="G129" s="22" t="s">
        <v>414</v>
      </c>
      <c r="H129" s="22"/>
      <c r="I129" s="28"/>
      <c r="J129" s="221"/>
      <c r="K129" s="28"/>
      <c r="L129" s="119"/>
      <c r="M129" s="271"/>
      <c r="BE129" s="14"/>
      <c r="BF129" s="15"/>
      <c r="BG129" s="21"/>
      <c r="BH129" s="42"/>
      <c r="BI129" s="12"/>
      <c r="BJ129" s="12"/>
    </row>
    <row r="130" spans="1:62" s="3" customFormat="1" ht="22.5" hidden="1" x14ac:dyDescent="0.25">
      <c r="A130" s="120" t="s">
        <v>75</v>
      </c>
      <c r="B130" s="37" t="s">
        <v>365</v>
      </c>
      <c r="C130" s="352" t="s">
        <v>366</v>
      </c>
      <c r="D130" s="352"/>
      <c r="E130" s="352"/>
      <c r="F130" s="38" t="s">
        <v>38</v>
      </c>
      <c r="G130" s="39" t="s">
        <v>33</v>
      </c>
      <c r="H130" s="39"/>
      <c r="I130" s="40"/>
      <c r="J130" s="222"/>
      <c r="K130" s="40"/>
      <c r="L130" s="121"/>
      <c r="M130" s="270"/>
      <c r="BE130" s="14"/>
      <c r="BF130" s="15"/>
      <c r="BG130" s="21"/>
      <c r="BH130" s="42"/>
      <c r="BI130" s="12"/>
      <c r="BJ130" s="12"/>
    </row>
    <row r="131" spans="1:62" s="3" customFormat="1" ht="22.5" x14ac:dyDescent="0.25">
      <c r="A131" s="77"/>
      <c r="B131" s="26" t="s">
        <v>367</v>
      </c>
      <c r="C131" s="338" t="s">
        <v>368</v>
      </c>
      <c r="D131" s="338"/>
      <c r="E131" s="338"/>
      <c r="F131" s="27" t="s">
        <v>38</v>
      </c>
      <c r="G131" s="22" t="s">
        <v>415</v>
      </c>
      <c r="H131" s="22"/>
      <c r="I131" s="28"/>
      <c r="J131" s="221"/>
      <c r="K131" s="28"/>
      <c r="L131" s="119"/>
      <c r="M131" s="271"/>
      <c r="BE131" s="14"/>
      <c r="BF131" s="15"/>
      <c r="BG131" s="21"/>
      <c r="BH131" s="42"/>
      <c r="BI131" s="12"/>
      <c r="BJ131" s="12"/>
    </row>
    <row r="132" spans="1:62" s="3" customFormat="1" ht="22.5" x14ac:dyDescent="0.25">
      <c r="A132" s="77"/>
      <c r="B132" s="26" t="s">
        <v>370</v>
      </c>
      <c r="C132" s="338" t="s">
        <v>371</v>
      </c>
      <c r="D132" s="338"/>
      <c r="E132" s="338"/>
      <c r="F132" s="27" t="s">
        <v>363</v>
      </c>
      <c r="G132" s="22" t="s">
        <v>414</v>
      </c>
      <c r="H132" s="22"/>
      <c r="I132" s="28"/>
      <c r="J132" s="221"/>
      <c r="K132" s="28"/>
      <c r="L132" s="119"/>
      <c r="M132" s="271"/>
      <c r="BE132" s="14"/>
      <c r="BF132" s="15"/>
      <c r="BG132" s="21"/>
      <c r="BH132" s="42"/>
      <c r="BI132" s="12"/>
      <c r="BJ132" s="12"/>
    </row>
    <row r="133" spans="1:62" s="3" customFormat="1" ht="22.5" x14ac:dyDescent="0.25">
      <c r="A133" s="77"/>
      <c r="B133" s="26" t="s">
        <v>372</v>
      </c>
      <c r="C133" s="338" t="s">
        <v>373</v>
      </c>
      <c r="D133" s="338"/>
      <c r="E133" s="338"/>
      <c r="F133" s="27" t="s">
        <v>67</v>
      </c>
      <c r="G133" s="22" t="s">
        <v>416</v>
      </c>
      <c r="H133" s="22"/>
      <c r="I133" s="28"/>
      <c r="J133" s="221"/>
      <c r="K133" s="28"/>
      <c r="L133" s="119"/>
      <c r="M133" s="271"/>
      <c r="BE133" s="14"/>
      <c r="BF133" s="15"/>
      <c r="BG133" s="21"/>
      <c r="BH133" s="42"/>
      <c r="BI133" s="12"/>
      <c r="BJ133" s="12"/>
    </row>
    <row r="134" spans="1:62" s="3" customFormat="1" ht="22.5" x14ac:dyDescent="0.25">
      <c r="A134" s="77"/>
      <c r="B134" s="26" t="s">
        <v>375</v>
      </c>
      <c r="C134" s="338" t="s">
        <v>376</v>
      </c>
      <c r="D134" s="338"/>
      <c r="E134" s="338"/>
      <c r="F134" s="27" t="s">
        <v>67</v>
      </c>
      <c r="G134" s="22" t="s">
        <v>417</v>
      </c>
      <c r="H134" s="22"/>
      <c r="I134" s="28"/>
      <c r="J134" s="221"/>
      <c r="K134" s="28"/>
      <c r="L134" s="119"/>
      <c r="M134" s="271"/>
      <c r="BE134" s="14"/>
      <c r="BF134" s="15"/>
      <c r="BG134" s="21"/>
      <c r="BH134" s="42"/>
      <c r="BI134" s="12"/>
      <c r="BJ134" s="12"/>
    </row>
    <row r="135" spans="1:62" s="3" customFormat="1" ht="22.5" x14ac:dyDescent="0.25">
      <c r="A135" s="77"/>
      <c r="B135" s="26" t="s">
        <v>378</v>
      </c>
      <c r="C135" s="338" t="s">
        <v>379</v>
      </c>
      <c r="D135" s="338"/>
      <c r="E135" s="338"/>
      <c r="F135" s="27" t="s">
        <v>67</v>
      </c>
      <c r="G135" s="22" t="s">
        <v>418</v>
      </c>
      <c r="H135" s="22"/>
      <c r="I135" s="28"/>
      <c r="J135" s="221"/>
      <c r="K135" s="28"/>
      <c r="L135" s="119"/>
      <c r="M135" s="271"/>
      <c r="BE135" s="14"/>
      <c r="BF135" s="15"/>
      <c r="BG135" s="21"/>
      <c r="BH135" s="42"/>
      <c r="BI135" s="12"/>
      <c r="BJ135" s="12"/>
    </row>
    <row r="136" spans="1:62" s="3" customFormat="1" ht="22.5" x14ac:dyDescent="0.25">
      <c r="A136" s="77"/>
      <c r="B136" s="26" t="s">
        <v>381</v>
      </c>
      <c r="C136" s="338" t="s">
        <v>382</v>
      </c>
      <c r="D136" s="338"/>
      <c r="E136" s="338"/>
      <c r="F136" s="27" t="s">
        <v>38</v>
      </c>
      <c r="G136" s="22" t="s">
        <v>419</v>
      </c>
      <c r="H136" s="22"/>
      <c r="I136" s="28"/>
      <c r="J136" s="221"/>
      <c r="K136" s="28"/>
      <c r="L136" s="119"/>
      <c r="M136" s="271"/>
      <c r="BE136" s="14"/>
      <c r="BF136" s="15"/>
      <c r="BG136" s="21"/>
      <c r="BH136" s="42"/>
      <c r="BI136" s="12"/>
      <c r="BJ136" s="12"/>
    </row>
    <row r="137" spans="1:62" s="3" customFormat="1" ht="22.5" x14ac:dyDescent="0.25">
      <c r="A137" s="77"/>
      <c r="B137" s="26" t="s">
        <v>384</v>
      </c>
      <c r="C137" s="338" t="s">
        <v>385</v>
      </c>
      <c r="D137" s="338"/>
      <c r="E137" s="338"/>
      <c r="F137" s="27" t="s">
        <v>112</v>
      </c>
      <c r="G137" s="22" t="s">
        <v>420</v>
      </c>
      <c r="H137" s="22"/>
      <c r="I137" s="28"/>
      <c r="J137" s="221"/>
      <c r="K137" s="28"/>
      <c r="L137" s="119"/>
      <c r="M137" s="271"/>
      <c r="BE137" s="14"/>
      <c r="BF137" s="15"/>
      <c r="BG137" s="21"/>
      <c r="BH137" s="42"/>
      <c r="BI137" s="12"/>
      <c r="BJ137" s="12"/>
    </row>
    <row r="138" spans="1:62" s="3" customFormat="1" ht="22.5" hidden="1" x14ac:dyDescent="0.25">
      <c r="A138" s="120" t="s">
        <v>140</v>
      </c>
      <c r="B138" s="37" t="s">
        <v>387</v>
      </c>
      <c r="C138" s="352" t="s">
        <v>388</v>
      </c>
      <c r="D138" s="352"/>
      <c r="E138" s="352"/>
      <c r="F138" s="38" t="s">
        <v>139</v>
      </c>
      <c r="G138" s="39" t="s">
        <v>421</v>
      </c>
      <c r="H138" s="39"/>
      <c r="I138" s="40"/>
      <c r="J138" s="222"/>
      <c r="K138" s="40"/>
      <c r="L138" s="121"/>
      <c r="M138" s="270"/>
      <c r="BE138" s="14"/>
      <c r="BF138" s="15"/>
      <c r="BG138" s="21"/>
      <c r="BH138" s="42"/>
      <c r="BI138" s="12"/>
      <c r="BJ138" s="12"/>
    </row>
    <row r="139" spans="1:62" s="3" customFormat="1" ht="22.5" hidden="1" x14ac:dyDescent="0.25">
      <c r="A139" s="120" t="s">
        <v>140</v>
      </c>
      <c r="B139" s="37" t="s">
        <v>390</v>
      </c>
      <c r="C139" s="352" t="s">
        <v>391</v>
      </c>
      <c r="D139" s="352"/>
      <c r="E139" s="352"/>
      <c r="F139" s="38" t="s">
        <v>25</v>
      </c>
      <c r="G139" s="39" t="s">
        <v>422</v>
      </c>
      <c r="H139" s="39"/>
      <c r="I139" s="40"/>
      <c r="J139" s="222"/>
      <c r="K139" s="40"/>
      <c r="L139" s="121"/>
      <c r="M139" s="270"/>
      <c r="BE139" s="14"/>
      <c r="BF139" s="15"/>
      <c r="BG139" s="21"/>
      <c r="BH139" s="42"/>
      <c r="BI139" s="12"/>
      <c r="BJ139" s="12"/>
    </row>
    <row r="140" spans="1:62" s="3" customFormat="1" ht="22.5" x14ac:dyDescent="0.25">
      <c r="A140" s="77"/>
      <c r="B140" s="26" t="s">
        <v>393</v>
      </c>
      <c r="C140" s="338" t="s">
        <v>394</v>
      </c>
      <c r="D140" s="338"/>
      <c r="E140" s="338"/>
      <c r="F140" s="27" t="s">
        <v>38</v>
      </c>
      <c r="G140" s="22" t="s">
        <v>419</v>
      </c>
      <c r="H140" s="22"/>
      <c r="I140" s="28"/>
      <c r="J140" s="221"/>
      <c r="K140" s="28"/>
      <c r="L140" s="119"/>
      <c r="M140" s="271"/>
      <c r="BE140" s="14"/>
      <c r="BF140" s="15"/>
      <c r="BG140" s="21"/>
      <c r="BH140" s="42"/>
      <c r="BI140" s="12"/>
      <c r="BJ140" s="12"/>
    </row>
    <row r="141" spans="1:62" s="3" customFormat="1" ht="22.5" x14ac:dyDescent="0.25">
      <c r="A141" s="77"/>
      <c r="B141" s="26" t="s">
        <v>395</v>
      </c>
      <c r="C141" s="338" t="s">
        <v>396</v>
      </c>
      <c r="D141" s="338"/>
      <c r="E141" s="338"/>
      <c r="F141" s="27" t="s">
        <v>38</v>
      </c>
      <c r="G141" s="22" t="s">
        <v>419</v>
      </c>
      <c r="H141" s="22"/>
      <c r="I141" s="28"/>
      <c r="J141" s="221"/>
      <c r="K141" s="28"/>
      <c r="L141" s="119"/>
      <c r="M141" s="271"/>
      <c r="BE141" s="14"/>
      <c r="BF141" s="15"/>
      <c r="BG141" s="21"/>
      <c r="BH141" s="42"/>
      <c r="BI141" s="12"/>
      <c r="BJ141" s="12"/>
    </row>
    <row r="142" spans="1:62" s="3" customFormat="1" ht="22.5" x14ac:dyDescent="0.25">
      <c r="A142" s="77" t="s">
        <v>126</v>
      </c>
      <c r="B142" s="26" t="s">
        <v>423</v>
      </c>
      <c r="C142" s="338" t="s">
        <v>424</v>
      </c>
      <c r="D142" s="338"/>
      <c r="E142" s="338"/>
      <c r="F142" s="27" t="s">
        <v>25</v>
      </c>
      <c r="G142" s="22" t="s">
        <v>422</v>
      </c>
      <c r="H142" s="22"/>
      <c r="I142" s="28"/>
      <c r="J142" s="221"/>
      <c r="K142" s="28"/>
      <c r="L142" s="119"/>
      <c r="M142" s="271"/>
      <c r="BE142" s="14"/>
      <c r="BF142" s="15"/>
      <c r="BG142" s="21"/>
      <c r="BH142" s="42"/>
      <c r="BI142" s="12"/>
      <c r="BJ142" s="12"/>
    </row>
    <row r="143" spans="1:62" s="3" customFormat="1" ht="22.5" x14ac:dyDescent="0.25">
      <c r="A143" s="77" t="s">
        <v>126</v>
      </c>
      <c r="B143" s="26" t="s">
        <v>425</v>
      </c>
      <c r="C143" s="338" t="s">
        <v>426</v>
      </c>
      <c r="D143" s="338"/>
      <c r="E143" s="338"/>
      <c r="F143" s="27" t="s">
        <v>25</v>
      </c>
      <c r="G143" s="22" t="s">
        <v>422</v>
      </c>
      <c r="H143" s="22"/>
      <c r="I143" s="28"/>
      <c r="J143" s="221"/>
      <c r="K143" s="28"/>
      <c r="L143" s="119"/>
      <c r="M143" s="271"/>
      <c r="BE143" s="14"/>
      <c r="BF143" s="15"/>
      <c r="BG143" s="21"/>
      <c r="BH143" s="42"/>
      <c r="BI143" s="12"/>
      <c r="BJ143" s="12"/>
    </row>
    <row r="144" spans="1:62" s="3" customFormat="1" ht="15" x14ac:dyDescent="0.25">
      <c r="A144" s="74" t="s">
        <v>179</v>
      </c>
      <c r="B144" s="17" t="s">
        <v>409</v>
      </c>
      <c r="C144" s="319" t="s">
        <v>410</v>
      </c>
      <c r="D144" s="319"/>
      <c r="E144" s="319"/>
      <c r="F144" s="16" t="s">
        <v>25</v>
      </c>
      <c r="G144" s="23">
        <v>3</v>
      </c>
      <c r="H144" s="52">
        <v>335466.23999999999</v>
      </c>
      <c r="I144" s="19">
        <v>1006398.72</v>
      </c>
      <c r="J144" s="220">
        <f>I144*1.2</f>
        <v>1207678.4639999999</v>
      </c>
      <c r="K144" s="19"/>
      <c r="L144" s="118"/>
      <c r="M144" s="269"/>
      <c r="BE144" s="14"/>
      <c r="BF144" s="15"/>
      <c r="BG144" s="21"/>
      <c r="BH144" s="42"/>
      <c r="BI144" s="12"/>
      <c r="BJ144" s="12"/>
    </row>
    <row r="145" spans="1:62" s="3" customFormat="1" ht="22.5" hidden="1" x14ac:dyDescent="0.25">
      <c r="A145" s="120" t="s">
        <v>75</v>
      </c>
      <c r="B145" s="37" t="s">
        <v>336</v>
      </c>
      <c r="C145" s="352" t="s">
        <v>337</v>
      </c>
      <c r="D145" s="352"/>
      <c r="E145" s="352"/>
      <c r="F145" s="38" t="s">
        <v>155</v>
      </c>
      <c r="G145" s="39" t="s">
        <v>33</v>
      </c>
      <c r="H145" s="39"/>
      <c r="I145" s="40"/>
      <c r="J145" s="222"/>
      <c r="K145" s="40"/>
      <c r="L145" s="121"/>
      <c r="M145" s="270"/>
      <c r="BE145" s="14"/>
      <c r="BF145" s="15"/>
      <c r="BG145" s="21"/>
      <c r="BH145" s="42"/>
      <c r="BI145" s="12"/>
      <c r="BJ145" s="12"/>
    </row>
    <row r="146" spans="1:62" s="3" customFormat="1" ht="22.5" x14ac:dyDescent="0.25">
      <c r="A146" s="77" t="s">
        <v>126</v>
      </c>
      <c r="B146" s="26" t="s">
        <v>339</v>
      </c>
      <c r="C146" s="338" t="s">
        <v>337</v>
      </c>
      <c r="D146" s="338"/>
      <c r="E146" s="338"/>
      <c r="F146" s="27" t="s">
        <v>155</v>
      </c>
      <c r="G146" s="22" t="s">
        <v>427</v>
      </c>
      <c r="H146" s="22"/>
      <c r="I146" s="28"/>
      <c r="J146" s="221"/>
      <c r="K146" s="28">
        <v>450</v>
      </c>
      <c r="L146" s="119">
        <f>K146*609.84</f>
        <v>274428</v>
      </c>
      <c r="M146" s="271">
        <f>L146*1.2</f>
        <v>329313.59999999998</v>
      </c>
      <c r="BE146" s="14"/>
      <c r="BF146" s="15"/>
      <c r="BG146" s="21"/>
      <c r="BH146" s="42"/>
      <c r="BI146" s="12"/>
      <c r="BJ146" s="12"/>
    </row>
    <row r="147" spans="1:62" s="3" customFormat="1" ht="15" customHeight="1" x14ac:dyDescent="0.25">
      <c r="A147" s="320" t="s">
        <v>412</v>
      </c>
      <c r="B147" s="321"/>
      <c r="C147" s="321"/>
      <c r="D147" s="321"/>
      <c r="E147" s="321"/>
      <c r="F147" s="321"/>
      <c r="G147" s="321"/>
      <c r="H147" s="111"/>
      <c r="I147" s="111"/>
      <c r="J147" s="219"/>
      <c r="K147" s="111"/>
      <c r="L147" s="117"/>
      <c r="M147" s="268"/>
      <c r="BE147" s="14"/>
      <c r="BF147" s="15"/>
      <c r="BG147" s="21"/>
      <c r="BH147" s="42"/>
      <c r="BI147" s="12"/>
      <c r="BJ147" s="12"/>
    </row>
    <row r="148" spans="1:62" s="3" customFormat="1" ht="15" customHeight="1" x14ac:dyDescent="0.25">
      <c r="A148" s="320" t="s">
        <v>428</v>
      </c>
      <c r="B148" s="321"/>
      <c r="C148" s="321"/>
      <c r="D148" s="321"/>
      <c r="E148" s="321"/>
      <c r="F148" s="321"/>
      <c r="G148" s="321"/>
      <c r="H148" s="111"/>
      <c r="I148" s="111"/>
      <c r="J148" s="219"/>
      <c r="K148" s="111"/>
      <c r="L148" s="117"/>
      <c r="M148" s="268"/>
      <c r="BE148" s="14"/>
      <c r="BF148" s="15"/>
      <c r="BG148" s="21"/>
      <c r="BH148" s="42"/>
      <c r="BI148" s="12"/>
      <c r="BJ148" s="12"/>
    </row>
    <row r="149" spans="1:62" s="3" customFormat="1" ht="15" customHeight="1" x14ac:dyDescent="0.25">
      <c r="A149" s="320" t="s">
        <v>329</v>
      </c>
      <c r="B149" s="321"/>
      <c r="C149" s="321"/>
      <c r="D149" s="321"/>
      <c r="E149" s="321"/>
      <c r="F149" s="321"/>
      <c r="G149" s="321"/>
      <c r="H149" s="111"/>
      <c r="I149" s="111"/>
      <c r="J149" s="219"/>
      <c r="K149" s="111"/>
      <c r="L149" s="117"/>
      <c r="M149" s="268"/>
      <c r="BE149" s="14"/>
      <c r="BF149" s="15"/>
      <c r="BG149" s="21"/>
      <c r="BH149" s="42"/>
      <c r="BI149" s="12"/>
      <c r="BJ149" s="12"/>
    </row>
    <row r="150" spans="1:62" s="3" customFormat="1" ht="15" x14ac:dyDescent="0.25">
      <c r="A150" s="74" t="s">
        <v>183</v>
      </c>
      <c r="B150" s="17" t="s">
        <v>429</v>
      </c>
      <c r="C150" s="319" t="s">
        <v>430</v>
      </c>
      <c r="D150" s="319"/>
      <c r="E150" s="319"/>
      <c r="F150" s="16" t="s">
        <v>25</v>
      </c>
      <c r="G150" s="23">
        <v>1</v>
      </c>
      <c r="H150" s="52">
        <v>1868870.4</v>
      </c>
      <c r="I150" s="19">
        <v>1868870.4</v>
      </c>
      <c r="J150" s="220">
        <f>I150*1.2</f>
        <v>2242644.48</v>
      </c>
      <c r="K150" s="19"/>
      <c r="L150" s="118"/>
      <c r="M150" s="269"/>
      <c r="BE150" s="14"/>
      <c r="BF150" s="15"/>
      <c r="BG150" s="21"/>
      <c r="BH150" s="42"/>
      <c r="BI150" s="12"/>
      <c r="BJ150" s="12"/>
    </row>
    <row r="151" spans="1:62" s="3" customFormat="1" ht="22.5" x14ac:dyDescent="0.25">
      <c r="A151" s="77"/>
      <c r="B151" s="26" t="s">
        <v>431</v>
      </c>
      <c r="C151" s="338" t="s">
        <v>432</v>
      </c>
      <c r="D151" s="338"/>
      <c r="E151" s="338"/>
      <c r="F151" s="27" t="s">
        <v>67</v>
      </c>
      <c r="G151" s="22" t="s">
        <v>433</v>
      </c>
      <c r="H151" s="22"/>
      <c r="I151" s="28"/>
      <c r="J151" s="221"/>
      <c r="K151" s="28"/>
      <c r="L151" s="119"/>
      <c r="M151" s="271"/>
      <c r="BE151" s="14"/>
      <c r="BF151" s="15"/>
      <c r="BG151" s="21"/>
      <c r="BH151" s="42"/>
      <c r="BI151" s="12"/>
      <c r="BJ151" s="12"/>
    </row>
    <row r="152" spans="1:62" s="3" customFormat="1" ht="22.5" hidden="1" x14ac:dyDescent="0.25">
      <c r="A152" s="120" t="s">
        <v>140</v>
      </c>
      <c r="B152" s="37" t="s">
        <v>434</v>
      </c>
      <c r="C152" s="352" t="s">
        <v>435</v>
      </c>
      <c r="D152" s="352"/>
      <c r="E152" s="352"/>
      <c r="F152" s="38" t="s">
        <v>46</v>
      </c>
      <c r="G152" s="39" t="s">
        <v>436</v>
      </c>
      <c r="H152" s="39"/>
      <c r="I152" s="40"/>
      <c r="J152" s="222"/>
      <c r="K152" s="40"/>
      <c r="L152" s="121"/>
      <c r="M152" s="270"/>
      <c r="BE152" s="14"/>
      <c r="BF152" s="15"/>
      <c r="BG152" s="21"/>
      <c r="BH152" s="42"/>
      <c r="BI152" s="12"/>
      <c r="BJ152" s="12"/>
    </row>
    <row r="153" spans="1:62" s="3" customFormat="1" ht="22.5" hidden="1" x14ac:dyDescent="0.25">
      <c r="A153" s="120" t="s">
        <v>75</v>
      </c>
      <c r="B153" s="37" t="s">
        <v>437</v>
      </c>
      <c r="C153" s="352" t="s">
        <v>438</v>
      </c>
      <c r="D153" s="352"/>
      <c r="E153" s="352"/>
      <c r="F153" s="38" t="s">
        <v>46</v>
      </c>
      <c r="G153" s="39" t="s">
        <v>33</v>
      </c>
      <c r="H153" s="39"/>
      <c r="I153" s="40"/>
      <c r="J153" s="222"/>
      <c r="K153" s="40"/>
      <c r="L153" s="121"/>
      <c r="M153" s="270"/>
      <c r="BE153" s="14"/>
      <c r="BF153" s="15"/>
      <c r="BG153" s="21"/>
      <c r="BH153" s="42"/>
      <c r="BI153" s="12"/>
      <c r="BJ153" s="12"/>
    </row>
    <row r="154" spans="1:62" s="3" customFormat="1" ht="22.5" hidden="1" x14ac:dyDescent="0.25">
      <c r="A154" s="120" t="s">
        <v>75</v>
      </c>
      <c r="B154" s="37" t="s">
        <v>439</v>
      </c>
      <c r="C154" s="352" t="s">
        <v>440</v>
      </c>
      <c r="D154" s="352"/>
      <c r="E154" s="352"/>
      <c r="F154" s="38" t="s">
        <v>38</v>
      </c>
      <c r="G154" s="39" t="s">
        <v>33</v>
      </c>
      <c r="H154" s="39"/>
      <c r="I154" s="40"/>
      <c r="J154" s="222"/>
      <c r="K154" s="40"/>
      <c r="L154" s="121"/>
      <c r="M154" s="270"/>
      <c r="BE154" s="14"/>
      <c r="BF154" s="15"/>
      <c r="BG154" s="21"/>
      <c r="BH154" s="42"/>
      <c r="BI154" s="12"/>
      <c r="BJ154" s="12"/>
    </row>
    <row r="155" spans="1:62" s="3" customFormat="1" ht="22.5" x14ac:dyDescent="0.25">
      <c r="A155" s="77"/>
      <c r="B155" s="26" t="s">
        <v>441</v>
      </c>
      <c r="C155" s="338" t="s">
        <v>442</v>
      </c>
      <c r="D155" s="338"/>
      <c r="E155" s="338"/>
      <c r="F155" s="27" t="s">
        <v>67</v>
      </c>
      <c r="G155" s="22" t="s">
        <v>443</v>
      </c>
      <c r="H155" s="22"/>
      <c r="I155" s="28"/>
      <c r="J155" s="221"/>
      <c r="K155" s="28"/>
      <c r="L155" s="119"/>
      <c r="M155" s="271"/>
      <c r="BE155" s="14"/>
      <c r="BF155" s="15"/>
      <c r="BG155" s="21"/>
      <c r="BH155" s="42"/>
      <c r="BI155" s="12"/>
      <c r="BJ155" s="12"/>
    </row>
    <row r="156" spans="1:62" s="3" customFormat="1" ht="22.5" x14ac:dyDescent="0.25">
      <c r="A156" s="77"/>
      <c r="B156" s="26" t="s">
        <v>444</v>
      </c>
      <c r="C156" s="338" t="s">
        <v>445</v>
      </c>
      <c r="D156" s="338"/>
      <c r="E156" s="338"/>
      <c r="F156" s="27" t="s">
        <v>363</v>
      </c>
      <c r="G156" s="22" t="s">
        <v>446</v>
      </c>
      <c r="H156" s="22"/>
      <c r="I156" s="28"/>
      <c r="J156" s="221"/>
      <c r="K156" s="28"/>
      <c r="L156" s="119"/>
      <c r="M156" s="271"/>
      <c r="BE156" s="14"/>
      <c r="BF156" s="15"/>
      <c r="BG156" s="21"/>
      <c r="BH156" s="42"/>
      <c r="BI156" s="12"/>
      <c r="BJ156" s="12"/>
    </row>
    <row r="157" spans="1:62" s="3" customFormat="1" ht="22.5" x14ac:dyDescent="0.25">
      <c r="A157" s="77"/>
      <c r="B157" s="26" t="s">
        <v>447</v>
      </c>
      <c r="C157" s="338" t="s">
        <v>448</v>
      </c>
      <c r="D157" s="338"/>
      <c r="E157" s="338"/>
      <c r="F157" s="27" t="s">
        <v>67</v>
      </c>
      <c r="G157" s="22" t="s">
        <v>449</v>
      </c>
      <c r="H157" s="22"/>
      <c r="I157" s="28"/>
      <c r="J157" s="221"/>
      <c r="K157" s="28"/>
      <c r="L157" s="119"/>
      <c r="M157" s="271"/>
      <c r="BE157" s="14"/>
      <c r="BF157" s="15"/>
      <c r="BG157" s="21"/>
      <c r="BH157" s="42"/>
      <c r="BI157" s="12"/>
      <c r="BJ157" s="12"/>
    </row>
    <row r="158" spans="1:62" s="3" customFormat="1" ht="22.5" hidden="1" x14ac:dyDescent="0.25">
      <c r="A158" s="120" t="s">
        <v>140</v>
      </c>
      <c r="B158" s="37" t="s">
        <v>387</v>
      </c>
      <c r="C158" s="352" t="s">
        <v>388</v>
      </c>
      <c r="D158" s="352"/>
      <c r="E158" s="352"/>
      <c r="F158" s="38" t="s">
        <v>139</v>
      </c>
      <c r="G158" s="39" t="s">
        <v>450</v>
      </c>
      <c r="H158" s="39"/>
      <c r="I158" s="40"/>
      <c r="J158" s="222"/>
      <c r="K158" s="40"/>
      <c r="L158" s="121"/>
      <c r="M158" s="270"/>
      <c r="BE158" s="14"/>
      <c r="BF158" s="15"/>
      <c r="BG158" s="21"/>
      <c r="BH158" s="42"/>
      <c r="BI158" s="12"/>
      <c r="BJ158" s="12"/>
    </row>
    <row r="159" spans="1:62" s="3" customFormat="1" ht="22.5" x14ac:dyDescent="0.25">
      <c r="A159" s="77"/>
      <c r="B159" s="26" t="s">
        <v>451</v>
      </c>
      <c r="C159" s="338" t="s">
        <v>452</v>
      </c>
      <c r="D159" s="338"/>
      <c r="E159" s="338"/>
      <c r="F159" s="27" t="s">
        <v>38</v>
      </c>
      <c r="G159" s="22" t="s">
        <v>453</v>
      </c>
      <c r="H159" s="22"/>
      <c r="I159" s="28"/>
      <c r="J159" s="221"/>
      <c r="K159" s="28"/>
      <c r="L159" s="119"/>
      <c r="M159" s="271"/>
      <c r="BE159" s="14"/>
      <c r="BF159" s="15"/>
      <c r="BG159" s="21"/>
      <c r="BH159" s="42"/>
      <c r="BI159" s="12"/>
      <c r="BJ159" s="12"/>
    </row>
    <row r="160" spans="1:62" s="3" customFormat="1" ht="22.5" hidden="1" x14ac:dyDescent="0.25">
      <c r="A160" s="120" t="s">
        <v>140</v>
      </c>
      <c r="B160" s="37" t="s">
        <v>454</v>
      </c>
      <c r="C160" s="352" t="s">
        <v>455</v>
      </c>
      <c r="D160" s="352"/>
      <c r="E160" s="352"/>
      <c r="F160" s="38" t="s">
        <v>25</v>
      </c>
      <c r="G160" s="39" t="s">
        <v>456</v>
      </c>
      <c r="H160" s="39"/>
      <c r="I160" s="40"/>
      <c r="J160" s="222"/>
      <c r="K160" s="40"/>
      <c r="L160" s="121"/>
      <c r="M160" s="270"/>
      <c r="BE160" s="14"/>
      <c r="BF160" s="15"/>
      <c r="BG160" s="21"/>
      <c r="BH160" s="42"/>
      <c r="BI160" s="12"/>
      <c r="BJ160" s="12"/>
    </row>
    <row r="161" spans="1:62" s="3" customFormat="1" ht="22.5" x14ac:dyDescent="0.25">
      <c r="A161" s="74" t="s">
        <v>189</v>
      </c>
      <c r="B161" s="17" t="s">
        <v>425</v>
      </c>
      <c r="C161" s="319" t="s">
        <v>426</v>
      </c>
      <c r="D161" s="319"/>
      <c r="E161" s="319"/>
      <c r="F161" s="16" t="s">
        <v>25</v>
      </c>
      <c r="G161" s="23">
        <v>4</v>
      </c>
      <c r="H161" s="52"/>
      <c r="I161" s="19"/>
      <c r="J161" s="220"/>
      <c r="K161" s="19">
        <f>L161/4</f>
        <v>1041666.6675</v>
      </c>
      <c r="L161" s="118">
        <v>4166666.67</v>
      </c>
      <c r="M161" s="269">
        <f>L161*1.2</f>
        <v>5000000.0039999997</v>
      </c>
      <c r="BE161" s="14"/>
      <c r="BF161" s="15"/>
      <c r="BG161" s="21"/>
      <c r="BH161" s="42"/>
      <c r="BI161" s="12"/>
      <c r="BJ161" s="12"/>
    </row>
    <row r="162" spans="1:62" s="3" customFormat="1" ht="33.75" x14ac:dyDescent="0.25">
      <c r="A162" s="74" t="s">
        <v>193</v>
      </c>
      <c r="B162" s="17" t="s">
        <v>457</v>
      </c>
      <c r="C162" s="319" t="s">
        <v>458</v>
      </c>
      <c r="D162" s="319"/>
      <c r="E162" s="319"/>
      <c r="F162" s="16" t="s">
        <v>459</v>
      </c>
      <c r="G162" s="23">
        <v>1</v>
      </c>
      <c r="H162" s="52"/>
      <c r="I162" s="19"/>
      <c r="J162" s="220"/>
      <c r="K162" s="19">
        <f>25000000+248000</f>
        <v>25248000</v>
      </c>
      <c r="L162" s="118">
        <v>25248000</v>
      </c>
      <c r="M162" s="269">
        <f>L162*1.2</f>
        <v>30297600</v>
      </c>
      <c r="BE162" s="14"/>
      <c r="BF162" s="15"/>
      <c r="BG162" s="21"/>
      <c r="BH162" s="42"/>
      <c r="BI162" s="12"/>
      <c r="BJ162" s="12"/>
    </row>
    <row r="163" spans="1:62" s="3" customFormat="1" ht="15" x14ac:dyDescent="0.25">
      <c r="A163" s="74" t="s">
        <v>195</v>
      </c>
      <c r="B163" s="17" t="s">
        <v>460</v>
      </c>
      <c r="C163" s="319" t="s">
        <v>461</v>
      </c>
      <c r="D163" s="319"/>
      <c r="E163" s="319"/>
      <c r="F163" s="16" t="s">
        <v>186</v>
      </c>
      <c r="G163" s="43">
        <v>0.32902999999999999</v>
      </c>
      <c r="H163" s="52">
        <v>79232.17</v>
      </c>
      <c r="I163" s="19">
        <v>26069.759999999998</v>
      </c>
      <c r="J163" s="220">
        <f>I163*1.2</f>
        <v>31283.711999999996</v>
      </c>
      <c r="K163" s="19"/>
      <c r="L163" s="118"/>
      <c r="M163" s="269"/>
      <c r="BE163" s="14"/>
      <c r="BF163" s="15"/>
      <c r="BG163" s="21"/>
      <c r="BH163" s="42"/>
      <c r="BI163" s="12"/>
      <c r="BJ163" s="12"/>
    </row>
    <row r="164" spans="1:62" s="3" customFormat="1" ht="22.5" hidden="1" x14ac:dyDescent="0.25">
      <c r="A164" s="120" t="s">
        <v>75</v>
      </c>
      <c r="B164" s="37" t="s">
        <v>462</v>
      </c>
      <c r="C164" s="352" t="s">
        <v>463</v>
      </c>
      <c r="D164" s="352"/>
      <c r="E164" s="352"/>
      <c r="F164" s="38" t="s">
        <v>155</v>
      </c>
      <c r="G164" s="39" t="s">
        <v>33</v>
      </c>
      <c r="H164" s="39"/>
      <c r="I164" s="40"/>
      <c r="J164" s="222"/>
      <c r="K164" s="40"/>
      <c r="L164" s="121"/>
      <c r="M164" s="270"/>
      <c r="BE164" s="14"/>
      <c r="BF164" s="15"/>
      <c r="BG164" s="21"/>
      <c r="BH164" s="42"/>
      <c r="BI164" s="12"/>
      <c r="BJ164" s="12"/>
    </row>
    <row r="165" spans="1:62" s="3" customFormat="1" ht="22.5" x14ac:dyDescent="0.25">
      <c r="A165" s="77"/>
      <c r="B165" s="26" t="s">
        <v>271</v>
      </c>
      <c r="C165" s="338" t="s">
        <v>272</v>
      </c>
      <c r="D165" s="338"/>
      <c r="E165" s="338"/>
      <c r="F165" s="27" t="s">
        <v>67</v>
      </c>
      <c r="G165" s="22" t="s">
        <v>464</v>
      </c>
      <c r="H165" s="22"/>
      <c r="I165" s="28"/>
      <c r="J165" s="221"/>
      <c r="K165" s="28"/>
      <c r="L165" s="119"/>
      <c r="M165" s="271"/>
      <c r="BE165" s="14"/>
      <c r="BF165" s="15"/>
      <c r="BG165" s="21"/>
      <c r="BH165" s="42"/>
      <c r="BI165" s="12"/>
      <c r="BJ165" s="12"/>
    </row>
    <row r="166" spans="1:62" s="3" customFormat="1" ht="22.5" x14ac:dyDescent="0.25">
      <c r="A166" s="77" t="s">
        <v>126</v>
      </c>
      <c r="B166" s="26" t="s">
        <v>339</v>
      </c>
      <c r="C166" s="338" t="s">
        <v>337</v>
      </c>
      <c r="D166" s="338"/>
      <c r="E166" s="338"/>
      <c r="F166" s="27" t="s">
        <v>155</v>
      </c>
      <c r="G166" s="22" t="s">
        <v>465</v>
      </c>
      <c r="H166" s="22"/>
      <c r="I166" s="28"/>
      <c r="J166" s="221"/>
      <c r="K166" s="28">
        <v>450</v>
      </c>
      <c r="L166" s="119">
        <f>K166*331.59</f>
        <v>149215.5</v>
      </c>
      <c r="M166" s="271">
        <f>L166*1.2</f>
        <v>179058.6</v>
      </c>
      <c r="BE166" s="14"/>
      <c r="BF166" s="15"/>
      <c r="BG166" s="21"/>
      <c r="BH166" s="42"/>
      <c r="BI166" s="12"/>
      <c r="BJ166" s="12"/>
    </row>
    <row r="167" spans="1:62" s="3" customFormat="1" ht="15" customHeight="1" x14ac:dyDescent="0.25">
      <c r="A167" s="320" t="s">
        <v>466</v>
      </c>
      <c r="B167" s="321"/>
      <c r="C167" s="321"/>
      <c r="D167" s="321"/>
      <c r="E167" s="321"/>
      <c r="F167" s="321"/>
      <c r="G167" s="321"/>
      <c r="H167" s="111"/>
      <c r="I167" s="111"/>
      <c r="J167" s="219"/>
      <c r="K167" s="111"/>
      <c r="L167" s="117"/>
      <c r="M167" s="268"/>
      <c r="BE167" s="14"/>
      <c r="BF167" s="15"/>
      <c r="BG167" s="21"/>
      <c r="BH167" s="42"/>
      <c r="BI167" s="12"/>
      <c r="BJ167" s="12"/>
    </row>
    <row r="168" spans="1:62" s="3" customFormat="1" ht="15" x14ac:dyDescent="0.25">
      <c r="A168" s="74" t="s">
        <v>198</v>
      </c>
      <c r="B168" s="17" t="s">
        <v>467</v>
      </c>
      <c r="C168" s="319" t="s">
        <v>466</v>
      </c>
      <c r="D168" s="319"/>
      <c r="E168" s="319"/>
      <c r="F168" s="16" t="s">
        <v>18</v>
      </c>
      <c r="G168" s="18">
        <v>1.728</v>
      </c>
      <c r="H168" s="52">
        <v>3085885</v>
      </c>
      <c r="I168" s="19">
        <v>5332409.5999999996</v>
      </c>
      <c r="J168" s="220">
        <f>I168*1.2</f>
        <v>6398891.5199999996</v>
      </c>
      <c r="K168" s="19"/>
      <c r="L168" s="118"/>
      <c r="M168" s="269"/>
      <c r="BE168" s="14"/>
      <c r="BF168" s="15"/>
      <c r="BG168" s="21"/>
      <c r="BH168" s="42"/>
      <c r="BI168" s="12"/>
      <c r="BJ168" s="12"/>
    </row>
    <row r="169" spans="1:62" s="3" customFormat="1" ht="22.5" hidden="1" x14ac:dyDescent="0.25">
      <c r="A169" s="120" t="s">
        <v>75</v>
      </c>
      <c r="B169" s="37" t="s">
        <v>468</v>
      </c>
      <c r="C169" s="352" t="s">
        <v>469</v>
      </c>
      <c r="D169" s="352"/>
      <c r="E169" s="352"/>
      <c r="F169" s="38" t="s">
        <v>46</v>
      </c>
      <c r="G169" s="39" t="s">
        <v>33</v>
      </c>
      <c r="H169" s="39"/>
      <c r="I169" s="40"/>
      <c r="J169" s="222"/>
      <c r="K169" s="40"/>
      <c r="L169" s="121"/>
      <c r="M169" s="270"/>
      <c r="BE169" s="14"/>
      <c r="BF169" s="15"/>
      <c r="BG169" s="21"/>
      <c r="BH169" s="42"/>
      <c r="BI169" s="12"/>
      <c r="BJ169" s="12"/>
    </row>
    <row r="170" spans="1:62" s="3" customFormat="1" ht="15" customHeight="1" x14ac:dyDescent="0.25">
      <c r="A170" s="366" t="s">
        <v>470</v>
      </c>
      <c r="B170" s="354"/>
      <c r="C170" s="354"/>
      <c r="D170" s="354"/>
      <c r="E170" s="354"/>
      <c r="F170" s="89"/>
      <c r="G170" s="89"/>
      <c r="H170" s="137"/>
      <c r="I170" s="96"/>
      <c r="J170" s="218"/>
      <c r="K170" s="137"/>
      <c r="L170" s="116"/>
      <c r="M170" s="272"/>
      <c r="BE170" s="14"/>
      <c r="BF170" s="15"/>
      <c r="BG170" s="21"/>
      <c r="BH170" s="42"/>
      <c r="BI170" s="12"/>
      <c r="BJ170" s="12"/>
    </row>
    <row r="171" spans="1:62" s="3" customFormat="1" ht="15" customHeight="1" x14ac:dyDescent="0.25">
      <c r="A171" s="320" t="s">
        <v>471</v>
      </c>
      <c r="B171" s="321"/>
      <c r="C171" s="321"/>
      <c r="D171" s="321"/>
      <c r="E171" s="321"/>
      <c r="F171" s="321"/>
      <c r="G171" s="321"/>
      <c r="H171" s="111"/>
      <c r="I171" s="111"/>
      <c r="J171" s="219"/>
      <c r="K171" s="111"/>
      <c r="L171" s="117"/>
      <c r="M171" s="268"/>
      <c r="BE171" s="14"/>
      <c r="BF171" s="15"/>
      <c r="BG171" s="21"/>
      <c r="BH171" s="42"/>
      <c r="BI171" s="12"/>
      <c r="BJ171" s="12"/>
    </row>
    <row r="172" spans="1:62" s="3" customFormat="1" ht="15" x14ac:dyDescent="0.25">
      <c r="A172" s="74" t="s">
        <v>216</v>
      </c>
      <c r="B172" s="17" t="s">
        <v>472</v>
      </c>
      <c r="C172" s="319" t="s">
        <v>473</v>
      </c>
      <c r="D172" s="319"/>
      <c r="E172" s="319"/>
      <c r="F172" s="16" t="s">
        <v>43</v>
      </c>
      <c r="G172" s="30">
        <v>7.0252999999999997</v>
      </c>
      <c r="H172" s="52">
        <v>636100.59</v>
      </c>
      <c r="I172" s="19">
        <v>4468797.4400000004</v>
      </c>
      <c r="J172" s="220">
        <f>I172*1.2</f>
        <v>5362556.9280000003</v>
      </c>
      <c r="K172" s="19"/>
      <c r="L172" s="118"/>
      <c r="M172" s="269"/>
      <c r="BE172" s="14"/>
      <c r="BF172" s="15"/>
      <c r="BG172" s="21"/>
      <c r="BH172" s="42"/>
      <c r="BI172" s="12"/>
      <c r="BJ172" s="12"/>
    </row>
    <row r="173" spans="1:62" s="3" customFormat="1" ht="22.5" x14ac:dyDescent="0.25">
      <c r="A173" s="77" t="s">
        <v>126</v>
      </c>
      <c r="B173" s="26" t="s">
        <v>468</v>
      </c>
      <c r="C173" s="338" t="s">
        <v>469</v>
      </c>
      <c r="D173" s="338"/>
      <c r="E173" s="338"/>
      <c r="F173" s="27" t="s">
        <v>46</v>
      </c>
      <c r="G173" s="22" t="s">
        <v>474</v>
      </c>
      <c r="H173" s="22"/>
      <c r="I173" s="28"/>
      <c r="J173" s="221"/>
      <c r="K173" s="28">
        <v>2950</v>
      </c>
      <c r="L173" s="119">
        <f>K173*8289.85</f>
        <v>24455057.5</v>
      </c>
      <c r="M173" s="271">
        <f>L173*1.2</f>
        <v>29346069</v>
      </c>
      <c r="BE173" s="14"/>
      <c r="BF173" s="15"/>
      <c r="BG173" s="21"/>
      <c r="BH173" s="42"/>
      <c r="BI173" s="12"/>
      <c r="BJ173" s="12"/>
    </row>
    <row r="174" spans="1:62" s="3" customFormat="1" ht="15" customHeight="1" x14ac:dyDescent="0.25">
      <c r="A174" s="320" t="s">
        <v>475</v>
      </c>
      <c r="B174" s="321"/>
      <c r="C174" s="321"/>
      <c r="D174" s="321"/>
      <c r="E174" s="321"/>
      <c r="F174" s="321"/>
      <c r="G174" s="321"/>
      <c r="H174" s="111"/>
      <c r="I174" s="111"/>
      <c r="J174" s="219"/>
      <c r="K174" s="111"/>
      <c r="L174" s="117"/>
      <c r="M174" s="268"/>
      <c r="BE174" s="14"/>
      <c r="BF174" s="15"/>
      <c r="BG174" s="21"/>
      <c r="BH174" s="42"/>
      <c r="BI174" s="12"/>
      <c r="BJ174" s="12"/>
    </row>
    <row r="175" spans="1:62" s="3" customFormat="1" ht="15" x14ac:dyDescent="0.25">
      <c r="A175" s="74" t="s">
        <v>219</v>
      </c>
      <c r="B175" s="17" t="s">
        <v>472</v>
      </c>
      <c r="C175" s="319" t="s">
        <v>473</v>
      </c>
      <c r="D175" s="319"/>
      <c r="E175" s="319"/>
      <c r="F175" s="16" t="s">
        <v>43</v>
      </c>
      <c r="G175" s="18">
        <v>0.45500000000000002</v>
      </c>
      <c r="H175" s="52">
        <v>636103.74</v>
      </c>
      <c r="I175" s="19">
        <v>289427.20000000001</v>
      </c>
      <c r="J175" s="220">
        <f>I175*1.2</f>
        <v>347312.64000000001</v>
      </c>
      <c r="K175" s="19"/>
      <c r="L175" s="118"/>
      <c r="M175" s="269"/>
      <c r="BE175" s="14"/>
      <c r="BF175" s="15"/>
      <c r="BG175" s="21"/>
      <c r="BH175" s="42"/>
      <c r="BI175" s="12"/>
      <c r="BJ175" s="12"/>
    </row>
    <row r="176" spans="1:62" s="3" customFormat="1" ht="22.5" x14ac:dyDescent="0.25">
      <c r="A176" s="77" t="s">
        <v>126</v>
      </c>
      <c r="B176" s="26" t="s">
        <v>468</v>
      </c>
      <c r="C176" s="338" t="s">
        <v>469</v>
      </c>
      <c r="D176" s="338"/>
      <c r="E176" s="338"/>
      <c r="F176" s="27" t="s">
        <v>46</v>
      </c>
      <c r="G176" s="22" t="s">
        <v>476</v>
      </c>
      <c r="H176" s="22"/>
      <c r="I176" s="28"/>
      <c r="J176" s="221"/>
      <c r="K176" s="28">
        <v>2950</v>
      </c>
      <c r="L176" s="119">
        <f>K176*536.9</f>
        <v>1583855</v>
      </c>
      <c r="M176" s="271">
        <f>L176*1.2</f>
        <v>1900626</v>
      </c>
      <c r="BE176" s="14"/>
      <c r="BF176" s="15"/>
      <c r="BG176" s="21"/>
      <c r="BH176" s="42"/>
      <c r="BI176" s="12"/>
      <c r="BJ176" s="12"/>
    </row>
    <row r="177" spans="1:62" s="3" customFormat="1" ht="15" customHeight="1" x14ac:dyDescent="0.25">
      <c r="A177" s="320" t="s">
        <v>477</v>
      </c>
      <c r="B177" s="321"/>
      <c r="C177" s="321"/>
      <c r="D177" s="321"/>
      <c r="E177" s="321"/>
      <c r="F177" s="321"/>
      <c r="G177" s="321"/>
      <c r="H177" s="111"/>
      <c r="I177" s="111"/>
      <c r="J177" s="219"/>
      <c r="K177" s="111"/>
      <c r="L177" s="117"/>
      <c r="M177" s="268"/>
      <c r="BE177" s="14"/>
      <c r="BF177" s="15"/>
      <c r="BG177" s="21"/>
      <c r="BH177" s="42"/>
      <c r="BI177" s="12"/>
      <c r="BJ177" s="12"/>
    </row>
    <row r="178" spans="1:62" s="3" customFormat="1" ht="15" x14ac:dyDescent="0.25">
      <c r="A178" s="74" t="s">
        <v>222</v>
      </c>
      <c r="B178" s="17" t="s">
        <v>472</v>
      </c>
      <c r="C178" s="319" t="s">
        <v>473</v>
      </c>
      <c r="D178" s="319"/>
      <c r="E178" s="319"/>
      <c r="F178" s="16" t="s">
        <v>43</v>
      </c>
      <c r="G178" s="24">
        <v>0.2</v>
      </c>
      <c r="H178" s="52">
        <v>636108.80000000005</v>
      </c>
      <c r="I178" s="19">
        <v>127221.75999999999</v>
      </c>
      <c r="J178" s="220">
        <f>I178*1.2</f>
        <v>152666.11199999999</v>
      </c>
      <c r="K178" s="19"/>
      <c r="L178" s="118"/>
      <c r="M178" s="269"/>
      <c r="BE178" s="14"/>
      <c r="BF178" s="15"/>
      <c r="BG178" s="21"/>
      <c r="BH178" s="42"/>
      <c r="BI178" s="12"/>
      <c r="BJ178" s="12"/>
    </row>
    <row r="179" spans="1:62" s="3" customFormat="1" ht="22.5" x14ac:dyDescent="0.25">
      <c r="A179" s="77" t="s">
        <v>126</v>
      </c>
      <c r="B179" s="26" t="s">
        <v>468</v>
      </c>
      <c r="C179" s="338" t="s">
        <v>469</v>
      </c>
      <c r="D179" s="338"/>
      <c r="E179" s="338"/>
      <c r="F179" s="27" t="s">
        <v>46</v>
      </c>
      <c r="G179" s="22" t="s">
        <v>478</v>
      </c>
      <c r="H179" s="22"/>
      <c r="I179" s="28"/>
      <c r="J179" s="221"/>
      <c r="K179" s="28">
        <v>2950</v>
      </c>
      <c r="L179" s="119">
        <f>K179*236</f>
        <v>696200</v>
      </c>
      <c r="M179" s="271">
        <f>L179*1.2</f>
        <v>835440</v>
      </c>
      <c r="BE179" s="14"/>
      <c r="BF179" s="15"/>
      <c r="BG179" s="21"/>
      <c r="BH179" s="42"/>
      <c r="BI179" s="12"/>
      <c r="BJ179" s="12"/>
    </row>
    <row r="180" spans="1:62" s="3" customFormat="1" ht="15" customHeight="1" x14ac:dyDescent="0.25">
      <c r="A180" s="320" t="s">
        <v>479</v>
      </c>
      <c r="B180" s="321"/>
      <c r="C180" s="321"/>
      <c r="D180" s="321"/>
      <c r="E180" s="321"/>
      <c r="F180" s="321"/>
      <c r="G180" s="321"/>
      <c r="H180" s="111"/>
      <c r="I180" s="111"/>
      <c r="J180" s="219"/>
      <c r="K180" s="111"/>
      <c r="L180" s="117"/>
      <c r="M180" s="268"/>
      <c r="BE180" s="14"/>
      <c r="BF180" s="15"/>
      <c r="BG180" s="21"/>
      <c r="BH180" s="42"/>
      <c r="BI180" s="12"/>
      <c r="BJ180" s="12"/>
    </row>
    <row r="181" spans="1:62" s="3" customFormat="1" ht="15" x14ac:dyDescent="0.25">
      <c r="A181" s="74" t="s">
        <v>224</v>
      </c>
      <c r="B181" s="17" t="s">
        <v>472</v>
      </c>
      <c r="C181" s="319" t="s">
        <v>473</v>
      </c>
      <c r="D181" s="319"/>
      <c r="E181" s="319"/>
      <c r="F181" s="16" t="s">
        <v>43</v>
      </c>
      <c r="G181" s="24">
        <v>1.3</v>
      </c>
      <c r="H181" s="52">
        <v>636100.92000000004</v>
      </c>
      <c r="I181" s="19">
        <v>826931.19999999995</v>
      </c>
      <c r="J181" s="220">
        <f>I181*1.2</f>
        <v>992317.43999999994</v>
      </c>
      <c r="K181" s="19"/>
      <c r="L181" s="118"/>
      <c r="M181" s="269"/>
      <c r="BE181" s="14"/>
      <c r="BF181" s="15"/>
      <c r="BG181" s="21"/>
      <c r="BH181" s="42"/>
      <c r="BI181" s="12"/>
      <c r="BJ181" s="12"/>
    </row>
    <row r="182" spans="1:62" s="3" customFormat="1" ht="22.5" x14ac:dyDescent="0.25">
      <c r="A182" s="77" t="s">
        <v>126</v>
      </c>
      <c r="B182" s="26" t="s">
        <v>468</v>
      </c>
      <c r="C182" s="338" t="s">
        <v>469</v>
      </c>
      <c r="D182" s="338"/>
      <c r="E182" s="338"/>
      <c r="F182" s="27" t="s">
        <v>46</v>
      </c>
      <c r="G182" s="22" t="s">
        <v>480</v>
      </c>
      <c r="H182" s="22"/>
      <c r="I182" s="28"/>
      <c r="J182" s="221"/>
      <c r="K182" s="28">
        <v>2950</v>
      </c>
      <c r="L182" s="119">
        <f>K182*1534</f>
        <v>4525300</v>
      </c>
      <c r="M182" s="271">
        <f>L182*1.2</f>
        <v>5430360</v>
      </c>
      <c r="BE182" s="14"/>
      <c r="BF182" s="15"/>
      <c r="BG182" s="21"/>
      <c r="BH182" s="42"/>
      <c r="BI182" s="12"/>
      <c r="BJ182" s="12"/>
    </row>
    <row r="183" spans="1:62" s="3" customFormat="1" ht="15" customHeight="1" x14ac:dyDescent="0.25">
      <c r="A183" s="320" t="s">
        <v>481</v>
      </c>
      <c r="B183" s="321"/>
      <c r="C183" s="321"/>
      <c r="D183" s="321"/>
      <c r="E183" s="321"/>
      <c r="F183" s="321"/>
      <c r="G183" s="321"/>
      <c r="H183" s="111"/>
      <c r="I183" s="111"/>
      <c r="J183" s="219"/>
      <c r="K183" s="111"/>
      <c r="L183" s="117"/>
      <c r="M183" s="268"/>
      <c r="BE183" s="14"/>
      <c r="BF183" s="15"/>
      <c r="BG183" s="21"/>
      <c r="BH183" s="42"/>
      <c r="BI183" s="12"/>
      <c r="BJ183" s="12"/>
    </row>
    <row r="184" spans="1:62" s="3" customFormat="1" ht="15" x14ac:dyDescent="0.25">
      <c r="A184" s="74" t="s">
        <v>227</v>
      </c>
      <c r="B184" s="17" t="s">
        <v>482</v>
      </c>
      <c r="C184" s="319" t="s">
        <v>483</v>
      </c>
      <c r="D184" s="319"/>
      <c r="E184" s="319"/>
      <c r="F184" s="16" t="s">
        <v>122</v>
      </c>
      <c r="G184" s="31">
        <v>13.01</v>
      </c>
      <c r="H184" s="52">
        <v>174233.58</v>
      </c>
      <c r="I184" s="19">
        <v>2266778.88</v>
      </c>
      <c r="J184" s="220">
        <f>I184*1.2</f>
        <v>2720134.656</v>
      </c>
      <c r="K184" s="19"/>
      <c r="L184" s="118"/>
      <c r="M184" s="269"/>
      <c r="BE184" s="14"/>
      <c r="BF184" s="15"/>
      <c r="BG184" s="21"/>
      <c r="BH184" s="42"/>
      <c r="BI184" s="12"/>
      <c r="BJ184" s="12"/>
    </row>
    <row r="185" spans="1:62" s="3" customFormat="1" ht="22.5" x14ac:dyDescent="0.25">
      <c r="A185" s="74" t="s">
        <v>230</v>
      </c>
      <c r="B185" s="17" t="s">
        <v>484</v>
      </c>
      <c r="C185" s="319" t="s">
        <v>469</v>
      </c>
      <c r="D185" s="319"/>
      <c r="E185" s="319"/>
      <c r="F185" s="16" t="s">
        <v>46</v>
      </c>
      <c r="G185" s="31">
        <v>1535.18</v>
      </c>
      <c r="H185" s="52"/>
      <c r="I185" s="19"/>
      <c r="J185" s="220"/>
      <c r="K185" s="19">
        <v>2950</v>
      </c>
      <c r="L185" s="118">
        <f>K185*1535.18</f>
        <v>4528781</v>
      </c>
      <c r="M185" s="269">
        <f>L185*1.2</f>
        <v>5434537.2000000002</v>
      </c>
      <c r="BE185" s="14"/>
      <c r="BF185" s="15"/>
      <c r="BG185" s="21"/>
      <c r="BH185" s="42"/>
      <c r="BI185" s="12"/>
      <c r="BJ185" s="12"/>
    </row>
    <row r="186" spans="1:62" s="3" customFormat="1" ht="15" customHeight="1" x14ac:dyDescent="0.25">
      <c r="A186" s="366" t="s">
        <v>485</v>
      </c>
      <c r="B186" s="354"/>
      <c r="C186" s="354"/>
      <c r="D186" s="354"/>
      <c r="E186" s="354"/>
      <c r="F186" s="89"/>
      <c r="G186" s="89"/>
      <c r="H186" s="137"/>
      <c r="I186" s="96"/>
      <c r="J186" s="218"/>
      <c r="K186" s="137"/>
      <c r="L186" s="116"/>
      <c r="M186" s="272"/>
      <c r="BE186" s="14"/>
      <c r="BF186" s="15"/>
      <c r="BG186" s="21"/>
      <c r="BH186" s="42"/>
      <c r="BI186" s="12"/>
      <c r="BJ186" s="12"/>
    </row>
    <row r="187" spans="1:62" s="3" customFormat="1" ht="24.75" customHeight="1" x14ac:dyDescent="0.25">
      <c r="A187" s="320" t="s">
        <v>486</v>
      </c>
      <c r="B187" s="321"/>
      <c r="C187" s="321"/>
      <c r="D187" s="321"/>
      <c r="E187" s="321"/>
      <c r="F187" s="321"/>
      <c r="G187" s="321"/>
      <c r="H187" s="111"/>
      <c r="I187" s="111"/>
      <c r="J187" s="219"/>
      <c r="K187" s="111"/>
      <c r="L187" s="117"/>
      <c r="M187" s="268"/>
      <c r="BE187" s="14"/>
      <c r="BF187" s="15"/>
      <c r="BG187" s="21"/>
      <c r="BH187" s="42"/>
      <c r="BI187" s="12"/>
      <c r="BJ187" s="12"/>
    </row>
    <row r="188" spans="1:62" s="3" customFormat="1" ht="15" x14ac:dyDescent="0.25">
      <c r="A188" s="74" t="s">
        <v>232</v>
      </c>
      <c r="B188" s="17" t="s">
        <v>487</v>
      </c>
      <c r="C188" s="319" t="s">
        <v>488</v>
      </c>
      <c r="D188" s="319"/>
      <c r="E188" s="319"/>
      <c r="F188" s="16" t="s">
        <v>18</v>
      </c>
      <c r="G188" s="18">
        <v>0.111</v>
      </c>
      <c r="H188" s="52">
        <v>711414.77</v>
      </c>
      <c r="I188" s="19">
        <v>78967.039999999994</v>
      </c>
      <c r="J188" s="220">
        <f>I188*1.2</f>
        <v>94760.447999999989</v>
      </c>
      <c r="K188" s="19"/>
      <c r="L188" s="118"/>
      <c r="M188" s="269"/>
      <c r="BE188" s="14"/>
      <c r="BF188" s="15"/>
      <c r="BG188" s="21"/>
      <c r="BH188" s="42"/>
      <c r="BI188" s="12"/>
      <c r="BJ188" s="12"/>
    </row>
    <row r="189" spans="1:62" s="3" customFormat="1" ht="22.5" hidden="1" x14ac:dyDescent="0.25">
      <c r="A189" s="120" t="s">
        <v>75</v>
      </c>
      <c r="B189" s="37" t="s">
        <v>468</v>
      </c>
      <c r="C189" s="352" t="s">
        <v>469</v>
      </c>
      <c r="D189" s="352"/>
      <c r="E189" s="352"/>
      <c r="F189" s="38" t="s">
        <v>46</v>
      </c>
      <c r="G189" s="39" t="s">
        <v>33</v>
      </c>
      <c r="H189" s="39"/>
      <c r="I189" s="40"/>
      <c r="J189" s="222"/>
      <c r="K189" s="40"/>
      <c r="L189" s="121"/>
      <c r="M189" s="270"/>
      <c r="BE189" s="14"/>
      <c r="BF189" s="15"/>
      <c r="BG189" s="21"/>
      <c r="BH189" s="42"/>
      <c r="BI189" s="12"/>
      <c r="BJ189" s="12"/>
    </row>
    <row r="190" spans="1:62" s="3" customFormat="1" ht="15" customHeight="1" x14ac:dyDescent="0.25">
      <c r="A190" s="320" t="s">
        <v>488</v>
      </c>
      <c r="B190" s="321"/>
      <c r="C190" s="321"/>
      <c r="D190" s="321"/>
      <c r="E190" s="321"/>
      <c r="F190" s="321"/>
      <c r="G190" s="321"/>
      <c r="H190" s="111"/>
      <c r="I190" s="111"/>
      <c r="J190" s="219"/>
      <c r="K190" s="111"/>
      <c r="L190" s="117"/>
      <c r="M190" s="268"/>
      <c r="BE190" s="14"/>
      <c r="BF190" s="15"/>
      <c r="BG190" s="21"/>
      <c r="BH190" s="42"/>
      <c r="BI190" s="12"/>
      <c r="BJ190" s="12"/>
    </row>
    <row r="191" spans="1:62" s="3" customFormat="1" ht="15" x14ac:dyDescent="0.25">
      <c r="A191" s="74" t="s">
        <v>234</v>
      </c>
      <c r="B191" s="17" t="s">
        <v>487</v>
      </c>
      <c r="C191" s="319" t="s">
        <v>488</v>
      </c>
      <c r="D191" s="319"/>
      <c r="E191" s="319"/>
      <c r="F191" s="16" t="s">
        <v>18</v>
      </c>
      <c r="G191" s="18">
        <v>5.1669999999999998</v>
      </c>
      <c r="H191" s="52">
        <v>515513.74</v>
      </c>
      <c r="I191" s="19">
        <v>2663659.52</v>
      </c>
      <c r="J191" s="220">
        <f>I191*1.2</f>
        <v>3196391.4240000001</v>
      </c>
      <c r="K191" s="19"/>
      <c r="L191" s="118"/>
      <c r="M191" s="269"/>
      <c r="BE191" s="14"/>
      <c r="BF191" s="15"/>
      <c r="BG191" s="21"/>
      <c r="BH191" s="42"/>
      <c r="BI191" s="12"/>
      <c r="BJ191" s="12"/>
    </row>
    <row r="192" spans="1:62" s="3" customFormat="1" ht="22.5" hidden="1" x14ac:dyDescent="0.25">
      <c r="A192" s="120" t="s">
        <v>75</v>
      </c>
      <c r="B192" s="37" t="s">
        <v>468</v>
      </c>
      <c r="C192" s="352" t="s">
        <v>469</v>
      </c>
      <c r="D192" s="352"/>
      <c r="E192" s="352"/>
      <c r="F192" s="38" t="s">
        <v>46</v>
      </c>
      <c r="G192" s="39" t="s">
        <v>33</v>
      </c>
      <c r="H192" s="39"/>
      <c r="I192" s="40"/>
      <c r="J192" s="222"/>
      <c r="K192" s="40"/>
      <c r="L192" s="121"/>
      <c r="M192" s="270"/>
      <c r="BE192" s="14"/>
      <c r="BF192" s="15"/>
      <c r="BG192" s="21"/>
      <c r="BH192" s="42"/>
      <c r="BI192" s="12"/>
      <c r="BJ192" s="12"/>
    </row>
    <row r="193" spans="1:62" s="3" customFormat="1" ht="15" customHeight="1" x14ac:dyDescent="0.25">
      <c r="A193" s="320" t="s">
        <v>489</v>
      </c>
      <c r="B193" s="321"/>
      <c r="C193" s="321"/>
      <c r="D193" s="321"/>
      <c r="E193" s="321"/>
      <c r="F193" s="321"/>
      <c r="G193" s="321"/>
      <c r="H193" s="111"/>
      <c r="I193" s="111"/>
      <c r="J193" s="219"/>
      <c r="K193" s="111"/>
      <c r="L193" s="117"/>
      <c r="M193" s="268"/>
      <c r="BE193" s="14"/>
      <c r="BF193" s="15"/>
      <c r="BG193" s="21"/>
      <c r="BH193" s="42"/>
      <c r="BI193" s="12"/>
      <c r="BJ193" s="12"/>
    </row>
    <row r="194" spans="1:62" s="3" customFormat="1" ht="22.5" x14ac:dyDescent="0.25">
      <c r="A194" s="74" t="s">
        <v>240</v>
      </c>
      <c r="B194" s="17" t="s">
        <v>490</v>
      </c>
      <c r="C194" s="319" t="s">
        <v>491</v>
      </c>
      <c r="D194" s="319"/>
      <c r="E194" s="319"/>
      <c r="F194" s="16" t="s">
        <v>492</v>
      </c>
      <c r="G194" s="23">
        <v>26</v>
      </c>
      <c r="H194" s="52">
        <v>277282.76</v>
      </c>
      <c r="I194" s="19">
        <v>7209351.6799999997</v>
      </c>
      <c r="J194" s="220">
        <f>I194*1.2</f>
        <v>8651222.0159999989</v>
      </c>
      <c r="K194" s="19"/>
      <c r="L194" s="118"/>
      <c r="M194" s="269"/>
      <c r="BE194" s="14"/>
      <c r="BF194" s="15"/>
      <c r="BG194" s="21"/>
      <c r="BH194" s="42"/>
      <c r="BI194" s="12"/>
      <c r="BJ194" s="12"/>
    </row>
    <row r="195" spans="1:62" s="3" customFormat="1" ht="22.5" hidden="1" x14ac:dyDescent="0.25">
      <c r="A195" s="120" t="s">
        <v>75</v>
      </c>
      <c r="B195" s="37" t="s">
        <v>468</v>
      </c>
      <c r="C195" s="352" t="s">
        <v>469</v>
      </c>
      <c r="D195" s="352"/>
      <c r="E195" s="352"/>
      <c r="F195" s="38" t="s">
        <v>46</v>
      </c>
      <c r="G195" s="39" t="s">
        <v>33</v>
      </c>
      <c r="H195" s="39"/>
      <c r="I195" s="40"/>
      <c r="J195" s="222"/>
      <c r="K195" s="40"/>
      <c r="L195" s="121"/>
      <c r="M195" s="270"/>
      <c r="BE195" s="14"/>
      <c r="BF195" s="15"/>
      <c r="BG195" s="21"/>
      <c r="BH195" s="42"/>
      <c r="BI195" s="12"/>
      <c r="BJ195" s="12"/>
    </row>
    <row r="196" spans="1:62" s="3" customFormat="1" ht="24.75" customHeight="1" x14ac:dyDescent="0.25">
      <c r="A196" s="320" t="s">
        <v>493</v>
      </c>
      <c r="B196" s="321"/>
      <c r="C196" s="321"/>
      <c r="D196" s="321"/>
      <c r="E196" s="321"/>
      <c r="F196" s="321"/>
      <c r="G196" s="321"/>
      <c r="H196" s="111"/>
      <c r="I196" s="111"/>
      <c r="J196" s="219"/>
      <c r="K196" s="111"/>
      <c r="L196" s="117"/>
      <c r="M196" s="268"/>
      <c r="BE196" s="14"/>
      <c r="BF196" s="15"/>
      <c r="BG196" s="21"/>
      <c r="BH196" s="42"/>
      <c r="BI196" s="12"/>
      <c r="BJ196" s="12"/>
    </row>
    <row r="197" spans="1:62" s="3" customFormat="1" ht="22.5" x14ac:dyDescent="0.25">
      <c r="A197" s="74" t="s">
        <v>241</v>
      </c>
      <c r="B197" s="17" t="s">
        <v>494</v>
      </c>
      <c r="C197" s="319" t="s">
        <v>495</v>
      </c>
      <c r="D197" s="319"/>
      <c r="E197" s="319"/>
      <c r="F197" s="16" t="s">
        <v>492</v>
      </c>
      <c r="G197" s="23">
        <v>1</v>
      </c>
      <c r="H197" s="52">
        <v>495115.52000000002</v>
      </c>
      <c r="I197" s="19">
        <v>495115.52000000002</v>
      </c>
      <c r="J197" s="220">
        <f>I197*1.2</f>
        <v>594138.62399999995</v>
      </c>
      <c r="K197" s="19"/>
      <c r="L197" s="118"/>
      <c r="M197" s="269"/>
      <c r="BE197" s="14"/>
      <c r="BF197" s="15"/>
      <c r="BG197" s="21"/>
      <c r="BH197" s="42"/>
      <c r="BI197" s="12"/>
      <c r="BJ197" s="12"/>
    </row>
    <row r="198" spans="1:62" s="3" customFormat="1" ht="22.5" hidden="1" x14ac:dyDescent="0.25">
      <c r="A198" s="120" t="s">
        <v>75</v>
      </c>
      <c r="B198" s="37" t="s">
        <v>468</v>
      </c>
      <c r="C198" s="352" t="s">
        <v>469</v>
      </c>
      <c r="D198" s="352"/>
      <c r="E198" s="352"/>
      <c r="F198" s="38" t="s">
        <v>46</v>
      </c>
      <c r="G198" s="39" t="s">
        <v>33</v>
      </c>
      <c r="H198" s="39"/>
      <c r="I198" s="40"/>
      <c r="J198" s="222"/>
      <c r="K198" s="40"/>
      <c r="L198" s="121"/>
      <c r="M198" s="270"/>
      <c r="BE198" s="14"/>
      <c r="BF198" s="15"/>
      <c r="BG198" s="21"/>
      <c r="BH198" s="42"/>
      <c r="BI198" s="12"/>
      <c r="BJ198" s="12"/>
    </row>
    <row r="199" spans="1:62" s="3" customFormat="1" ht="15" customHeight="1" x14ac:dyDescent="0.25">
      <c r="A199" s="366" t="s">
        <v>496</v>
      </c>
      <c r="B199" s="354"/>
      <c r="C199" s="354"/>
      <c r="D199" s="354"/>
      <c r="E199" s="354"/>
      <c r="F199" s="89"/>
      <c r="G199" s="89"/>
      <c r="H199" s="137"/>
      <c r="I199" s="96"/>
      <c r="J199" s="218"/>
      <c r="K199" s="137"/>
      <c r="L199" s="116"/>
      <c r="M199" s="272"/>
      <c r="BE199" s="14"/>
      <c r="BF199" s="15"/>
      <c r="BG199" s="21"/>
      <c r="BH199" s="42"/>
      <c r="BI199" s="12"/>
      <c r="BJ199" s="12"/>
    </row>
    <row r="200" spans="1:62" s="3" customFormat="1" ht="15" customHeight="1" x14ac:dyDescent="0.25">
      <c r="A200" s="320" t="s">
        <v>497</v>
      </c>
      <c r="B200" s="321"/>
      <c r="C200" s="321"/>
      <c r="D200" s="321"/>
      <c r="E200" s="321"/>
      <c r="F200" s="321"/>
      <c r="G200" s="321"/>
      <c r="H200" s="111"/>
      <c r="I200" s="111"/>
      <c r="J200" s="219"/>
      <c r="K200" s="111"/>
      <c r="L200" s="117"/>
      <c r="M200" s="268"/>
      <c r="BE200" s="14"/>
      <c r="BF200" s="15"/>
      <c r="BG200" s="21"/>
      <c r="BH200" s="42"/>
      <c r="BI200" s="12"/>
      <c r="BJ200" s="12"/>
    </row>
    <row r="201" spans="1:62" s="3" customFormat="1" ht="15" customHeight="1" x14ac:dyDescent="0.25">
      <c r="A201" s="320" t="s">
        <v>498</v>
      </c>
      <c r="B201" s="321"/>
      <c r="C201" s="321"/>
      <c r="D201" s="321"/>
      <c r="E201" s="321"/>
      <c r="F201" s="321"/>
      <c r="G201" s="321"/>
      <c r="H201" s="111"/>
      <c r="I201" s="111"/>
      <c r="J201" s="219"/>
      <c r="K201" s="111"/>
      <c r="L201" s="117"/>
      <c r="M201" s="268"/>
      <c r="BE201" s="14"/>
      <c r="BF201" s="15"/>
      <c r="BG201" s="21"/>
      <c r="BH201" s="42"/>
      <c r="BI201" s="12"/>
      <c r="BJ201" s="12"/>
    </row>
    <row r="202" spans="1:62" s="3" customFormat="1" ht="15" x14ac:dyDescent="0.25">
      <c r="A202" s="74" t="s">
        <v>243</v>
      </c>
      <c r="B202" s="17" t="s">
        <v>499</v>
      </c>
      <c r="C202" s="319" t="s">
        <v>500</v>
      </c>
      <c r="D202" s="319"/>
      <c r="E202" s="319"/>
      <c r="F202" s="16" t="s">
        <v>38</v>
      </c>
      <c r="G202" s="23">
        <v>3</v>
      </c>
      <c r="H202" s="52">
        <v>246286.93</v>
      </c>
      <c r="I202" s="19">
        <v>738860.8</v>
      </c>
      <c r="J202" s="220">
        <f>I202*1.2</f>
        <v>886632.96000000008</v>
      </c>
      <c r="K202" s="19">
        <v>170000</v>
      </c>
      <c r="L202" s="118">
        <f>K202*3</f>
        <v>510000</v>
      </c>
      <c r="M202" s="269">
        <f>L202*1.2</f>
        <v>612000</v>
      </c>
      <c r="BE202" s="14"/>
      <c r="BF202" s="15"/>
      <c r="BG202" s="21"/>
      <c r="BH202" s="42"/>
      <c r="BI202" s="12"/>
      <c r="BJ202" s="12"/>
    </row>
    <row r="203" spans="1:62" s="3" customFormat="1" ht="22.5" x14ac:dyDescent="0.25">
      <c r="A203" s="77"/>
      <c r="B203" s="26" t="s">
        <v>431</v>
      </c>
      <c r="C203" s="338" t="s">
        <v>432</v>
      </c>
      <c r="D203" s="338"/>
      <c r="E203" s="338"/>
      <c r="F203" s="27" t="s">
        <v>67</v>
      </c>
      <c r="G203" s="22" t="s">
        <v>501</v>
      </c>
      <c r="H203" s="22"/>
      <c r="I203" s="28"/>
      <c r="J203" s="221"/>
      <c r="K203" s="28"/>
      <c r="L203" s="119"/>
      <c r="M203" s="271"/>
      <c r="BE203" s="14"/>
      <c r="BF203" s="15"/>
      <c r="BG203" s="21"/>
      <c r="BH203" s="42"/>
      <c r="BI203" s="12"/>
      <c r="BJ203" s="12"/>
    </row>
    <row r="204" spans="1:62" s="3" customFormat="1" ht="22.5" x14ac:dyDescent="0.25">
      <c r="A204" s="77"/>
      <c r="B204" s="26" t="s">
        <v>502</v>
      </c>
      <c r="C204" s="338" t="s">
        <v>503</v>
      </c>
      <c r="D204" s="338"/>
      <c r="E204" s="338"/>
      <c r="F204" s="27" t="s">
        <v>67</v>
      </c>
      <c r="G204" s="22" t="s">
        <v>504</v>
      </c>
      <c r="H204" s="22"/>
      <c r="I204" s="28"/>
      <c r="J204" s="221"/>
      <c r="K204" s="28"/>
      <c r="L204" s="119"/>
      <c r="M204" s="271"/>
      <c r="BE204" s="14"/>
      <c r="BF204" s="15"/>
      <c r="BG204" s="21"/>
      <c r="BH204" s="42"/>
      <c r="BI204" s="12"/>
      <c r="BJ204" s="12"/>
    </row>
    <row r="205" spans="1:62" s="3" customFormat="1" ht="22.5" x14ac:dyDescent="0.25">
      <c r="A205" s="77"/>
      <c r="B205" s="26" t="s">
        <v>505</v>
      </c>
      <c r="C205" s="338" t="s">
        <v>506</v>
      </c>
      <c r="D205" s="338"/>
      <c r="E205" s="338"/>
      <c r="F205" s="27" t="s">
        <v>67</v>
      </c>
      <c r="G205" s="22" t="s">
        <v>421</v>
      </c>
      <c r="H205" s="22"/>
      <c r="I205" s="28"/>
      <c r="J205" s="221"/>
      <c r="K205" s="28"/>
      <c r="L205" s="119"/>
      <c r="M205" s="271"/>
      <c r="BE205" s="14"/>
      <c r="BF205" s="15"/>
      <c r="BG205" s="21"/>
      <c r="BH205" s="42"/>
      <c r="BI205" s="12"/>
      <c r="BJ205" s="12"/>
    </row>
    <row r="206" spans="1:62" s="3" customFormat="1" ht="22.5" hidden="1" x14ac:dyDescent="0.25">
      <c r="A206" s="120" t="s">
        <v>140</v>
      </c>
      <c r="B206" s="37" t="s">
        <v>507</v>
      </c>
      <c r="C206" s="352" t="s">
        <v>508</v>
      </c>
      <c r="D206" s="352"/>
      <c r="E206" s="352"/>
      <c r="F206" s="38" t="s">
        <v>46</v>
      </c>
      <c r="G206" s="39" t="s">
        <v>509</v>
      </c>
      <c r="H206" s="39"/>
      <c r="I206" s="40"/>
      <c r="J206" s="222"/>
      <c r="K206" s="40"/>
      <c r="L206" s="121"/>
      <c r="M206" s="270"/>
      <c r="BE206" s="14"/>
      <c r="BF206" s="15"/>
      <c r="BG206" s="21"/>
      <c r="BH206" s="42"/>
      <c r="BI206" s="12"/>
      <c r="BJ206" s="12"/>
    </row>
    <row r="207" spans="1:62" s="3" customFormat="1" ht="22.5" x14ac:dyDescent="0.25">
      <c r="A207" s="77"/>
      <c r="B207" s="26" t="s">
        <v>510</v>
      </c>
      <c r="C207" s="338" t="s">
        <v>511</v>
      </c>
      <c r="D207" s="338"/>
      <c r="E207" s="338"/>
      <c r="F207" s="27" t="s">
        <v>67</v>
      </c>
      <c r="G207" s="22" t="s">
        <v>512</v>
      </c>
      <c r="H207" s="22"/>
      <c r="I207" s="28"/>
      <c r="J207" s="221"/>
      <c r="K207" s="28"/>
      <c r="L207" s="119"/>
      <c r="M207" s="271"/>
      <c r="BE207" s="14"/>
      <c r="BF207" s="15"/>
      <c r="BG207" s="21"/>
      <c r="BH207" s="42"/>
      <c r="BI207" s="12"/>
      <c r="BJ207" s="12"/>
    </row>
    <row r="208" spans="1:62" s="3" customFormat="1" ht="22.5" x14ac:dyDescent="0.25">
      <c r="A208" s="77"/>
      <c r="B208" s="26" t="s">
        <v>513</v>
      </c>
      <c r="C208" s="338" t="s">
        <v>514</v>
      </c>
      <c r="D208" s="338"/>
      <c r="E208" s="338"/>
      <c r="F208" s="27" t="s">
        <v>67</v>
      </c>
      <c r="G208" s="22" t="s">
        <v>421</v>
      </c>
      <c r="H208" s="22"/>
      <c r="I208" s="28"/>
      <c r="J208" s="221"/>
      <c r="K208" s="28"/>
      <c r="L208" s="119"/>
      <c r="M208" s="271"/>
      <c r="BE208" s="14"/>
      <c r="BF208" s="15"/>
      <c r="BG208" s="21"/>
      <c r="BH208" s="42"/>
      <c r="BI208" s="12"/>
      <c r="BJ208" s="12"/>
    </row>
    <row r="209" spans="1:62" s="3" customFormat="1" ht="22.5" x14ac:dyDescent="0.25">
      <c r="A209" s="77"/>
      <c r="B209" s="26" t="s">
        <v>515</v>
      </c>
      <c r="C209" s="338" t="s">
        <v>516</v>
      </c>
      <c r="D209" s="338"/>
      <c r="E209" s="338"/>
      <c r="F209" s="27" t="s">
        <v>46</v>
      </c>
      <c r="G209" s="22" t="s">
        <v>517</v>
      </c>
      <c r="H209" s="22"/>
      <c r="I209" s="28"/>
      <c r="J209" s="221"/>
      <c r="K209" s="28"/>
      <c r="L209" s="119"/>
      <c r="M209" s="271"/>
      <c r="BE209" s="14"/>
      <c r="BF209" s="15"/>
      <c r="BG209" s="21"/>
      <c r="BH209" s="42"/>
      <c r="BI209" s="12"/>
      <c r="BJ209" s="12"/>
    </row>
    <row r="210" spans="1:62" s="3" customFormat="1" ht="22.5" x14ac:dyDescent="0.25">
      <c r="A210" s="77"/>
      <c r="B210" s="26" t="s">
        <v>285</v>
      </c>
      <c r="C210" s="338" t="s">
        <v>286</v>
      </c>
      <c r="D210" s="338"/>
      <c r="E210" s="338"/>
      <c r="F210" s="27" t="s">
        <v>72</v>
      </c>
      <c r="G210" s="22" t="s">
        <v>422</v>
      </c>
      <c r="H210" s="22"/>
      <c r="I210" s="28"/>
      <c r="J210" s="221"/>
      <c r="K210" s="28"/>
      <c r="L210" s="119"/>
      <c r="M210" s="271"/>
      <c r="BE210" s="14"/>
      <c r="BF210" s="15"/>
      <c r="BG210" s="21"/>
      <c r="BH210" s="42"/>
      <c r="BI210" s="12"/>
      <c r="BJ210" s="12"/>
    </row>
    <row r="211" spans="1:62" s="3" customFormat="1" ht="22.5" x14ac:dyDescent="0.25">
      <c r="A211" s="77"/>
      <c r="B211" s="26" t="s">
        <v>518</v>
      </c>
      <c r="C211" s="338" t="s">
        <v>519</v>
      </c>
      <c r="D211" s="338"/>
      <c r="E211" s="338"/>
      <c r="F211" s="27" t="s">
        <v>67</v>
      </c>
      <c r="G211" s="22" t="s">
        <v>501</v>
      </c>
      <c r="H211" s="22"/>
      <c r="I211" s="28"/>
      <c r="J211" s="221"/>
      <c r="K211" s="28"/>
      <c r="L211" s="119"/>
      <c r="M211" s="271"/>
      <c r="BE211" s="14"/>
      <c r="BF211" s="15"/>
      <c r="BG211" s="21"/>
      <c r="BH211" s="42"/>
      <c r="BI211" s="12"/>
      <c r="BJ211" s="12"/>
    </row>
    <row r="212" spans="1:62" s="3" customFormat="1" ht="22.5" x14ac:dyDescent="0.25">
      <c r="A212" s="77"/>
      <c r="B212" s="26" t="s">
        <v>520</v>
      </c>
      <c r="C212" s="338" t="s">
        <v>521</v>
      </c>
      <c r="D212" s="338"/>
      <c r="E212" s="338"/>
      <c r="F212" s="27" t="s">
        <v>38</v>
      </c>
      <c r="G212" s="22" t="s">
        <v>522</v>
      </c>
      <c r="H212" s="22"/>
      <c r="I212" s="28"/>
      <c r="J212" s="221"/>
      <c r="K212" s="28"/>
      <c r="L212" s="119"/>
      <c r="M212" s="271"/>
      <c r="BE212" s="14"/>
      <c r="BF212" s="15"/>
      <c r="BG212" s="21"/>
      <c r="BH212" s="42"/>
      <c r="BI212" s="12"/>
      <c r="BJ212" s="12"/>
    </row>
    <row r="213" spans="1:62" s="3" customFormat="1" ht="22.5" x14ac:dyDescent="0.25">
      <c r="A213" s="77"/>
      <c r="B213" s="26" t="s">
        <v>441</v>
      </c>
      <c r="C213" s="338" t="s">
        <v>442</v>
      </c>
      <c r="D213" s="338"/>
      <c r="E213" s="338"/>
      <c r="F213" s="27" t="s">
        <v>67</v>
      </c>
      <c r="G213" s="22" t="s">
        <v>523</v>
      </c>
      <c r="H213" s="22"/>
      <c r="I213" s="28"/>
      <c r="J213" s="221"/>
      <c r="K213" s="28"/>
      <c r="L213" s="119"/>
      <c r="M213" s="271"/>
      <c r="BE213" s="14"/>
      <c r="BF213" s="15"/>
      <c r="BG213" s="21"/>
      <c r="BH213" s="42"/>
      <c r="BI213" s="12"/>
      <c r="BJ213" s="12"/>
    </row>
    <row r="214" spans="1:62" s="3" customFormat="1" ht="22.5" x14ac:dyDescent="0.25">
      <c r="A214" s="77"/>
      <c r="B214" s="26" t="s">
        <v>524</v>
      </c>
      <c r="C214" s="338" t="s">
        <v>525</v>
      </c>
      <c r="D214" s="338"/>
      <c r="E214" s="338"/>
      <c r="F214" s="27" t="s">
        <v>67</v>
      </c>
      <c r="G214" s="22" t="s">
        <v>421</v>
      </c>
      <c r="H214" s="22"/>
      <c r="I214" s="28"/>
      <c r="J214" s="221"/>
      <c r="K214" s="28"/>
      <c r="L214" s="119"/>
      <c r="M214" s="271"/>
      <c r="BE214" s="14"/>
      <c r="BF214" s="15"/>
      <c r="BG214" s="21"/>
      <c r="BH214" s="42"/>
      <c r="BI214" s="12"/>
      <c r="BJ214" s="12"/>
    </row>
    <row r="215" spans="1:62" s="3" customFormat="1" ht="22.5" x14ac:dyDescent="0.25">
      <c r="A215" s="77"/>
      <c r="B215" s="26" t="s">
        <v>526</v>
      </c>
      <c r="C215" s="338" t="s">
        <v>527</v>
      </c>
      <c r="D215" s="338"/>
      <c r="E215" s="338"/>
      <c r="F215" s="27" t="s">
        <v>67</v>
      </c>
      <c r="G215" s="22" t="s">
        <v>528</v>
      </c>
      <c r="H215" s="22"/>
      <c r="I215" s="28"/>
      <c r="J215" s="221"/>
      <c r="K215" s="28"/>
      <c r="L215" s="119"/>
      <c r="M215" s="271"/>
      <c r="BE215" s="14"/>
      <c r="BF215" s="15"/>
      <c r="BG215" s="21"/>
      <c r="BH215" s="42"/>
      <c r="BI215" s="12"/>
      <c r="BJ215" s="12"/>
    </row>
    <row r="216" spans="1:62" s="3" customFormat="1" ht="22.5" x14ac:dyDescent="0.25">
      <c r="A216" s="77"/>
      <c r="B216" s="26" t="s">
        <v>529</v>
      </c>
      <c r="C216" s="338" t="s">
        <v>530</v>
      </c>
      <c r="D216" s="338"/>
      <c r="E216" s="338"/>
      <c r="F216" s="27" t="s">
        <v>67</v>
      </c>
      <c r="G216" s="22" t="s">
        <v>531</v>
      </c>
      <c r="H216" s="22"/>
      <c r="I216" s="28"/>
      <c r="J216" s="221"/>
      <c r="K216" s="28"/>
      <c r="L216" s="119"/>
      <c r="M216" s="271"/>
      <c r="BE216" s="14"/>
      <c r="BF216" s="15"/>
      <c r="BG216" s="21"/>
      <c r="BH216" s="42"/>
      <c r="BI216" s="12"/>
      <c r="BJ216" s="12"/>
    </row>
    <row r="217" spans="1:62" s="3" customFormat="1" ht="22.5" x14ac:dyDescent="0.25">
      <c r="A217" s="77"/>
      <c r="B217" s="26" t="s">
        <v>532</v>
      </c>
      <c r="C217" s="338" t="s">
        <v>533</v>
      </c>
      <c r="D217" s="338"/>
      <c r="E217" s="338"/>
      <c r="F217" s="27" t="s">
        <v>67</v>
      </c>
      <c r="G217" s="22" t="s">
        <v>534</v>
      </c>
      <c r="H217" s="22"/>
      <c r="I217" s="28"/>
      <c r="J217" s="221"/>
      <c r="K217" s="28"/>
      <c r="L217" s="119"/>
      <c r="M217" s="271"/>
      <c r="BE217" s="14"/>
      <c r="BF217" s="15"/>
      <c r="BG217" s="21"/>
      <c r="BH217" s="42"/>
      <c r="BI217" s="12"/>
      <c r="BJ217" s="12"/>
    </row>
    <row r="218" spans="1:62" s="3" customFormat="1" ht="22.5" x14ac:dyDescent="0.25">
      <c r="A218" s="77" t="s">
        <v>126</v>
      </c>
      <c r="B218" s="26" t="s">
        <v>146</v>
      </c>
      <c r="C218" s="338" t="s">
        <v>45</v>
      </c>
      <c r="D218" s="338"/>
      <c r="E218" s="338"/>
      <c r="F218" s="27" t="s">
        <v>46</v>
      </c>
      <c r="G218" s="22" t="s">
        <v>509</v>
      </c>
      <c r="H218" s="22"/>
      <c r="I218" s="28"/>
      <c r="J218" s="221"/>
      <c r="K218" s="28"/>
      <c r="L218" s="119"/>
      <c r="M218" s="271"/>
      <c r="BE218" s="14"/>
      <c r="BF218" s="15"/>
      <c r="BG218" s="21"/>
      <c r="BH218" s="42"/>
      <c r="BI218" s="12"/>
      <c r="BJ218" s="12"/>
    </row>
    <row r="219" spans="1:62" s="3" customFormat="1" ht="20.25" customHeight="1" x14ac:dyDescent="0.25">
      <c r="A219" s="320" t="s">
        <v>535</v>
      </c>
      <c r="B219" s="321"/>
      <c r="C219" s="321"/>
      <c r="D219" s="321"/>
      <c r="E219" s="321"/>
      <c r="F219" s="321"/>
      <c r="G219" s="321"/>
      <c r="H219" s="111"/>
      <c r="I219" s="111"/>
      <c r="J219" s="219"/>
      <c r="K219" s="111"/>
      <c r="L219" s="117"/>
      <c r="M219" s="268"/>
      <c r="BE219" s="14"/>
      <c r="BF219" s="15"/>
      <c r="BG219" s="21"/>
      <c r="BH219" s="42"/>
      <c r="BI219" s="12"/>
      <c r="BJ219" s="12"/>
    </row>
    <row r="220" spans="1:62" s="3" customFormat="1" ht="22.5" customHeight="1" x14ac:dyDescent="0.25">
      <c r="A220" s="74" t="s">
        <v>244</v>
      </c>
      <c r="B220" s="17" t="s">
        <v>536</v>
      </c>
      <c r="C220" s="319" t="s">
        <v>537</v>
      </c>
      <c r="D220" s="319"/>
      <c r="E220" s="319"/>
      <c r="F220" s="16" t="s">
        <v>538</v>
      </c>
      <c r="G220" s="24">
        <v>0.4</v>
      </c>
      <c r="H220" s="52">
        <v>206707.20000000001</v>
      </c>
      <c r="I220" s="19">
        <v>82682.880000000005</v>
      </c>
      <c r="J220" s="220">
        <f>I220*1.2</f>
        <v>99219.456000000006</v>
      </c>
      <c r="K220" s="19"/>
      <c r="L220" s="118"/>
      <c r="M220" s="269"/>
      <c r="BE220" s="14"/>
      <c r="BF220" s="15"/>
      <c r="BG220" s="21"/>
      <c r="BH220" s="42"/>
      <c r="BI220" s="12"/>
      <c r="BJ220" s="12"/>
    </row>
    <row r="221" spans="1:62" s="3" customFormat="1" ht="22.5" x14ac:dyDescent="0.25">
      <c r="A221" s="77"/>
      <c r="B221" s="26" t="s">
        <v>539</v>
      </c>
      <c r="C221" s="338" t="s">
        <v>540</v>
      </c>
      <c r="D221" s="338"/>
      <c r="E221" s="338"/>
      <c r="F221" s="27" t="s">
        <v>67</v>
      </c>
      <c r="G221" s="22" t="s">
        <v>541</v>
      </c>
      <c r="H221" s="22"/>
      <c r="I221" s="28"/>
      <c r="J221" s="221"/>
      <c r="K221" s="28"/>
      <c r="L221" s="119"/>
      <c r="M221" s="271"/>
      <c r="BE221" s="14"/>
      <c r="BF221" s="15"/>
      <c r="BG221" s="21"/>
      <c r="BH221" s="42"/>
      <c r="BI221" s="12"/>
      <c r="BJ221" s="12"/>
    </row>
    <row r="222" spans="1:62" s="3" customFormat="1" ht="22.5" x14ac:dyDescent="0.25">
      <c r="A222" s="77"/>
      <c r="B222" s="26" t="s">
        <v>505</v>
      </c>
      <c r="C222" s="338" t="s">
        <v>506</v>
      </c>
      <c r="D222" s="338"/>
      <c r="E222" s="338"/>
      <c r="F222" s="27" t="s">
        <v>67</v>
      </c>
      <c r="G222" s="22" t="s">
        <v>542</v>
      </c>
      <c r="H222" s="22"/>
      <c r="I222" s="28"/>
      <c r="J222" s="221"/>
      <c r="K222" s="28"/>
      <c r="L222" s="119"/>
      <c r="M222" s="271"/>
      <c r="BE222" s="14"/>
      <c r="BF222" s="15"/>
      <c r="BG222" s="21"/>
      <c r="BH222" s="42"/>
      <c r="BI222" s="12"/>
      <c r="BJ222" s="12"/>
    </row>
    <row r="223" spans="1:62" s="3" customFormat="1" ht="22.5" hidden="1" x14ac:dyDescent="0.25">
      <c r="A223" s="120" t="s">
        <v>140</v>
      </c>
      <c r="B223" s="37" t="s">
        <v>76</v>
      </c>
      <c r="C223" s="352" t="s">
        <v>247</v>
      </c>
      <c r="D223" s="352"/>
      <c r="E223" s="352"/>
      <c r="F223" s="38" t="s">
        <v>46</v>
      </c>
      <c r="G223" s="39" t="s">
        <v>543</v>
      </c>
      <c r="H223" s="39"/>
      <c r="I223" s="40"/>
      <c r="J223" s="222"/>
      <c r="K223" s="40"/>
      <c r="L223" s="121"/>
      <c r="M223" s="270"/>
      <c r="BE223" s="14"/>
      <c r="BF223" s="15"/>
      <c r="BG223" s="21"/>
      <c r="BH223" s="42"/>
      <c r="BI223" s="12"/>
      <c r="BJ223" s="12"/>
    </row>
    <row r="224" spans="1:62" s="3" customFormat="1" ht="22.5" hidden="1" x14ac:dyDescent="0.25">
      <c r="A224" s="120" t="s">
        <v>75</v>
      </c>
      <c r="B224" s="37" t="s">
        <v>434</v>
      </c>
      <c r="C224" s="352" t="s">
        <v>83</v>
      </c>
      <c r="D224" s="352"/>
      <c r="E224" s="352"/>
      <c r="F224" s="38" t="s">
        <v>46</v>
      </c>
      <c r="G224" s="39" t="s">
        <v>33</v>
      </c>
      <c r="H224" s="39"/>
      <c r="I224" s="40"/>
      <c r="J224" s="222"/>
      <c r="K224" s="40"/>
      <c r="L224" s="121"/>
      <c r="M224" s="270"/>
      <c r="BE224" s="14"/>
      <c r="BF224" s="15"/>
      <c r="BG224" s="21"/>
      <c r="BH224" s="42"/>
      <c r="BI224" s="12"/>
      <c r="BJ224" s="12"/>
    </row>
    <row r="225" spans="1:62" s="3" customFormat="1" ht="22.5" x14ac:dyDescent="0.25">
      <c r="A225" s="77"/>
      <c r="B225" s="26" t="s">
        <v>544</v>
      </c>
      <c r="C225" s="338" t="s">
        <v>545</v>
      </c>
      <c r="D225" s="338"/>
      <c r="E225" s="338"/>
      <c r="F225" s="27" t="s">
        <v>67</v>
      </c>
      <c r="G225" s="22" t="s">
        <v>546</v>
      </c>
      <c r="H225" s="22"/>
      <c r="I225" s="28"/>
      <c r="J225" s="221"/>
      <c r="K225" s="28"/>
      <c r="L225" s="119"/>
      <c r="M225" s="271"/>
      <c r="BE225" s="14"/>
      <c r="BF225" s="15"/>
      <c r="BG225" s="21"/>
      <c r="BH225" s="42"/>
      <c r="BI225" s="12"/>
      <c r="BJ225" s="12"/>
    </row>
    <row r="226" spans="1:62" s="3" customFormat="1" ht="22.5" x14ac:dyDescent="0.25">
      <c r="A226" s="77"/>
      <c r="B226" s="26" t="s">
        <v>518</v>
      </c>
      <c r="C226" s="338" t="s">
        <v>519</v>
      </c>
      <c r="D226" s="338"/>
      <c r="E226" s="338"/>
      <c r="F226" s="27" t="s">
        <v>67</v>
      </c>
      <c r="G226" s="22" t="s">
        <v>547</v>
      </c>
      <c r="H226" s="22"/>
      <c r="I226" s="28"/>
      <c r="J226" s="221"/>
      <c r="K226" s="28"/>
      <c r="L226" s="119"/>
      <c r="M226" s="271"/>
      <c r="BE226" s="14"/>
      <c r="BF226" s="15"/>
      <c r="BG226" s="21"/>
      <c r="BH226" s="42"/>
      <c r="BI226" s="12"/>
      <c r="BJ226" s="12"/>
    </row>
    <row r="227" spans="1:62" s="3" customFormat="1" ht="22.5" hidden="1" x14ac:dyDescent="0.25">
      <c r="A227" s="120" t="s">
        <v>140</v>
      </c>
      <c r="B227" s="37" t="s">
        <v>387</v>
      </c>
      <c r="C227" s="352" t="s">
        <v>388</v>
      </c>
      <c r="D227" s="352"/>
      <c r="E227" s="352"/>
      <c r="F227" s="38" t="s">
        <v>139</v>
      </c>
      <c r="G227" s="39" t="s">
        <v>548</v>
      </c>
      <c r="H227" s="39"/>
      <c r="I227" s="40"/>
      <c r="J227" s="222"/>
      <c r="K227" s="40"/>
      <c r="L227" s="121"/>
      <c r="M227" s="270"/>
      <c r="BE227" s="14"/>
      <c r="BF227" s="15"/>
      <c r="BG227" s="21"/>
      <c r="BH227" s="42"/>
      <c r="BI227" s="12"/>
      <c r="BJ227" s="12"/>
    </row>
    <row r="228" spans="1:62" s="3" customFormat="1" ht="22.5" x14ac:dyDescent="0.25">
      <c r="A228" s="77" t="s">
        <v>126</v>
      </c>
      <c r="B228" s="26" t="s">
        <v>549</v>
      </c>
      <c r="C228" s="338" t="s">
        <v>550</v>
      </c>
      <c r="D228" s="338"/>
      <c r="E228" s="338"/>
      <c r="F228" s="27" t="s">
        <v>139</v>
      </c>
      <c r="G228" s="22" t="s">
        <v>551</v>
      </c>
      <c r="H228" s="22"/>
      <c r="I228" s="28"/>
      <c r="J228" s="221"/>
      <c r="K228" s="28">
        <v>2653</v>
      </c>
      <c r="L228" s="119">
        <v>2653</v>
      </c>
      <c r="M228" s="271">
        <f>L228*1.2</f>
        <v>3183.6</v>
      </c>
      <c r="BE228" s="14"/>
      <c r="BF228" s="15"/>
      <c r="BG228" s="21"/>
      <c r="BH228" s="42"/>
      <c r="BI228" s="12"/>
      <c r="BJ228" s="12"/>
    </row>
    <row r="229" spans="1:62" s="3" customFormat="1" ht="22.5" x14ac:dyDescent="0.25">
      <c r="A229" s="77" t="s">
        <v>126</v>
      </c>
      <c r="B229" s="26" t="s">
        <v>552</v>
      </c>
      <c r="C229" s="338" t="s">
        <v>553</v>
      </c>
      <c r="D229" s="338"/>
      <c r="E229" s="338"/>
      <c r="F229" s="27" t="s">
        <v>139</v>
      </c>
      <c r="G229" s="22" t="s">
        <v>554</v>
      </c>
      <c r="H229" s="22"/>
      <c r="I229" s="28"/>
      <c r="J229" s="221"/>
      <c r="K229" s="28">
        <v>987</v>
      </c>
      <c r="L229" s="119">
        <f>K229*3</f>
        <v>2961</v>
      </c>
      <c r="M229" s="271">
        <f>L229*1.2</f>
        <v>3553.2</v>
      </c>
      <c r="BE229" s="14"/>
      <c r="BF229" s="15"/>
      <c r="BG229" s="21"/>
      <c r="BH229" s="42"/>
      <c r="BI229" s="12"/>
      <c r="BJ229" s="12"/>
    </row>
    <row r="230" spans="1:62" s="3" customFormat="1" ht="15" customHeight="1" x14ac:dyDescent="0.25">
      <c r="A230" s="320" t="s">
        <v>555</v>
      </c>
      <c r="B230" s="321"/>
      <c r="C230" s="321"/>
      <c r="D230" s="321"/>
      <c r="E230" s="321"/>
      <c r="F230" s="321"/>
      <c r="G230" s="321"/>
      <c r="H230" s="111"/>
      <c r="I230" s="111"/>
      <c r="J230" s="219"/>
      <c r="K230" s="111"/>
      <c r="L230" s="117"/>
      <c r="M230" s="268"/>
      <c r="BE230" s="14"/>
      <c r="BF230" s="15"/>
      <c r="BG230" s="21"/>
      <c r="BH230" s="42"/>
      <c r="BI230" s="12"/>
      <c r="BJ230" s="12"/>
    </row>
    <row r="231" spans="1:62" s="3" customFormat="1" ht="15" x14ac:dyDescent="0.25">
      <c r="A231" s="74" t="s">
        <v>257</v>
      </c>
      <c r="B231" s="17" t="s">
        <v>556</v>
      </c>
      <c r="C231" s="319" t="s">
        <v>557</v>
      </c>
      <c r="D231" s="319"/>
      <c r="E231" s="319"/>
      <c r="F231" s="16" t="s">
        <v>139</v>
      </c>
      <c r="G231" s="31">
        <v>0.28000000000000003</v>
      </c>
      <c r="H231" s="52">
        <v>202656</v>
      </c>
      <c r="I231" s="19">
        <v>56743.68</v>
      </c>
      <c r="J231" s="220">
        <f>I231*1.2</f>
        <v>68092.415999999997</v>
      </c>
      <c r="K231" s="19"/>
      <c r="L231" s="118"/>
      <c r="M231" s="269"/>
      <c r="BE231" s="14"/>
      <c r="BF231" s="15"/>
      <c r="BG231" s="21"/>
      <c r="BH231" s="42"/>
      <c r="BI231" s="12"/>
      <c r="BJ231" s="12"/>
    </row>
    <row r="232" spans="1:62" s="3" customFormat="1" ht="22.5" hidden="1" x14ac:dyDescent="0.25">
      <c r="A232" s="120" t="s">
        <v>75</v>
      </c>
      <c r="B232" s="37" t="s">
        <v>434</v>
      </c>
      <c r="C232" s="352" t="s">
        <v>435</v>
      </c>
      <c r="D232" s="352"/>
      <c r="E232" s="352"/>
      <c r="F232" s="38" t="s">
        <v>46</v>
      </c>
      <c r="G232" s="39" t="s">
        <v>33</v>
      </c>
      <c r="H232" s="39"/>
      <c r="I232" s="40"/>
      <c r="J232" s="222"/>
      <c r="K232" s="40"/>
      <c r="L232" s="121"/>
      <c r="M232" s="270"/>
      <c r="BE232" s="14"/>
      <c r="BF232" s="15"/>
      <c r="BG232" s="21"/>
      <c r="BH232" s="42"/>
      <c r="BI232" s="12"/>
      <c r="BJ232" s="12"/>
    </row>
    <row r="233" spans="1:62" s="3" customFormat="1" ht="22.5" x14ac:dyDescent="0.25">
      <c r="A233" s="77"/>
      <c r="B233" s="26" t="s">
        <v>558</v>
      </c>
      <c r="C233" s="338" t="s">
        <v>559</v>
      </c>
      <c r="D233" s="338"/>
      <c r="E233" s="338"/>
      <c r="F233" s="27" t="s">
        <v>72</v>
      </c>
      <c r="G233" s="22" t="s">
        <v>560</v>
      </c>
      <c r="H233" s="22"/>
      <c r="I233" s="28"/>
      <c r="J233" s="221"/>
      <c r="K233" s="28"/>
      <c r="L233" s="119"/>
      <c r="M233" s="271"/>
      <c r="BE233" s="14"/>
      <c r="BF233" s="15"/>
      <c r="BG233" s="21"/>
      <c r="BH233" s="42"/>
      <c r="BI233" s="12"/>
      <c r="BJ233" s="12"/>
    </row>
    <row r="234" spans="1:62" s="3" customFormat="1" ht="22.5" x14ac:dyDescent="0.25">
      <c r="A234" s="77"/>
      <c r="B234" s="26" t="s">
        <v>561</v>
      </c>
      <c r="C234" s="338" t="s">
        <v>562</v>
      </c>
      <c r="D234" s="338"/>
      <c r="E234" s="338"/>
      <c r="F234" s="27" t="s">
        <v>67</v>
      </c>
      <c r="G234" s="22" t="s">
        <v>563</v>
      </c>
      <c r="H234" s="22"/>
      <c r="I234" s="28"/>
      <c r="J234" s="221"/>
      <c r="K234" s="28"/>
      <c r="L234" s="119"/>
      <c r="M234" s="271"/>
      <c r="BE234" s="14"/>
      <c r="BF234" s="15"/>
      <c r="BG234" s="21"/>
      <c r="BH234" s="42"/>
      <c r="BI234" s="12"/>
      <c r="BJ234" s="12"/>
    </row>
    <row r="235" spans="1:62" s="3" customFormat="1" ht="22.5" x14ac:dyDescent="0.25">
      <c r="A235" s="77"/>
      <c r="B235" s="26" t="s">
        <v>253</v>
      </c>
      <c r="C235" s="338" t="s">
        <v>254</v>
      </c>
      <c r="D235" s="338"/>
      <c r="E235" s="338"/>
      <c r="F235" s="27" t="s">
        <v>67</v>
      </c>
      <c r="G235" s="22" t="s">
        <v>564</v>
      </c>
      <c r="H235" s="22"/>
      <c r="I235" s="28"/>
      <c r="J235" s="221"/>
      <c r="K235" s="28"/>
      <c r="L235" s="119"/>
      <c r="M235" s="271"/>
      <c r="BE235" s="14"/>
      <c r="BF235" s="15"/>
      <c r="BG235" s="21"/>
      <c r="BH235" s="42"/>
      <c r="BI235" s="12"/>
      <c r="BJ235" s="12"/>
    </row>
    <row r="236" spans="1:62" s="3" customFormat="1" ht="22.5" x14ac:dyDescent="0.25">
      <c r="A236" s="77"/>
      <c r="B236" s="26" t="s">
        <v>565</v>
      </c>
      <c r="C236" s="338" t="s">
        <v>566</v>
      </c>
      <c r="D236" s="338"/>
      <c r="E236" s="338"/>
      <c r="F236" s="27" t="s">
        <v>67</v>
      </c>
      <c r="G236" s="22" t="s">
        <v>567</v>
      </c>
      <c r="H236" s="22"/>
      <c r="I236" s="28"/>
      <c r="J236" s="221"/>
      <c r="K236" s="28"/>
      <c r="L236" s="119"/>
      <c r="M236" s="271"/>
      <c r="BE236" s="14"/>
      <c r="BF236" s="15"/>
      <c r="BG236" s="21"/>
      <c r="BH236" s="42"/>
      <c r="BI236" s="12"/>
      <c r="BJ236" s="12"/>
    </row>
    <row r="237" spans="1:62" s="3" customFormat="1" ht="22.5" x14ac:dyDescent="0.25">
      <c r="A237" s="77" t="s">
        <v>126</v>
      </c>
      <c r="B237" s="26" t="s">
        <v>568</v>
      </c>
      <c r="C237" s="338" t="s">
        <v>569</v>
      </c>
      <c r="D237" s="338"/>
      <c r="E237" s="338"/>
      <c r="F237" s="27" t="s">
        <v>38</v>
      </c>
      <c r="G237" s="22" t="s">
        <v>570</v>
      </c>
      <c r="H237" s="22"/>
      <c r="I237" s="28"/>
      <c r="J237" s="221"/>
      <c r="K237" s="28">
        <v>1250</v>
      </c>
      <c r="L237" s="119">
        <f>K237*28</f>
        <v>35000</v>
      </c>
      <c r="M237" s="271">
        <f>L237*1.2</f>
        <v>42000</v>
      </c>
      <c r="BE237" s="14"/>
      <c r="BF237" s="15"/>
      <c r="BG237" s="21"/>
      <c r="BH237" s="42"/>
      <c r="BI237" s="12"/>
      <c r="BJ237" s="12"/>
    </row>
    <row r="238" spans="1:62" s="3" customFormat="1" ht="15" customHeight="1" x14ac:dyDescent="0.25">
      <c r="A238" s="320" t="s">
        <v>571</v>
      </c>
      <c r="B238" s="321"/>
      <c r="C238" s="321"/>
      <c r="D238" s="321"/>
      <c r="E238" s="321"/>
      <c r="F238" s="321"/>
      <c r="G238" s="321"/>
      <c r="H238" s="111"/>
      <c r="I238" s="111"/>
      <c r="J238" s="219"/>
      <c r="K238" s="111"/>
      <c r="L238" s="117"/>
      <c r="M238" s="268"/>
      <c r="BE238" s="14"/>
      <c r="BF238" s="15"/>
      <c r="BG238" s="21"/>
      <c r="BH238" s="42"/>
      <c r="BI238" s="12"/>
      <c r="BJ238" s="12"/>
    </row>
    <row r="239" spans="1:62" s="3" customFormat="1" ht="25.5" customHeight="1" x14ac:dyDescent="0.25">
      <c r="A239" s="74" t="s">
        <v>258</v>
      </c>
      <c r="B239" s="17" t="s">
        <v>572</v>
      </c>
      <c r="C239" s="319" t="s">
        <v>573</v>
      </c>
      <c r="D239" s="319"/>
      <c r="E239" s="319"/>
      <c r="F239" s="16" t="s">
        <v>30</v>
      </c>
      <c r="G239" s="24">
        <v>0.1</v>
      </c>
      <c r="H239" s="52">
        <v>359872</v>
      </c>
      <c r="I239" s="19">
        <v>35987.199999999997</v>
      </c>
      <c r="J239" s="220">
        <f>I239*1.2</f>
        <v>43184.639999999992</v>
      </c>
      <c r="K239" s="19"/>
      <c r="L239" s="118"/>
      <c r="M239" s="269"/>
      <c r="BE239" s="14"/>
      <c r="BF239" s="15"/>
      <c r="BG239" s="21"/>
      <c r="BH239" s="42"/>
      <c r="BI239" s="12"/>
      <c r="BJ239" s="12"/>
    </row>
    <row r="240" spans="1:62" s="3" customFormat="1" ht="22.5" x14ac:dyDescent="0.25">
      <c r="A240" s="77"/>
      <c r="B240" s="26" t="s">
        <v>574</v>
      </c>
      <c r="C240" s="338" t="s">
        <v>575</v>
      </c>
      <c r="D240" s="338"/>
      <c r="E240" s="338"/>
      <c r="F240" s="27" t="s">
        <v>67</v>
      </c>
      <c r="G240" s="22" t="s">
        <v>576</v>
      </c>
      <c r="H240" s="22"/>
      <c r="I240" s="28"/>
      <c r="J240" s="221"/>
      <c r="K240" s="28"/>
      <c r="L240" s="119"/>
      <c r="M240" s="271"/>
      <c r="BE240" s="14"/>
      <c r="BF240" s="15"/>
      <c r="BG240" s="21"/>
      <c r="BH240" s="42"/>
      <c r="BI240" s="12"/>
      <c r="BJ240" s="12"/>
    </row>
    <row r="241" spans="1:65" s="3" customFormat="1" ht="22.5" x14ac:dyDescent="0.25">
      <c r="A241" s="77"/>
      <c r="B241" s="26" t="s">
        <v>439</v>
      </c>
      <c r="C241" s="338" t="s">
        <v>440</v>
      </c>
      <c r="D241" s="338"/>
      <c r="E241" s="338"/>
      <c r="F241" s="27" t="s">
        <v>38</v>
      </c>
      <c r="G241" s="22" t="s">
        <v>577</v>
      </c>
      <c r="H241" s="22"/>
      <c r="I241" s="28"/>
      <c r="J241" s="221"/>
      <c r="K241" s="28"/>
      <c r="L241" s="119"/>
      <c r="M241" s="271"/>
      <c r="BE241" s="14"/>
      <c r="BF241" s="15"/>
      <c r="BG241" s="21"/>
      <c r="BH241" s="42"/>
      <c r="BI241" s="12"/>
      <c r="BJ241" s="12"/>
    </row>
    <row r="242" spans="1:65" s="3" customFormat="1" ht="22.5" x14ac:dyDescent="0.25">
      <c r="A242" s="77"/>
      <c r="B242" s="26" t="s">
        <v>31</v>
      </c>
      <c r="C242" s="338" t="s">
        <v>32</v>
      </c>
      <c r="D242" s="338"/>
      <c r="E242" s="338"/>
      <c r="F242" s="27" t="s">
        <v>25</v>
      </c>
      <c r="G242" s="22" t="s">
        <v>577</v>
      </c>
      <c r="H242" s="22"/>
      <c r="I242" s="28"/>
      <c r="J242" s="221"/>
      <c r="K242" s="28"/>
      <c r="L242" s="119"/>
      <c r="M242" s="271"/>
      <c r="BE242" s="14"/>
      <c r="BF242" s="15"/>
      <c r="BG242" s="21"/>
      <c r="BH242" s="42"/>
      <c r="BI242" s="12"/>
      <c r="BJ242" s="12"/>
    </row>
    <row r="243" spans="1:65" s="3" customFormat="1" ht="20.25" customHeight="1" x14ac:dyDescent="0.25">
      <c r="A243" s="330" t="s">
        <v>57</v>
      </c>
      <c r="B243" s="331"/>
      <c r="C243" s="331"/>
      <c r="D243" s="331"/>
      <c r="E243" s="331"/>
      <c r="F243" s="331"/>
      <c r="G243" s="331"/>
      <c r="H243" s="60"/>
      <c r="I243" s="61">
        <f>SUM(I14:I242)</f>
        <v>45474976.000000015</v>
      </c>
      <c r="J243" s="223">
        <f>SUM(J14:J242)</f>
        <v>54569971.200000003</v>
      </c>
      <c r="K243" s="66"/>
      <c r="L243" s="122">
        <f>SUM(L14:L242)</f>
        <v>133727803.346</v>
      </c>
      <c r="M243" s="273">
        <f>SUM(M14:M242)</f>
        <v>160473364.01919994</v>
      </c>
    </row>
    <row r="244" spans="1:65" s="48" customFormat="1" ht="20.25" customHeight="1" thickBot="1" x14ac:dyDescent="0.3">
      <c r="A244" s="332" t="s">
        <v>829</v>
      </c>
      <c r="B244" s="333"/>
      <c r="C244" s="333"/>
      <c r="D244" s="333"/>
      <c r="E244" s="333"/>
      <c r="F244" s="333"/>
      <c r="G244" s="333"/>
      <c r="H244" s="82"/>
      <c r="I244" s="322">
        <f>I243+L243</f>
        <v>179202779.34600002</v>
      </c>
      <c r="J244" s="323"/>
      <c r="K244" s="323"/>
      <c r="L244" s="323"/>
      <c r="M244" s="324"/>
    </row>
    <row r="245" spans="1:65" s="48" customFormat="1" ht="20.25" customHeight="1" thickBot="1" x14ac:dyDescent="0.3">
      <c r="A245" s="332" t="s">
        <v>828</v>
      </c>
      <c r="B245" s="333"/>
      <c r="C245" s="333"/>
      <c r="D245" s="333"/>
      <c r="E245" s="333"/>
      <c r="F245" s="333"/>
      <c r="G245" s="333"/>
      <c r="H245" s="82"/>
      <c r="I245" s="359">
        <f>J243+M243</f>
        <v>215043335.21919996</v>
      </c>
      <c r="J245" s="360"/>
      <c r="K245" s="360"/>
      <c r="L245" s="360"/>
      <c r="M245" s="361"/>
    </row>
    <row r="246" spans="1:65" s="3" customFormat="1" ht="53.25" customHeight="1" x14ac:dyDescent="0.25">
      <c r="A246" s="4"/>
      <c r="B246" s="4"/>
      <c r="C246" s="4"/>
      <c r="D246" s="4"/>
      <c r="E246" s="4"/>
      <c r="F246" s="4"/>
      <c r="G246" s="4"/>
      <c r="H246" s="49"/>
      <c r="I246" s="49"/>
      <c r="J246" s="213"/>
      <c r="K246" s="49"/>
      <c r="L246" s="49"/>
      <c r="M246" s="213"/>
    </row>
    <row r="247" spans="1:65" s="10" customFormat="1" ht="12.75" customHeight="1" x14ac:dyDescent="0.2">
      <c r="A247" s="362"/>
      <c r="B247" s="362"/>
      <c r="C247" s="362"/>
      <c r="D247" s="362"/>
      <c r="E247" s="362"/>
      <c r="F247" s="362"/>
      <c r="G247" s="362"/>
      <c r="H247" s="363"/>
      <c r="I247" s="363"/>
      <c r="J247" s="363"/>
      <c r="K247" s="363"/>
      <c r="L247" s="363"/>
      <c r="M247" s="363"/>
      <c r="N247" s="32"/>
      <c r="O247" s="32"/>
      <c r="P247" s="135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</row>
    <row r="248" spans="1:65" s="10" customFormat="1" ht="12.75" customHeight="1" x14ac:dyDescent="0.2">
      <c r="A248" s="364"/>
      <c r="B248" s="364"/>
      <c r="C248" s="364"/>
      <c r="D248" s="364"/>
      <c r="E248" s="364"/>
      <c r="F248" s="364"/>
      <c r="G248" s="364"/>
      <c r="H248" s="365"/>
      <c r="I248" s="365"/>
      <c r="J248" s="365"/>
      <c r="K248" s="365"/>
      <c r="L248" s="365"/>
      <c r="M248" s="365"/>
      <c r="N248" s="33"/>
      <c r="O248" s="33"/>
      <c r="P248" s="136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</row>
    <row r="249" spans="1:65" s="10" customFormat="1" ht="13.5" customHeight="1" x14ac:dyDescent="0.25">
      <c r="A249" s="8"/>
      <c r="B249" s="8"/>
      <c r="C249" s="8"/>
      <c r="D249" s="8"/>
      <c r="E249" s="8"/>
      <c r="F249" s="8"/>
      <c r="G249" s="8"/>
      <c r="H249" s="54"/>
      <c r="I249" s="134"/>
      <c r="J249" s="224"/>
      <c r="K249" s="134"/>
      <c r="L249" s="54"/>
      <c r="M249" s="213"/>
      <c r="N249" s="3"/>
      <c r="O249" s="3"/>
      <c r="P249" s="3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</row>
    <row r="250" spans="1:65" s="10" customFormat="1" ht="12.75" customHeight="1" x14ac:dyDescent="0.2">
      <c r="A250" s="362"/>
      <c r="B250" s="362"/>
      <c r="C250" s="362"/>
      <c r="D250" s="362"/>
      <c r="E250" s="362"/>
      <c r="F250" s="362"/>
      <c r="G250" s="362"/>
      <c r="H250" s="363"/>
      <c r="I250" s="363"/>
      <c r="J250" s="363"/>
      <c r="K250" s="363"/>
      <c r="L250" s="363"/>
      <c r="M250" s="363"/>
      <c r="N250" s="32"/>
      <c r="O250" s="32"/>
      <c r="P250" s="3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</row>
    <row r="251" spans="1:65" s="10" customFormat="1" ht="12.75" customHeight="1" x14ac:dyDescent="0.2">
      <c r="A251" s="364"/>
      <c r="B251" s="364"/>
      <c r="C251" s="364"/>
      <c r="D251" s="364"/>
      <c r="E251" s="364"/>
      <c r="F251" s="364"/>
      <c r="G251" s="364"/>
      <c r="H251" s="365"/>
      <c r="I251" s="365"/>
      <c r="J251" s="365"/>
      <c r="K251" s="365"/>
      <c r="L251" s="365"/>
      <c r="M251" s="365"/>
      <c r="N251" s="33"/>
      <c r="O251" s="33"/>
      <c r="P251" s="33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</row>
    <row r="252" spans="1:65" s="10" customFormat="1" ht="13.5" customHeight="1" x14ac:dyDescent="0.25">
      <c r="A252" s="8"/>
      <c r="B252" s="8"/>
      <c r="C252" s="8"/>
      <c r="D252" s="8"/>
      <c r="E252" s="8"/>
      <c r="F252" s="8"/>
      <c r="G252" s="8"/>
      <c r="H252" s="54"/>
      <c r="I252" s="134"/>
      <c r="J252" s="224"/>
      <c r="K252" s="134"/>
      <c r="L252" s="54"/>
      <c r="M252" s="213"/>
      <c r="N252" s="3"/>
      <c r="O252" s="3"/>
      <c r="P252" s="3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</row>
    <row r="253" spans="1:65" s="3" customFormat="1" ht="15" x14ac:dyDescent="0.25">
      <c r="A253" s="4"/>
      <c r="B253" s="4"/>
      <c r="C253" s="4"/>
      <c r="D253" s="4"/>
      <c r="E253" s="4"/>
      <c r="F253" s="4"/>
      <c r="G253" s="4"/>
      <c r="H253" s="49"/>
      <c r="I253" s="128"/>
      <c r="J253" s="225"/>
      <c r="K253" s="128"/>
      <c r="L253" s="49"/>
      <c r="M253" s="213"/>
    </row>
  </sheetData>
  <autoFilter ref="A10:M245">
    <filterColumn colId="0">
      <filters blank="1">
        <filter val="- устройство призмы тупикового упора (щебень М800, фракция 20-40 мм)"/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4"/>
        <filter val="5"/>
        <filter val="6"/>
        <filter val="7"/>
        <filter val="8"/>
        <filter val="9"/>
        <filter val="балластировка пути и стрелочных переводов"/>
        <filter val="балластировка пути и стрелочных переводов в охранной зоне действующей контактной сети, в условиях движения по соседнему пути"/>
        <filter val="В охранной зоне действующей контактной сети, в условиях движения по соседнему пути"/>
        <filter val="ВСЕГО по смете"/>
        <filter val="ВСЕГО, без НДС"/>
        <filter val="ВСЕГО, с НДС"/>
        <filter val="Выправка стрелочного перевода двойного перекрестного на железобетонных брусьях, балласт щебеночный, марки 2/9 в охранной зоне действующей контактной сети, в условиях движения по соседнему пути"/>
        <filter val="Выправка стрелочного перевода обыкновенного на железобетонных брусьях, балласт щебеночный, марки 1/9"/>
        <filter val="Выправочно-отделочные работы и окончательная выправка пути на железобетонных шпалах, балласт щебеночный"/>
        <filter val="Выправочно-отделочные работы и окончательная выправка пути на железобетонных шпалах, балласт щебеночный  в охранной зоне действующей контактной сети, в условиях движения по соседнему пути"/>
        <filter val="Д"/>
        <filter val="дополнительно балластировка стрелочных переводов"/>
        <filter val="дополнительно балластировка стрелочных переводов в охранной зоне действующей контактной сети, в условиях движения по соседнему пути"/>
        <filter val="Засыпка междупутий щебнем"/>
        <filter val="Исключить материалы (использовать ранее демонтированные стрелочные переводы 7 комплектов)"/>
        <filter val="Исключить материалы (использовать ранее демонтированные стрелочные переводы 8 комплектов)"/>
        <filter val="Исключить материалы (использовать ранее демонтированные)"/>
        <filter val="Новые стрелочные переводы"/>
        <filter val="Передвижка пути до 2 м, балласт щебеночный"/>
        <filter val="Раздел 1. Работы по устройству верхнего строения пути"/>
        <filter val="Раздел 2. Работы по балластировке пути и стрелочных переводов"/>
        <filter val="Раздел 3. Работы по выправке пути и стрелочных переводов"/>
        <filter val="Раздел 4. Прочие работы"/>
        <filter val="Рельсы Р65 на закрестовинных блоках новые - учтено в ФЕР28-01-017-03"/>
        <filter val="Транспорт РШР от звеносборочной базы до стройплощадки согласно Транспортной схемы - 220 км"/>
        <filter val="Укладка перекрестного съезда на ЖББ при типе рельсов Р65, марка пересечения 2/9, проект 2999.00.000 с устройством разделительного слоя из геотекстиля"/>
        <filter val="Укладка пути звеньями рельсошпальной решетки длиной 25 м, шпалы железобетонные (эпюра 1840 шт/км, скрепление АРС-4)"/>
        <filter val="Укладка пути звеньями рельсошпальной решетки длиной 25 м, шпалы железобетонные (эпюра 1840 шт/км, скрепление АРС-4) с укладкой разделительного слоя из геотекстиля"/>
        <filter val="Укладка пути звеньями рельсошпальной решетки длиной 25 м, шпалы железобетонные (эпюра 2000 шт/км, скрепление АРС-4)"/>
        <filter val="Укладка пути звеньями рельсошпальной решетки длиной 25 м, шпалы железобетонные (эпюра 2000 шт/км, скрепление АРС-4) с укладкой разделительного слоя"/>
        <filter val="Укладка пути звеньями рельсошпальной решетки длиной 25 м, шпалы железобетонные (эпюра 2000 шт/км, скрепление АРС-4) с укладкой разделительного слоя из геотекстиля"/>
        <filter val="Укладка стрелочных переводов на железобетонных брусьях блоками кранами на железнодорожном ходу: 1/9 проект 2769.00.000"/>
        <filter val="Укладка стрелочных переводов на железобетонных брусьях блоками кранами на железнодорожном ходу: 1/9 проект 2769.00.000 с укладкой разделительного слоя из геотекстиля"/>
        <filter val="Установка знаков путевых"/>
        <filter val="Установка пикетных столбиков + Установка предельных столбиков"/>
        <filter val="Установка стыков изолирующих"/>
        <filter val="Устройство путевого упора"/>
      </filters>
    </filterColumn>
    <filterColumn colId="2" showButton="0"/>
    <filterColumn colId="3" showButton="0"/>
  </autoFilter>
  <mergeCells count="248">
    <mergeCell ref="I245:M245"/>
    <mergeCell ref="A244:G244"/>
    <mergeCell ref="I244:M244"/>
    <mergeCell ref="C14:E14"/>
    <mergeCell ref="A13:G13"/>
    <mergeCell ref="A12:G12"/>
    <mergeCell ref="A6:M6"/>
    <mergeCell ref="C7:G7"/>
    <mergeCell ref="A2:M2"/>
    <mergeCell ref="A3:M3"/>
    <mergeCell ref="A5:M5"/>
    <mergeCell ref="C20:E20"/>
    <mergeCell ref="C21:E21"/>
    <mergeCell ref="C24:E24"/>
    <mergeCell ref="A23:G23"/>
    <mergeCell ref="A22:G22"/>
    <mergeCell ref="C15:E15"/>
    <mergeCell ref="C19:E19"/>
    <mergeCell ref="A18:G18"/>
    <mergeCell ref="A17:G17"/>
    <mergeCell ref="A16:G16"/>
    <mergeCell ref="A35:G35"/>
    <mergeCell ref="C31:E31"/>
    <mergeCell ref="C32:E32"/>
    <mergeCell ref="C33:E33"/>
    <mergeCell ref="A34:G34"/>
    <mergeCell ref="A30:G30"/>
    <mergeCell ref="C25:E25"/>
    <mergeCell ref="C26:E26"/>
    <mergeCell ref="C27:E27"/>
    <mergeCell ref="C28:E28"/>
    <mergeCell ref="A29:G29"/>
    <mergeCell ref="A45:G45"/>
    <mergeCell ref="C40:E40"/>
    <mergeCell ref="C43:E43"/>
    <mergeCell ref="C44:E44"/>
    <mergeCell ref="A42:G42"/>
    <mergeCell ref="A41:G41"/>
    <mergeCell ref="C36:E36"/>
    <mergeCell ref="C37:E37"/>
    <mergeCell ref="C38:E38"/>
    <mergeCell ref="C39:E39"/>
    <mergeCell ref="A55:G55"/>
    <mergeCell ref="C51:E51"/>
    <mergeCell ref="C52:E52"/>
    <mergeCell ref="C53:E53"/>
    <mergeCell ref="A54:G54"/>
    <mergeCell ref="A50:G50"/>
    <mergeCell ref="C46:E46"/>
    <mergeCell ref="C47:E47"/>
    <mergeCell ref="C48:E48"/>
    <mergeCell ref="A49:G49"/>
    <mergeCell ref="C65:E65"/>
    <mergeCell ref="C66:E66"/>
    <mergeCell ref="C67:E67"/>
    <mergeCell ref="C60:E60"/>
    <mergeCell ref="C63:E63"/>
    <mergeCell ref="C64:E64"/>
    <mergeCell ref="A62:G62"/>
    <mergeCell ref="A61:G61"/>
    <mergeCell ref="C56:E56"/>
    <mergeCell ref="C57:E57"/>
    <mergeCell ref="C58:E58"/>
    <mergeCell ref="C59:E59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90:E90"/>
    <mergeCell ref="C91:E91"/>
    <mergeCell ref="C92:E92"/>
    <mergeCell ref="C93:E93"/>
    <mergeCell ref="C94:E94"/>
    <mergeCell ref="C85:E85"/>
    <mergeCell ref="C88:E88"/>
    <mergeCell ref="C89:E89"/>
    <mergeCell ref="C80:E80"/>
    <mergeCell ref="C81:E81"/>
    <mergeCell ref="C82:E82"/>
    <mergeCell ref="C83:E83"/>
    <mergeCell ref="C84:E84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110:E110"/>
    <mergeCell ref="C111:E111"/>
    <mergeCell ref="C112:E112"/>
    <mergeCell ref="C113:E113"/>
    <mergeCell ref="C114:E114"/>
    <mergeCell ref="C105:E105"/>
    <mergeCell ref="C109:E109"/>
    <mergeCell ref="A108:G108"/>
    <mergeCell ref="A107:G107"/>
    <mergeCell ref="A125:G125"/>
    <mergeCell ref="C120:E120"/>
    <mergeCell ref="C121:E121"/>
    <mergeCell ref="C122:E122"/>
    <mergeCell ref="C123:E123"/>
    <mergeCell ref="C124:E124"/>
    <mergeCell ref="C115:E115"/>
    <mergeCell ref="C116:E116"/>
    <mergeCell ref="C117:E117"/>
    <mergeCell ref="C118:E118"/>
    <mergeCell ref="C119:E119"/>
    <mergeCell ref="C130:E130"/>
    <mergeCell ref="C131:E131"/>
    <mergeCell ref="C132:E132"/>
    <mergeCell ref="C133:E133"/>
    <mergeCell ref="C134:E134"/>
    <mergeCell ref="C127:E127"/>
    <mergeCell ref="C128:E128"/>
    <mergeCell ref="C129:E129"/>
    <mergeCell ref="A126:G126"/>
    <mergeCell ref="C140:E140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C150:E150"/>
    <mergeCell ref="C151:E151"/>
    <mergeCell ref="C152:E152"/>
    <mergeCell ref="C153:E153"/>
    <mergeCell ref="C154:E154"/>
    <mergeCell ref="C145:E145"/>
    <mergeCell ref="C146:E146"/>
    <mergeCell ref="A149:G149"/>
    <mergeCell ref="A148:G148"/>
    <mergeCell ref="A147:G147"/>
    <mergeCell ref="C160:E160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73:E173"/>
    <mergeCell ref="C175:E175"/>
    <mergeCell ref="A174:G174"/>
    <mergeCell ref="C172:E172"/>
    <mergeCell ref="A171:G171"/>
    <mergeCell ref="C165:E165"/>
    <mergeCell ref="C166:E166"/>
    <mergeCell ref="C168:E168"/>
    <mergeCell ref="C169:E169"/>
    <mergeCell ref="A167:G167"/>
    <mergeCell ref="A187:G187"/>
    <mergeCell ref="C182:E182"/>
    <mergeCell ref="C184:E184"/>
    <mergeCell ref="C185:E185"/>
    <mergeCell ref="A183:G183"/>
    <mergeCell ref="C179:E179"/>
    <mergeCell ref="C181:E181"/>
    <mergeCell ref="A180:G180"/>
    <mergeCell ref="C176:E176"/>
    <mergeCell ref="C178:E178"/>
    <mergeCell ref="A177:G177"/>
    <mergeCell ref="C192:E192"/>
    <mergeCell ref="C194:E194"/>
    <mergeCell ref="C195:E195"/>
    <mergeCell ref="A196:G196"/>
    <mergeCell ref="A193:G193"/>
    <mergeCell ref="C188:E188"/>
    <mergeCell ref="C189:E189"/>
    <mergeCell ref="C191:E191"/>
    <mergeCell ref="A190:G190"/>
    <mergeCell ref="C202:E202"/>
    <mergeCell ref="C203:E203"/>
    <mergeCell ref="C204:E204"/>
    <mergeCell ref="C205:E205"/>
    <mergeCell ref="C206:E206"/>
    <mergeCell ref="C197:E197"/>
    <mergeCell ref="C198:E198"/>
    <mergeCell ref="A201:G201"/>
    <mergeCell ref="A200:G200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22:E222"/>
    <mergeCell ref="C223:E223"/>
    <mergeCell ref="C224:E224"/>
    <mergeCell ref="C225:E225"/>
    <mergeCell ref="C226:E226"/>
    <mergeCell ref="C217:E217"/>
    <mergeCell ref="C218:E218"/>
    <mergeCell ref="C220:E220"/>
    <mergeCell ref="C221:E221"/>
    <mergeCell ref="A219:G219"/>
    <mergeCell ref="C233:E233"/>
    <mergeCell ref="C234:E234"/>
    <mergeCell ref="C235:E235"/>
    <mergeCell ref="C236:E236"/>
    <mergeCell ref="C227:E227"/>
    <mergeCell ref="C228:E228"/>
    <mergeCell ref="C229:E229"/>
    <mergeCell ref="C231:E231"/>
    <mergeCell ref="A230:G230"/>
    <mergeCell ref="A250:M250"/>
    <mergeCell ref="A251:M251"/>
    <mergeCell ref="C9:E9"/>
    <mergeCell ref="C10:E10"/>
    <mergeCell ref="A243:G243"/>
    <mergeCell ref="A245:G245"/>
    <mergeCell ref="A11:G11"/>
    <mergeCell ref="A199:E199"/>
    <mergeCell ref="A186:E186"/>
    <mergeCell ref="A170:E170"/>
    <mergeCell ref="A106:G106"/>
    <mergeCell ref="A87:G87"/>
    <mergeCell ref="A86:G86"/>
    <mergeCell ref="A69:G69"/>
    <mergeCell ref="A68:G68"/>
    <mergeCell ref="A247:M247"/>
    <mergeCell ref="A248:M248"/>
    <mergeCell ref="C242:E242"/>
    <mergeCell ref="C237:E237"/>
    <mergeCell ref="C239:E239"/>
    <mergeCell ref="C240:E240"/>
    <mergeCell ref="C241:E241"/>
    <mergeCell ref="A238:G238"/>
    <mergeCell ref="C232:E232"/>
  </mergeCells>
  <phoneticPr fontId="44" type="noConversion"/>
  <printOptions horizontalCentered="1"/>
  <pageMargins left="0.39370077848434498" right="0.39370077848434498" top="0.35433071851730302" bottom="0.31496062874794001" header="0.118110239505768" footer="0.118110239505768"/>
  <pageSetup paperSize="9" scale="54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9" tint="0.39997558519241921"/>
    <pageSetUpPr fitToPage="1"/>
  </sheetPr>
  <dimension ref="A1:M170"/>
  <sheetViews>
    <sheetView workbookViewId="0">
      <pane ySplit="8" topLeftCell="A159" activePane="bottomLeft" state="frozen"/>
      <selection pane="bottomLeft" activeCell="M13" sqref="M1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3.42578125" style="1" customWidth="1"/>
    <col min="4" max="4" width="10.42578125" style="1" customWidth="1"/>
    <col min="5" max="5" width="19.5703125" style="1" customWidth="1"/>
    <col min="6" max="6" width="10.7109375" style="108" customWidth="1"/>
    <col min="7" max="7" width="10.7109375" style="1" customWidth="1"/>
    <col min="8" max="9" width="16" style="49" customWidth="1"/>
    <col min="10" max="10" width="16" style="213" customWidth="1"/>
    <col min="11" max="11" width="16" style="49" customWidth="1"/>
    <col min="12" max="12" width="21.85546875" style="49" customWidth="1"/>
    <col min="13" max="13" width="21.85546875" style="213" customWidth="1"/>
    <col min="14" max="16384" width="9.140625" style="1"/>
  </cols>
  <sheetData>
    <row r="1" spans="1:13" s="3" customFormat="1" ht="15" x14ac:dyDescent="0.25">
      <c r="A1" s="88" t="s">
        <v>641</v>
      </c>
      <c r="B1" s="4"/>
      <c r="C1" s="4"/>
      <c r="D1" s="4"/>
      <c r="E1" s="4"/>
      <c r="F1" s="106"/>
      <c r="G1" s="4"/>
      <c r="H1" s="49"/>
      <c r="I1" s="49"/>
      <c r="J1" s="213"/>
      <c r="K1" s="101"/>
      <c r="L1" s="49"/>
      <c r="M1" s="213"/>
    </row>
    <row r="2" spans="1:13" s="3" customFormat="1" ht="30" customHeight="1" x14ac:dyDescent="0.25">
      <c r="A2" s="339" t="s">
        <v>0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</row>
    <row r="3" spans="1:13" s="3" customFormat="1" ht="15" x14ac:dyDescent="0.25">
      <c r="A3" s="328" t="s">
        <v>2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</row>
    <row r="4" spans="1:13" s="3" customFormat="1" ht="15" x14ac:dyDescent="0.25">
      <c r="A4" s="340" t="s">
        <v>123</v>
      </c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</row>
    <row r="5" spans="1:13" s="3" customFormat="1" ht="15.75" customHeight="1" x14ac:dyDescent="0.25">
      <c r="A5" s="328" t="s">
        <v>4</v>
      </c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328"/>
      <c r="M5" s="328"/>
    </row>
    <row r="6" spans="1:13" s="3" customFormat="1" ht="15" x14ac:dyDescent="0.25">
      <c r="A6" s="4"/>
      <c r="B6" s="8" t="s">
        <v>5</v>
      </c>
      <c r="C6" s="329" t="s">
        <v>59</v>
      </c>
      <c r="D6" s="329"/>
      <c r="E6" s="329"/>
      <c r="F6" s="329"/>
      <c r="G6" s="329"/>
      <c r="H6" s="50"/>
      <c r="I6" s="102"/>
      <c r="J6" s="215"/>
      <c r="K6" s="102"/>
      <c r="L6" s="102"/>
      <c r="M6" s="215"/>
    </row>
    <row r="7" spans="1:13" s="3" customFormat="1" ht="15.75" thickBot="1" x14ac:dyDescent="0.3">
      <c r="A7" s="13"/>
      <c r="F7" s="48"/>
      <c r="H7" s="51"/>
      <c r="I7" s="51"/>
      <c r="J7" s="216"/>
      <c r="K7" s="51"/>
      <c r="L7" s="51"/>
      <c r="M7" s="216"/>
    </row>
    <row r="8" spans="1:13" s="3" customFormat="1" ht="36" customHeight="1" x14ac:dyDescent="0.25">
      <c r="A8" s="68" t="s">
        <v>7</v>
      </c>
      <c r="B8" s="69" t="s">
        <v>8</v>
      </c>
      <c r="C8" s="335" t="s">
        <v>9</v>
      </c>
      <c r="D8" s="336"/>
      <c r="E8" s="337"/>
      <c r="F8" s="70" t="s">
        <v>10</v>
      </c>
      <c r="G8" s="71" t="s">
        <v>11</v>
      </c>
      <c r="H8" s="72" t="s">
        <v>819</v>
      </c>
      <c r="I8" s="72" t="s">
        <v>820</v>
      </c>
      <c r="J8" s="217" t="s">
        <v>823</v>
      </c>
      <c r="K8" s="72" t="s">
        <v>821</v>
      </c>
      <c r="L8" s="103" t="s">
        <v>822</v>
      </c>
      <c r="M8" s="229" t="s">
        <v>824</v>
      </c>
    </row>
    <row r="9" spans="1:13" s="3" customFormat="1" ht="15.75" thickBot="1" x14ac:dyDescent="0.3">
      <c r="A9" s="83">
        <v>1</v>
      </c>
      <c r="B9" s="84">
        <v>2</v>
      </c>
      <c r="C9" s="355">
        <v>3</v>
      </c>
      <c r="D9" s="356"/>
      <c r="E9" s="357"/>
      <c r="F9" s="85">
        <v>4</v>
      </c>
      <c r="G9" s="84">
        <v>5</v>
      </c>
      <c r="H9" s="113">
        <v>6</v>
      </c>
      <c r="I9" s="113">
        <v>7</v>
      </c>
      <c r="J9" s="274">
        <v>8</v>
      </c>
      <c r="K9" s="113">
        <v>9</v>
      </c>
      <c r="L9" s="113">
        <v>10</v>
      </c>
      <c r="M9" s="274">
        <v>11</v>
      </c>
    </row>
    <row r="10" spans="1:13" s="3" customFormat="1" ht="15" customHeight="1" x14ac:dyDescent="0.25">
      <c r="A10" s="347" t="s">
        <v>124</v>
      </c>
      <c r="B10" s="348"/>
      <c r="C10" s="348"/>
      <c r="D10" s="348"/>
      <c r="E10" s="348"/>
      <c r="F10" s="348"/>
      <c r="G10" s="348"/>
      <c r="H10" s="89"/>
      <c r="I10" s="89"/>
      <c r="J10" s="255"/>
      <c r="K10" s="89"/>
      <c r="L10" s="90"/>
      <c r="M10" s="259"/>
    </row>
    <row r="11" spans="1:13" s="3" customFormat="1" ht="15" customHeight="1" x14ac:dyDescent="0.25">
      <c r="A11" s="358" t="s">
        <v>125</v>
      </c>
      <c r="B11" s="321"/>
      <c r="C11" s="321"/>
      <c r="D11" s="321"/>
      <c r="E11" s="321"/>
      <c r="F11" s="321"/>
      <c r="G11" s="321"/>
      <c r="H11" s="55"/>
      <c r="I11" s="55"/>
      <c r="J11" s="240"/>
      <c r="K11" s="55"/>
      <c r="L11" s="56"/>
      <c r="M11" s="275"/>
    </row>
    <row r="12" spans="1:13" s="3" customFormat="1" ht="34.5" customHeight="1" x14ac:dyDescent="0.25">
      <c r="A12" s="16" t="s">
        <v>15</v>
      </c>
      <c r="B12" s="17" t="s">
        <v>89</v>
      </c>
      <c r="C12" s="349" t="s">
        <v>90</v>
      </c>
      <c r="D12" s="350"/>
      <c r="E12" s="351"/>
      <c r="F12" s="105" t="s">
        <v>64</v>
      </c>
      <c r="G12" s="18">
        <v>13.994999999999999</v>
      </c>
      <c r="H12" s="52">
        <v>2507684.4500000002</v>
      </c>
      <c r="I12" s="19">
        <v>35095043.840000004</v>
      </c>
      <c r="J12" s="220">
        <f>I12*1.2</f>
        <v>42114052.608000003</v>
      </c>
      <c r="K12" s="20">
        <v>10589</v>
      </c>
      <c r="L12" s="19">
        <f>K12*1399.5</f>
        <v>14819305.5</v>
      </c>
      <c r="M12" s="220">
        <f>L12*1.2</f>
        <v>17783166.599999998</v>
      </c>
    </row>
    <row r="13" spans="1:13" s="3" customFormat="1" ht="23.25" customHeight="1" x14ac:dyDescent="0.25">
      <c r="A13" s="25"/>
      <c r="B13" s="26" t="s">
        <v>65</v>
      </c>
      <c r="C13" s="338" t="s">
        <v>66</v>
      </c>
      <c r="D13" s="338"/>
      <c r="E13" s="338"/>
      <c r="F13" s="46" t="s">
        <v>67</v>
      </c>
      <c r="G13" s="44" t="s">
        <v>642</v>
      </c>
      <c r="H13" s="53"/>
      <c r="I13" s="28"/>
      <c r="J13" s="221"/>
      <c r="K13" s="28"/>
      <c r="L13" s="29"/>
      <c r="M13" s="233"/>
    </row>
    <row r="14" spans="1:13" s="3" customFormat="1" ht="23.25" customHeight="1" x14ac:dyDescent="0.25">
      <c r="A14" s="25"/>
      <c r="B14" s="26" t="s">
        <v>68</v>
      </c>
      <c r="C14" s="338" t="s">
        <v>69</v>
      </c>
      <c r="D14" s="338"/>
      <c r="E14" s="338"/>
      <c r="F14" s="46" t="s">
        <v>67</v>
      </c>
      <c r="G14" s="44" t="s">
        <v>643</v>
      </c>
      <c r="H14" s="53"/>
      <c r="I14" s="28"/>
      <c r="J14" s="221"/>
      <c r="K14" s="28"/>
      <c r="L14" s="29"/>
      <c r="M14" s="233"/>
    </row>
    <row r="15" spans="1:13" s="3" customFormat="1" ht="22.5" customHeight="1" x14ac:dyDescent="0.25">
      <c r="A15" s="25"/>
      <c r="B15" s="26" t="s">
        <v>70</v>
      </c>
      <c r="C15" s="338" t="s">
        <v>71</v>
      </c>
      <c r="D15" s="338"/>
      <c r="E15" s="338"/>
      <c r="F15" s="46" t="s">
        <v>72</v>
      </c>
      <c r="G15" s="44" t="s">
        <v>644</v>
      </c>
      <c r="H15" s="53"/>
      <c r="I15" s="28"/>
      <c r="J15" s="221"/>
      <c r="K15" s="28"/>
      <c r="L15" s="29"/>
      <c r="M15" s="233"/>
    </row>
    <row r="16" spans="1:13" s="3" customFormat="1" ht="22.5" customHeight="1" x14ac:dyDescent="0.25">
      <c r="A16" s="25"/>
      <c r="B16" s="26" t="s">
        <v>73</v>
      </c>
      <c r="C16" s="338" t="s">
        <v>74</v>
      </c>
      <c r="D16" s="338"/>
      <c r="E16" s="338"/>
      <c r="F16" s="46" t="s">
        <v>67</v>
      </c>
      <c r="G16" s="44" t="s">
        <v>645</v>
      </c>
      <c r="H16" s="53"/>
      <c r="I16" s="28"/>
      <c r="J16" s="221"/>
      <c r="K16" s="28"/>
      <c r="L16" s="29"/>
      <c r="M16" s="233"/>
    </row>
    <row r="17" spans="1:13" s="3" customFormat="1" ht="23.25" hidden="1" customHeight="1" x14ac:dyDescent="0.25">
      <c r="A17" s="36" t="s">
        <v>75</v>
      </c>
      <c r="B17" s="37" t="s">
        <v>76</v>
      </c>
      <c r="C17" s="352" t="s">
        <v>77</v>
      </c>
      <c r="D17" s="352"/>
      <c r="E17" s="352"/>
      <c r="F17" s="107" t="s">
        <v>46</v>
      </c>
      <c r="G17" s="39" t="s">
        <v>33</v>
      </c>
      <c r="H17" s="93"/>
      <c r="I17" s="40"/>
      <c r="J17" s="222"/>
      <c r="K17" s="40"/>
      <c r="L17" s="41"/>
      <c r="M17" s="234"/>
    </row>
    <row r="18" spans="1:13" s="3" customFormat="1" ht="23.25" hidden="1" customHeight="1" x14ac:dyDescent="0.25">
      <c r="A18" s="36" t="s">
        <v>75</v>
      </c>
      <c r="B18" s="37" t="s">
        <v>78</v>
      </c>
      <c r="C18" s="352" t="s">
        <v>79</v>
      </c>
      <c r="D18" s="352"/>
      <c r="E18" s="352"/>
      <c r="F18" s="107" t="s">
        <v>46</v>
      </c>
      <c r="G18" s="39" t="s">
        <v>33</v>
      </c>
      <c r="H18" s="93"/>
      <c r="I18" s="40"/>
      <c r="J18" s="222"/>
      <c r="K18" s="40"/>
      <c r="L18" s="41"/>
      <c r="M18" s="234"/>
    </row>
    <row r="19" spans="1:13" s="3" customFormat="1" ht="23.25" customHeight="1" x14ac:dyDescent="0.25">
      <c r="A19" s="25"/>
      <c r="B19" s="26" t="s">
        <v>80</v>
      </c>
      <c r="C19" s="338" t="s">
        <v>81</v>
      </c>
      <c r="D19" s="338"/>
      <c r="E19" s="338"/>
      <c r="F19" s="46" t="s">
        <v>46</v>
      </c>
      <c r="G19" s="44" t="s">
        <v>646</v>
      </c>
      <c r="H19" s="53"/>
      <c r="I19" s="28"/>
      <c r="J19" s="221"/>
      <c r="K19" s="28"/>
      <c r="L19" s="29"/>
      <c r="M19" s="233"/>
    </row>
    <row r="20" spans="1:13" s="3" customFormat="1" ht="22.5" hidden="1" customHeight="1" x14ac:dyDescent="0.25">
      <c r="A20" s="36" t="s">
        <v>75</v>
      </c>
      <c r="B20" s="37" t="s">
        <v>82</v>
      </c>
      <c r="C20" s="352" t="s">
        <v>83</v>
      </c>
      <c r="D20" s="352"/>
      <c r="E20" s="352"/>
      <c r="F20" s="107" t="s">
        <v>46</v>
      </c>
      <c r="G20" s="39" t="s">
        <v>33</v>
      </c>
      <c r="H20" s="93"/>
      <c r="I20" s="40"/>
      <c r="J20" s="222"/>
      <c r="K20" s="40"/>
      <c r="L20" s="41"/>
      <c r="M20" s="234"/>
    </row>
    <row r="21" spans="1:13" s="3" customFormat="1" ht="34.5" customHeight="1" x14ac:dyDescent="0.25">
      <c r="A21" s="25"/>
      <c r="B21" s="26" t="s">
        <v>84</v>
      </c>
      <c r="C21" s="338" t="s">
        <v>85</v>
      </c>
      <c r="D21" s="338"/>
      <c r="E21" s="338"/>
      <c r="F21" s="46" t="s">
        <v>46</v>
      </c>
      <c r="G21" s="44" t="s">
        <v>647</v>
      </c>
      <c r="H21" s="53"/>
      <c r="I21" s="28"/>
      <c r="J21" s="221"/>
      <c r="K21" s="28"/>
      <c r="L21" s="29"/>
      <c r="M21" s="233"/>
    </row>
    <row r="22" spans="1:13" s="3" customFormat="1" ht="22.5" customHeight="1" x14ac:dyDescent="0.25">
      <c r="A22" s="25"/>
      <c r="B22" s="26" t="s">
        <v>86</v>
      </c>
      <c r="C22" s="338" t="s">
        <v>87</v>
      </c>
      <c r="D22" s="338"/>
      <c r="E22" s="338"/>
      <c r="F22" s="46" t="s">
        <v>67</v>
      </c>
      <c r="G22" s="44" t="s">
        <v>648</v>
      </c>
      <c r="H22" s="53"/>
      <c r="I22" s="28"/>
      <c r="J22" s="221"/>
      <c r="K22" s="28"/>
      <c r="L22" s="29"/>
      <c r="M22" s="233"/>
    </row>
    <row r="23" spans="1:13" s="3" customFormat="1" ht="23.25" customHeight="1" x14ac:dyDescent="0.25">
      <c r="A23" s="25" t="s">
        <v>126</v>
      </c>
      <c r="B23" s="26" t="s">
        <v>127</v>
      </c>
      <c r="C23" s="338" t="s">
        <v>128</v>
      </c>
      <c r="D23" s="338"/>
      <c r="E23" s="338"/>
      <c r="F23" s="46" t="s">
        <v>46</v>
      </c>
      <c r="G23" s="44" t="s">
        <v>649</v>
      </c>
      <c r="H23" s="53"/>
      <c r="I23" s="28"/>
      <c r="J23" s="221"/>
      <c r="K23" s="28"/>
      <c r="L23" s="29"/>
      <c r="M23" s="233"/>
    </row>
    <row r="24" spans="1:13" s="3" customFormat="1" ht="15" customHeight="1" x14ac:dyDescent="0.25">
      <c r="A24" s="358" t="s">
        <v>129</v>
      </c>
      <c r="B24" s="321"/>
      <c r="C24" s="321"/>
      <c r="D24" s="321"/>
      <c r="E24" s="321"/>
      <c r="F24" s="321"/>
      <c r="G24" s="321"/>
      <c r="H24" s="55"/>
      <c r="I24" s="55"/>
      <c r="J24" s="240"/>
      <c r="K24" s="55"/>
      <c r="L24" s="56"/>
      <c r="M24" s="275"/>
    </row>
    <row r="25" spans="1:13" s="3" customFormat="1" ht="34.5" customHeight="1" x14ac:dyDescent="0.25">
      <c r="A25" s="16" t="s">
        <v>20</v>
      </c>
      <c r="B25" s="17" t="s">
        <v>89</v>
      </c>
      <c r="C25" s="349" t="s">
        <v>90</v>
      </c>
      <c r="D25" s="350"/>
      <c r="E25" s="351"/>
      <c r="F25" s="105" t="s">
        <v>64</v>
      </c>
      <c r="G25" s="24">
        <v>0.3</v>
      </c>
      <c r="H25" s="52">
        <v>2507686.4</v>
      </c>
      <c r="I25" s="19">
        <v>752305.92</v>
      </c>
      <c r="J25" s="220">
        <f>I25*1.2</f>
        <v>902767.10400000005</v>
      </c>
      <c r="K25" s="20">
        <v>10589</v>
      </c>
      <c r="L25" s="19">
        <f>K25*30</f>
        <v>317670</v>
      </c>
      <c r="M25" s="220">
        <f>L25*1.2</f>
        <v>381204</v>
      </c>
    </row>
    <row r="26" spans="1:13" s="3" customFormat="1" ht="23.25" customHeight="1" x14ac:dyDescent="0.25">
      <c r="A26" s="25"/>
      <c r="B26" s="26" t="s">
        <v>65</v>
      </c>
      <c r="C26" s="338" t="s">
        <v>66</v>
      </c>
      <c r="D26" s="338"/>
      <c r="E26" s="338"/>
      <c r="F26" s="46" t="s">
        <v>67</v>
      </c>
      <c r="G26" s="44" t="s">
        <v>664</v>
      </c>
      <c r="H26" s="53"/>
      <c r="I26" s="28"/>
      <c r="J26" s="221"/>
      <c r="K26" s="28"/>
      <c r="L26" s="29"/>
      <c r="M26" s="233"/>
    </row>
    <row r="27" spans="1:13" s="3" customFormat="1" ht="23.25" customHeight="1" x14ac:dyDescent="0.25">
      <c r="A27" s="25"/>
      <c r="B27" s="26" t="s">
        <v>68</v>
      </c>
      <c r="C27" s="338" t="s">
        <v>69</v>
      </c>
      <c r="D27" s="338"/>
      <c r="E27" s="338"/>
      <c r="F27" s="46" t="s">
        <v>67</v>
      </c>
      <c r="G27" s="44" t="s">
        <v>665</v>
      </c>
      <c r="H27" s="53"/>
      <c r="I27" s="28"/>
      <c r="J27" s="221"/>
      <c r="K27" s="28"/>
      <c r="L27" s="29"/>
      <c r="M27" s="233"/>
    </row>
    <row r="28" spans="1:13" s="3" customFormat="1" ht="22.5" customHeight="1" x14ac:dyDescent="0.25">
      <c r="A28" s="25"/>
      <c r="B28" s="26" t="s">
        <v>70</v>
      </c>
      <c r="C28" s="338" t="s">
        <v>71</v>
      </c>
      <c r="D28" s="338"/>
      <c r="E28" s="338"/>
      <c r="F28" s="46" t="s">
        <v>72</v>
      </c>
      <c r="G28" s="44" t="s">
        <v>666</v>
      </c>
      <c r="H28" s="53"/>
      <c r="I28" s="28"/>
      <c r="J28" s="221"/>
      <c r="K28" s="28"/>
      <c r="L28" s="29"/>
      <c r="M28" s="233"/>
    </row>
    <row r="29" spans="1:13" s="3" customFormat="1" ht="22.5" customHeight="1" x14ac:dyDescent="0.25">
      <c r="A29" s="25"/>
      <c r="B29" s="26" t="s">
        <v>73</v>
      </c>
      <c r="C29" s="338" t="s">
        <v>74</v>
      </c>
      <c r="D29" s="338"/>
      <c r="E29" s="338"/>
      <c r="F29" s="46" t="s">
        <v>67</v>
      </c>
      <c r="G29" s="44" t="s">
        <v>667</v>
      </c>
      <c r="H29" s="53"/>
      <c r="I29" s="28"/>
      <c r="J29" s="221"/>
      <c r="K29" s="28"/>
      <c r="L29" s="29"/>
      <c r="M29" s="233"/>
    </row>
    <row r="30" spans="1:13" s="3" customFormat="1" ht="23.25" hidden="1" customHeight="1" x14ac:dyDescent="0.25">
      <c r="A30" s="36" t="s">
        <v>75</v>
      </c>
      <c r="B30" s="37" t="s">
        <v>76</v>
      </c>
      <c r="C30" s="352" t="s">
        <v>77</v>
      </c>
      <c r="D30" s="352"/>
      <c r="E30" s="352"/>
      <c r="F30" s="107" t="s">
        <v>46</v>
      </c>
      <c r="G30" s="39" t="s">
        <v>33</v>
      </c>
      <c r="H30" s="93"/>
      <c r="I30" s="40"/>
      <c r="J30" s="222"/>
      <c r="K30" s="40"/>
      <c r="L30" s="41"/>
      <c r="M30" s="234"/>
    </row>
    <row r="31" spans="1:13" s="3" customFormat="1" ht="23.25" hidden="1" customHeight="1" x14ac:dyDescent="0.25">
      <c r="A31" s="36" t="s">
        <v>75</v>
      </c>
      <c r="B31" s="37" t="s">
        <v>78</v>
      </c>
      <c r="C31" s="352" t="s">
        <v>79</v>
      </c>
      <c r="D31" s="352"/>
      <c r="E31" s="352"/>
      <c r="F31" s="107" t="s">
        <v>46</v>
      </c>
      <c r="G31" s="39" t="s">
        <v>33</v>
      </c>
      <c r="H31" s="93"/>
      <c r="I31" s="40"/>
      <c r="J31" s="222"/>
      <c r="K31" s="40"/>
      <c r="L31" s="41"/>
      <c r="M31" s="234"/>
    </row>
    <row r="32" spans="1:13" s="3" customFormat="1" ht="23.25" customHeight="1" x14ac:dyDescent="0.25">
      <c r="A32" s="25"/>
      <c r="B32" s="26" t="s">
        <v>80</v>
      </c>
      <c r="C32" s="338" t="s">
        <v>81</v>
      </c>
      <c r="D32" s="338"/>
      <c r="E32" s="338"/>
      <c r="F32" s="46" t="s">
        <v>46</v>
      </c>
      <c r="G32" s="44" t="s">
        <v>668</v>
      </c>
      <c r="H32" s="53"/>
      <c r="I32" s="28"/>
      <c r="J32" s="221"/>
      <c r="K32" s="28"/>
      <c r="L32" s="29"/>
      <c r="M32" s="233"/>
    </row>
    <row r="33" spans="1:13" s="3" customFormat="1" ht="22.5" hidden="1" customHeight="1" x14ac:dyDescent="0.25">
      <c r="A33" s="36" t="s">
        <v>75</v>
      </c>
      <c r="B33" s="37" t="s">
        <v>82</v>
      </c>
      <c r="C33" s="352" t="s">
        <v>83</v>
      </c>
      <c r="D33" s="352"/>
      <c r="E33" s="352"/>
      <c r="F33" s="107" t="s">
        <v>46</v>
      </c>
      <c r="G33" s="39" t="s">
        <v>33</v>
      </c>
      <c r="H33" s="93"/>
      <c r="I33" s="40"/>
      <c r="J33" s="222"/>
      <c r="K33" s="40"/>
      <c r="L33" s="41"/>
      <c r="M33" s="234"/>
    </row>
    <row r="34" spans="1:13" s="3" customFormat="1" ht="34.5" customHeight="1" x14ac:dyDescent="0.25">
      <c r="A34" s="25"/>
      <c r="B34" s="26" t="s">
        <v>84</v>
      </c>
      <c r="C34" s="338" t="s">
        <v>85</v>
      </c>
      <c r="D34" s="338"/>
      <c r="E34" s="338"/>
      <c r="F34" s="46" t="s">
        <v>46</v>
      </c>
      <c r="G34" s="44" t="s">
        <v>654</v>
      </c>
      <c r="H34" s="53"/>
      <c r="I34" s="28"/>
      <c r="J34" s="221"/>
      <c r="K34" s="28"/>
      <c r="L34" s="29"/>
      <c r="M34" s="233"/>
    </row>
    <row r="35" spans="1:13" s="3" customFormat="1" ht="22.5" customHeight="1" x14ac:dyDescent="0.25">
      <c r="A35" s="25"/>
      <c r="B35" s="26" t="s">
        <v>86</v>
      </c>
      <c r="C35" s="338" t="s">
        <v>87</v>
      </c>
      <c r="D35" s="338"/>
      <c r="E35" s="338"/>
      <c r="F35" s="46" t="s">
        <v>67</v>
      </c>
      <c r="G35" s="44" t="s">
        <v>669</v>
      </c>
      <c r="H35" s="53"/>
      <c r="I35" s="28"/>
      <c r="J35" s="221"/>
      <c r="K35" s="28"/>
      <c r="L35" s="29"/>
      <c r="M35" s="233"/>
    </row>
    <row r="36" spans="1:13" s="3" customFormat="1" ht="23.25" customHeight="1" x14ac:dyDescent="0.25">
      <c r="A36" s="25" t="s">
        <v>126</v>
      </c>
      <c r="B36" s="26" t="s">
        <v>127</v>
      </c>
      <c r="C36" s="338" t="s">
        <v>128</v>
      </c>
      <c r="D36" s="338"/>
      <c r="E36" s="338"/>
      <c r="F36" s="46" t="s">
        <v>46</v>
      </c>
      <c r="G36" s="44" t="s">
        <v>663</v>
      </c>
      <c r="H36" s="53"/>
      <c r="I36" s="28"/>
      <c r="J36" s="221"/>
      <c r="K36" s="28"/>
      <c r="L36" s="29"/>
      <c r="M36" s="233"/>
    </row>
    <row r="37" spans="1:13" s="3" customFormat="1" ht="15" customHeight="1" x14ac:dyDescent="0.25">
      <c r="A37" s="358" t="s">
        <v>130</v>
      </c>
      <c r="B37" s="321"/>
      <c r="C37" s="321"/>
      <c r="D37" s="321"/>
      <c r="E37" s="321"/>
      <c r="F37" s="321"/>
      <c r="G37" s="321"/>
      <c r="H37" s="55"/>
      <c r="I37" s="55"/>
      <c r="J37" s="240"/>
      <c r="K37" s="55"/>
      <c r="L37" s="56"/>
      <c r="M37" s="275"/>
    </row>
    <row r="38" spans="1:13" s="3" customFormat="1" ht="34.5" customHeight="1" x14ac:dyDescent="0.25">
      <c r="A38" s="16" t="s">
        <v>22</v>
      </c>
      <c r="B38" s="17" t="s">
        <v>131</v>
      </c>
      <c r="C38" s="349" t="s">
        <v>132</v>
      </c>
      <c r="D38" s="350"/>
      <c r="E38" s="351"/>
      <c r="F38" s="105" t="s">
        <v>64</v>
      </c>
      <c r="G38" s="18">
        <v>1.1850000000000001</v>
      </c>
      <c r="H38" s="52">
        <v>1402443.61</v>
      </c>
      <c r="I38" s="19">
        <v>1661895.6799999999</v>
      </c>
      <c r="J38" s="220">
        <f>I38*1.2</f>
        <v>1994274.8159999999</v>
      </c>
      <c r="K38" s="20">
        <v>9258</v>
      </c>
      <c r="L38" s="19">
        <f>K38*118.5</f>
        <v>1097073</v>
      </c>
      <c r="M38" s="220">
        <f>L38*1.2</f>
        <v>1316487.5999999999</v>
      </c>
    </row>
    <row r="39" spans="1:13" s="3" customFormat="1" ht="23.25" customHeight="1" x14ac:dyDescent="0.25">
      <c r="A39" s="25"/>
      <c r="B39" s="26" t="s">
        <v>65</v>
      </c>
      <c r="C39" s="338" t="s">
        <v>66</v>
      </c>
      <c r="D39" s="338"/>
      <c r="E39" s="338"/>
      <c r="F39" s="46" t="s">
        <v>67</v>
      </c>
      <c r="G39" s="44" t="s">
        <v>670</v>
      </c>
      <c r="H39" s="53"/>
      <c r="I39" s="28"/>
      <c r="J39" s="221"/>
      <c r="K39" s="28"/>
      <c r="L39" s="29"/>
      <c r="M39" s="233"/>
    </row>
    <row r="40" spans="1:13" s="3" customFormat="1" ht="23.25" customHeight="1" x14ac:dyDescent="0.25">
      <c r="A40" s="25"/>
      <c r="B40" s="26" t="s">
        <v>68</v>
      </c>
      <c r="C40" s="338" t="s">
        <v>69</v>
      </c>
      <c r="D40" s="338"/>
      <c r="E40" s="338"/>
      <c r="F40" s="46" t="s">
        <v>67</v>
      </c>
      <c r="G40" s="44" t="s">
        <v>671</v>
      </c>
      <c r="H40" s="53"/>
      <c r="I40" s="28"/>
      <c r="J40" s="221"/>
      <c r="K40" s="28"/>
      <c r="L40" s="29"/>
      <c r="M40" s="233"/>
    </row>
    <row r="41" spans="1:13" s="3" customFormat="1" ht="22.5" customHeight="1" x14ac:dyDescent="0.25">
      <c r="A41" s="25"/>
      <c r="B41" s="26" t="s">
        <v>70</v>
      </c>
      <c r="C41" s="338" t="s">
        <v>71</v>
      </c>
      <c r="D41" s="338"/>
      <c r="E41" s="338"/>
      <c r="F41" s="46" t="s">
        <v>72</v>
      </c>
      <c r="G41" s="44" t="s">
        <v>672</v>
      </c>
      <c r="H41" s="53"/>
      <c r="I41" s="28"/>
      <c r="J41" s="221"/>
      <c r="K41" s="28"/>
      <c r="L41" s="29"/>
      <c r="M41" s="233"/>
    </row>
    <row r="42" spans="1:13" s="3" customFormat="1" ht="22.5" customHeight="1" x14ac:dyDescent="0.25">
      <c r="A42" s="25"/>
      <c r="B42" s="26" t="s">
        <v>73</v>
      </c>
      <c r="C42" s="338" t="s">
        <v>74</v>
      </c>
      <c r="D42" s="338"/>
      <c r="E42" s="338"/>
      <c r="F42" s="46" t="s">
        <v>67</v>
      </c>
      <c r="G42" s="44" t="s">
        <v>673</v>
      </c>
      <c r="H42" s="53"/>
      <c r="I42" s="28"/>
      <c r="J42" s="221"/>
      <c r="K42" s="28"/>
      <c r="L42" s="29"/>
      <c r="M42" s="233"/>
    </row>
    <row r="43" spans="1:13" s="3" customFormat="1" ht="23.25" hidden="1" customHeight="1" x14ac:dyDescent="0.25">
      <c r="A43" s="36" t="s">
        <v>75</v>
      </c>
      <c r="B43" s="37" t="s">
        <v>76</v>
      </c>
      <c r="C43" s="352" t="s">
        <v>77</v>
      </c>
      <c r="D43" s="352"/>
      <c r="E43" s="352"/>
      <c r="F43" s="107" t="s">
        <v>46</v>
      </c>
      <c r="G43" s="39" t="s">
        <v>33</v>
      </c>
      <c r="H43" s="93"/>
      <c r="I43" s="40"/>
      <c r="J43" s="222"/>
      <c r="K43" s="40"/>
      <c r="L43" s="41"/>
      <c r="M43" s="234"/>
    </row>
    <row r="44" spans="1:13" s="3" customFormat="1" ht="23.25" hidden="1" customHeight="1" x14ac:dyDescent="0.25">
      <c r="A44" s="36" t="s">
        <v>75</v>
      </c>
      <c r="B44" s="37" t="s">
        <v>78</v>
      </c>
      <c r="C44" s="352" t="s">
        <v>79</v>
      </c>
      <c r="D44" s="352"/>
      <c r="E44" s="352"/>
      <c r="F44" s="107" t="s">
        <v>46</v>
      </c>
      <c r="G44" s="39" t="s">
        <v>33</v>
      </c>
      <c r="H44" s="93"/>
      <c r="I44" s="40"/>
      <c r="J44" s="222"/>
      <c r="K44" s="40"/>
      <c r="L44" s="41"/>
      <c r="M44" s="234"/>
    </row>
    <row r="45" spans="1:13" s="3" customFormat="1" ht="23.25" customHeight="1" x14ac:dyDescent="0.25">
      <c r="A45" s="25"/>
      <c r="B45" s="26" t="s">
        <v>80</v>
      </c>
      <c r="C45" s="338" t="s">
        <v>81</v>
      </c>
      <c r="D45" s="338"/>
      <c r="E45" s="338"/>
      <c r="F45" s="46" t="s">
        <v>46</v>
      </c>
      <c r="G45" s="44" t="s">
        <v>674</v>
      </c>
      <c r="H45" s="53"/>
      <c r="I45" s="28"/>
      <c r="J45" s="221"/>
      <c r="K45" s="28"/>
      <c r="L45" s="29"/>
      <c r="M45" s="233"/>
    </row>
    <row r="46" spans="1:13" s="3" customFormat="1" ht="22.5" hidden="1" customHeight="1" x14ac:dyDescent="0.25">
      <c r="A46" s="36" t="s">
        <v>75</v>
      </c>
      <c r="B46" s="37" t="s">
        <v>82</v>
      </c>
      <c r="C46" s="352" t="s">
        <v>83</v>
      </c>
      <c r="D46" s="352"/>
      <c r="E46" s="352"/>
      <c r="F46" s="107" t="s">
        <v>46</v>
      </c>
      <c r="G46" s="39" t="s">
        <v>33</v>
      </c>
      <c r="H46" s="93"/>
      <c r="I46" s="40"/>
      <c r="J46" s="222"/>
      <c r="K46" s="40"/>
      <c r="L46" s="41"/>
      <c r="M46" s="234"/>
    </row>
    <row r="47" spans="1:13" s="3" customFormat="1" ht="34.5" customHeight="1" x14ac:dyDescent="0.25">
      <c r="A47" s="25"/>
      <c r="B47" s="26" t="s">
        <v>84</v>
      </c>
      <c r="C47" s="338" t="s">
        <v>85</v>
      </c>
      <c r="D47" s="338"/>
      <c r="E47" s="338"/>
      <c r="F47" s="46" t="s">
        <v>46</v>
      </c>
      <c r="G47" s="44" t="s">
        <v>675</v>
      </c>
      <c r="H47" s="53"/>
      <c r="I47" s="28"/>
      <c r="J47" s="221"/>
      <c r="K47" s="28"/>
      <c r="L47" s="29"/>
      <c r="M47" s="233"/>
    </row>
    <row r="48" spans="1:13" s="3" customFormat="1" ht="22.5" customHeight="1" x14ac:dyDescent="0.25">
      <c r="A48" s="25"/>
      <c r="B48" s="26" t="s">
        <v>86</v>
      </c>
      <c r="C48" s="338" t="s">
        <v>87</v>
      </c>
      <c r="D48" s="338"/>
      <c r="E48" s="338"/>
      <c r="F48" s="46" t="s">
        <v>67</v>
      </c>
      <c r="G48" s="44" t="s">
        <v>676</v>
      </c>
      <c r="H48" s="53"/>
      <c r="I48" s="28"/>
      <c r="J48" s="221"/>
      <c r="K48" s="28"/>
      <c r="L48" s="29"/>
      <c r="M48" s="233"/>
    </row>
    <row r="49" spans="1:13" s="3" customFormat="1" ht="23.25" customHeight="1" x14ac:dyDescent="0.25">
      <c r="A49" s="25" t="s">
        <v>126</v>
      </c>
      <c r="B49" s="26" t="s">
        <v>127</v>
      </c>
      <c r="C49" s="338" t="s">
        <v>128</v>
      </c>
      <c r="D49" s="338"/>
      <c r="E49" s="338"/>
      <c r="F49" s="46" t="s">
        <v>46</v>
      </c>
      <c r="G49" s="22" t="s">
        <v>133</v>
      </c>
      <c r="H49" s="53"/>
      <c r="I49" s="28"/>
      <c r="J49" s="221"/>
      <c r="K49" s="28"/>
      <c r="L49" s="29"/>
      <c r="M49" s="233"/>
    </row>
    <row r="50" spans="1:13" s="3" customFormat="1" ht="15" customHeight="1" x14ac:dyDescent="0.25">
      <c r="A50" s="358" t="s">
        <v>134</v>
      </c>
      <c r="B50" s="321"/>
      <c r="C50" s="321"/>
      <c r="D50" s="321"/>
      <c r="E50" s="321"/>
      <c r="F50" s="321"/>
      <c r="G50" s="321"/>
      <c r="H50" s="55"/>
      <c r="I50" s="55"/>
      <c r="J50" s="240"/>
      <c r="K50" s="55"/>
      <c r="L50" s="56"/>
      <c r="M50" s="275"/>
    </row>
    <row r="51" spans="1:13" s="3" customFormat="1" ht="34.5" customHeight="1" x14ac:dyDescent="0.25">
      <c r="A51" s="16" t="s">
        <v>27</v>
      </c>
      <c r="B51" s="17" t="s">
        <v>135</v>
      </c>
      <c r="C51" s="349" t="s">
        <v>136</v>
      </c>
      <c r="D51" s="350"/>
      <c r="E51" s="351"/>
      <c r="F51" s="105" t="s">
        <v>64</v>
      </c>
      <c r="G51" s="18">
        <v>1.1850000000000001</v>
      </c>
      <c r="H51" s="52">
        <v>1616157.16</v>
      </c>
      <c r="I51" s="19">
        <v>1915146.24</v>
      </c>
      <c r="J51" s="220">
        <f>I51*1.2</f>
        <v>2298175.4879999999</v>
      </c>
      <c r="K51" s="20">
        <v>10425</v>
      </c>
      <c r="L51" s="19">
        <f>K51*118.5</f>
        <v>1235362.5</v>
      </c>
      <c r="M51" s="220">
        <f>L51*1.2</f>
        <v>1482435</v>
      </c>
    </row>
    <row r="52" spans="1:13" s="3" customFormat="1" ht="23.25" customHeight="1" x14ac:dyDescent="0.25">
      <c r="A52" s="25"/>
      <c r="B52" s="26" t="s">
        <v>65</v>
      </c>
      <c r="C52" s="338" t="s">
        <v>66</v>
      </c>
      <c r="D52" s="338"/>
      <c r="E52" s="338"/>
      <c r="F52" s="46" t="s">
        <v>67</v>
      </c>
      <c r="G52" s="44" t="s">
        <v>677</v>
      </c>
      <c r="H52" s="53"/>
      <c r="I52" s="28"/>
      <c r="J52" s="221"/>
      <c r="K52" s="28"/>
      <c r="L52" s="29"/>
      <c r="M52" s="233"/>
    </row>
    <row r="53" spans="1:13" s="3" customFormat="1" ht="23.25" customHeight="1" x14ac:dyDescent="0.25">
      <c r="A53" s="25"/>
      <c r="B53" s="26" t="s">
        <v>68</v>
      </c>
      <c r="C53" s="338" t="s">
        <v>69</v>
      </c>
      <c r="D53" s="338"/>
      <c r="E53" s="338"/>
      <c r="F53" s="46" t="s">
        <v>67</v>
      </c>
      <c r="G53" s="44" t="s">
        <v>678</v>
      </c>
      <c r="H53" s="53"/>
      <c r="I53" s="28"/>
      <c r="J53" s="221"/>
      <c r="K53" s="28"/>
      <c r="L53" s="29"/>
      <c r="M53" s="233"/>
    </row>
    <row r="54" spans="1:13" s="3" customFormat="1" ht="22.5" customHeight="1" x14ac:dyDescent="0.25">
      <c r="A54" s="25"/>
      <c r="B54" s="26" t="s">
        <v>70</v>
      </c>
      <c r="C54" s="338" t="s">
        <v>71</v>
      </c>
      <c r="D54" s="338"/>
      <c r="E54" s="338"/>
      <c r="F54" s="46" t="s">
        <v>72</v>
      </c>
      <c r="G54" s="44" t="s">
        <v>679</v>
      </c>
      <c r="H54" s="53"/>
      <c r="I54" s="28"/>
      <c r="J54" s="221"/>
      <c r="K54" s="28"/>
      <c r="L54" s="29"/>
      <c r="M54" s="233"/>
    </row>
    <row r="55" spans="1:13" s="3" customFormat="1" ht="22.5" customHeight="1" x14ac:dyDescent="0.25">
      <c r="A55" s="25"/>
      <c r="B55" s="26" t="s">
        <v>73</v>
      </c>
      <c r="C55" s="338" t="s">
        <v>74</v>
      </c>
      <c r="D55" s="338"/>
      <c r="E55" s="338"/>
      <c r="F55" s="46" t="s">
        <v>67</v>
      </c>
      <c r="G55" s="44" t="s">
        <v>680</v>
      </c>
      <c r="H55" s="53"/>
      <c r="I55" s="28"/>
      <c r="J55" s="221"/>
      <c r="K55" s="28"/>
      <c r="L55" s="29"/>
      <c r="M55" s="233"/>
    </row>
    <row r="56" spans="1:13" s="3" customFormat="1" ht="23.25" hidden="1" customHeight="1" x14ac:dyDescent="0.25">
      <c r="A56" s="36" t="s">
        <v>75</v>
      </c>
      <c r="B56" s="37" t="s">
        <v>76</v>
      </c>
      <c r="C56" s="352" t="s">
        <v>77</v>
      </c>
      <c r="D56" s="352"/>
      <c r="E56" s="352"/>
      <c r="F56" s="107" t="s">
        <v>46</v>
      </c>
      <c r="G56" s="39" t="s">
        <v>33</v>
      </c>
      <c r="H56" s="93"/>
      <c r="I56" s="40"/>
      <c r="J56" s="222"/>
      <c r="K56" s="40"/>
      <c r="L56" s="41"/>
      <c r="M56" s="234"/>
    </row>
    <row r="57" spans="1:13" s="3" customFormat="1" ht="23.25" hidden="1" customHeight="1" x14ac:dyDescent="0.25">
      <c r="A57" s="36" t="s">
        <v>75</v>
      </c>
      <c r="B57" s="37" t="s">
        <v>78</v>
      </c>
      <c r="C57" s="352" t="s">
        <v>79</v>
      </c>
      <c r="D57" s="352"/>
      <c r="E57" s="352"/>
      <c r="F57" s="107" t="s">
        <v>46</v>
      </c>
      <c r="G57" s="39" t="s">
        <v>33</v>
      </c>
      <c r="H57" s="93"/>
      <c r="I57" s="40"/>
      <c r="J57" s="222"/>
      <c r="K57" s="40"/>
      <c r="L57" s="41"/>
      <c r="M57" s="234"/>
    </row>
    <row r="58" spans="1:13" s="3" customFormat="1" ht="23.25" customHeight="1" x14ac:dyDescent="0.25">
      <c r="A58" s="25"/>
      <c r="B58" s="26" t="s">
        <v>80</v>
      </c>
      <c r="C58" s="338" t="s">
        <v>81</v>
      </c>
      <c r="D58" s="338"/>
      <c r="E58" s="338"/>
      <c r="F58" s="46" t="s">
        <v>46</v>
      </c>
      <c r="G58" s="44" t="s">
        <v>681</v>
      </c>
      <c r="H58" s="53"/>
      <c r="I58" s="28"/>
      <c r="J58" s="221"/>
      <c r="K58" s="28"/>
      <c r="L58" s="29"/>
      <c r="M58" s="233"/>
    </row>
    <row r="59" spans="1:13" s="3" customFormat="1" ht="22.5" hidden="1" customHeight="1" x14ac:dyDescent="0.25">
      <c r="A59" s="36" t="s">
        <v>75</v>
      </c>
      <c r="B59" s="37" t="s">
        <v>82</v>
      </c>
      <c r="C59" s="352" t="s">
        <v>83</v>
      </c>
      <c r="D59" s="352"/>
      <c r="E59" s="352"/>
      <c r="F59" s="107" t="s">
        <v>46</v>
      </c>
      <c r="G59" s="39" t="s">
        <v>33</v>
      </c>
      <c r="H59" s="93"/>
      <c r="I59" s="40"/>
      <c r="J59" s="222"/>
      <c r="K59" s="40"/>
      <c r="L59" s="41"/>
      <c r="M59" s="234"/>
    </row>
    <row r="60" spans="1:13" s="3" customFormat="1" ht="34.5" customHeight="1" x14ac:dyDescent="0.25">
      <c r="A60" s="25"/>
      <c r="B60" s="26" t="s">
        <v>84</v>
      </c>
      <c r="C60" s="338" t="s">
        <v>85</v>
      </c>
      <c r="D60" s="338"/>
      <c r="E60" s="338"/>
      <c r="F60" s="46" t="s">
        <v>46</v>
      </c>
      <c r="G60" s="44" t="s">
        <v>682</v>
      </c>
      <c r="H60" s="53"/>
      <c r="I60" s="28"/>
      <c r="J60" s="221"/>
      <c r="K60" s="28"/>
      <c r="L60" s="29"/>
      <c r="M60" s="233"/>
    </row>
    <row r="61" spans="1:13" s="3" customFormat="1" ht="22.5" customHeight="1" x14ac:dyDescent="0.25">
      <c r="A61" s="25"/>
      <c r="B61" s="26" t="s">
        <v>86</v>
      </c>
      <c r="C61" s="338" t="s">
        <v>87</v>
      </c>
      <c r="D61" s="338"/>
      <c r="E61" s="338"/>
      <c r="F61" s="46" t="s">
        <v>67</v>
      </c>
      <c r="G61" s="44" t="s">
        <v>683</v>
      </c>
      <c r="H61" s="53"/>
      <c r="I61" s="28"/>
      <c r="J61" s="221"/>
      <c r="K61" s="28"/>
      <c r="L61" s="29"/>
      <c r="M61" s="233"/>
    </row>
    <row r="62" spans="1:13" s="3" customFormat="1" ht="23.25" customHeight="1" x14ac:dyDescent="0.25">
      <c r="A62" s="25" t="s">
        <v>126</v>
      </c>
      <c r="B62" s="26" t="s">
        <v>127</v>
      </c>
      <c r="C62" s="338" t="s">
        <v>128</v>
      </c>
      <c r="D62" s="338"/>
      <c r="E62" s="338"/>
      <c r="F62" s="46" t="s">
        <v>46</v>
      </c>
      <c r="G62" s="44" t="s">
        <v>684</v>
      </c>
      <c r="H62" s="53"/>
      <c r="I62" s="28"/>
      <c r="J62" s="221"/>
      <c r="K62" s="28"/>
      <c r="L62" s="29"/>
      <c r="M62" s="233"/>
    </row>
    <row r="63" spans="1:13" s="3" customFormat="1" ht="15" customHeight="1" x14ac:dyDescent="0.25">
      <c r="A63" s="358" t="s">
        <v>134</v>
      </c>
      <c r="B63" s="321"/>
      <c r="C63" s="321"/>
      <c r="D63" s="321"/>
      <c r="E63" s="321"/>
      <c r="F63" s="321"/>
      <c r="G63" s="321"/>
      <c r="H63" s="55"/>
      <c r="I63" s="55"/>
      <c r="J63" s="240"/>
      <c r="K63" s="55"/>
      <c r="L63" s="56"/>
      <c r="M63" s="275"/>
    </row>
    <row r="64" spans="1:13" s="3" customFormat="1" ht="23.25" customHeight="1" x14ac:dyDescent="0.25">
      <c r="A64" s="16" t="s">
        <v>35</v>
      </c>
      <c r="B64" s="17" t="s">
        <v>137</v>
      </c>
      <c r="C64" s="349" t="s">
        <v>138</v>
      </c>
      <c r="D64" s="350"/>
      <c r="E64" s="351"/>
      <c r="F64" s="105" t="s">
        <v>139</v>
      </c>
      <c r="G64" s="31">
        <v>19.059999999999999</v>
      </c>
      <c r="H64" s="52">
        <v>206309</v>
      </c>
      <c r="I64" s="19">
        <v>3932249.6</v>
      </c>
      <c r="J64" s="220">
        <f>I64*1.2</f>
        <v>4718699.5199999996</v>
      </c>
      <c r="K64" s="20">
        <v>742</v>
      </c>
      <c r="L64" s="19">
        <f>K64*1906</f>
        <v>1414252</v>
      </c>
      <c r="M64" s="220">
        <f>L64*1.2</f>
        <v>1697102.4</v>
      </c>
    </row>
    <row r="65" spans="1:13" s="3" customFormat="1" ht="23.25" customHeight="1" x14ac:dyDescent="0.25">
      <c r="A65" s="25"/>
      <c r="B65" s="26" t="s">
        <v>108</v>
      </c>
      <c r="C65" s="338" t="s">
        <v>109</v>
      </c>
      <c r="D65" s="338"/>
      <c r="E65" s="338"/>
      <c r="F65" s="46" t="s">
        <v>46</v>
      </c>
      <c r="G65" s="44" t="s">
        <v>685</v>
      </c>
      <c r="H65" s="53"/>
      <c r="I65" s="28"/>
      <c r="J65" s="221"/>
      <c r="K65" s="28"/>
      <c r="L65" s="29"/>
      <c r="M65" s="233"/>
    </row>
    <row r="66" spans="1:13" s="3" customFormat="1" ht="22.5" hidden="1" customHeight="1" x14ac:dyDescent="0.25">
      <c r="A66" s="36" t="s">
        <v>140</v>
      </c>
      <c r="B66" s="37" t="s">
        <v>141</v>
      </c>
      <c r="C66" s="352" t="s">
        <v>83</v>
      </c>
      <c r="D66" s="352"/>
      <c r="E66" s="352"/>
      <c r="F66" s="107" t="s">
        <v>38</v>
      </c>
      <c r="G66" s="100" t="s">
        <v>686</v>
      </c>
      <c r="H66" s="93"/>
      <c r="I66" s="40"/>
      <c r="J66" s="222"/>
      <c r="K66" s="40"/>
      <c r="L66" s="41"/>
      <c r="M66" s="234"/>
    </row>
    <row r="67" spans="1:13" s="3" customFormat="1" ht="23.25" customHeight="1" x14ac:dyDescent="0.25">
      <c r="A67" s="25" t="s">
        <v>126</v>
      </c>
      <c r="B67" s="26" t="s">
        <v>142</v>
      </c>
      <c r="C67" s="338" t="s">
        <v>143</v>
      </c>
      <c r="D67" s="338"/>
      <c r="E67" s="338"/>
      <c r="F67" s="46" t="s">
        <v>46</v>
      </c>
      <c r="G67" s="44" t="s">
        <v>687</v>
      </c>
      <c r="H67" s="53"/>
      <c r="I67" s="28"/>
      <c r="J67" s="221"/>
      <c r="K67" s="28"/>
      <c r="L67" s="29"/>
      <c r="M67" s="233"/>
    </row>
    <row r="68" spans="1:13" s="3" customFormat="1" ht="15" customHeight="1" x14ac:dyDescent="0.25">
      <c r="A68" s="358" t="s">
        <v>144</v>
      </c>
      <c r="B68" s="321"/>
      <c r="C68" s="321"/>
      <c r="D68" s="321"/>
      <c r="E68" s="321"/>
      <c r="F68" s="321"/>
      <c r="G68" s="321"/>
      <c r="H68" s="55"/>
      <c r="I68" s="55"/>
      <c r="J68" s="240"/>
      <c r="K68" s="55"/>
      <c r="L68" s="56"/>
      <c r="M68" s="275"/>
    </row>
    <row r="69" spans="1:13" s="3" customFormat="1" ht="23.25" customHeight="1" x14ac:dyDescent="0.25">
      <c r="A69" s="16" t="s">
        <v>40</v>
      </c>
      <c r="B69" s="17" t="s">
        <v>137</v>
      </c>
      <c r="C69" s="349" t="s">
        <v>138</v>
      </c>
      <c r="D69" s="350"/>
      <c r="E69" s="351"/>
      <c r="F69" s="105" t="s">
        <v>139</v>
      </c>
      <c r="G69" s="31">
        <v>1.58</v>
      </c>
      <c r="H69" s="52">
        <f>I69/G69</f>
        <v>206308.45569620252</v>
      </c>
      <c r="I69" s="19">
        <v>325967.35999999999</v>
      </c>
      <c r="J69" s="220">
        <f>I69*1.2</f>
        <v>391160.83199999999</v>
      </c>
      <c r="K69" s="20">
        <v>1080</v>
      </c>
      <c r="L69" s="19">
        <f>K69*15.8</f>
        <v>17064</v>
      </c>
      <c r="M69" s="220">
        <f>L69*1.2</f>
        <v>20476.8</v>
      </c>
    </row>
    <row r="70" spans="1:13" s="3" customFormat="1" ht="23.25" customHeight="1" x14ac:dyDescent="0.25">
      <c r="A70" s="25"/>
      <c r="B70" s="26" t="s">
        <v>108</v>
      </c>
      <c r="C70" s="338" t="s">
        <v>109</v>
      </c>
      <c r="D70" s="338"/>
      <c r="E70" s="338"/>
      <c r="F70" s="46" t="s">
        <v>46</v>
      </c>
      <c r="G70" s="44" t="s">
        <v>688</v>
      </c>
      <c r="H70" s="53"/>
      <c r="I70" s="28"/>
      <c r="J70" s="221"/>
      <c r="K70" s="28"/>
      <c r="L70" s="29"/>
      <c r="M70" s="233"/>
    </row>
    <row r="71" spans="1:13" s="3" customFormat="1" ht="22.5" hidden="1" customHeight="1" x14ac:dyDescent="0.25">
      <c r="A71" s="36" t="s">
        <v>140</v>
      </c>
      <c r="B71" s="37" t="s">
        <v>141</v>
      </c>
      <c r="C71" s="352" t="s">
        <v>83</v>
      </c>
      <c r="D71" s="352"/>
      <c r="E71" s="352"/>
      <c r="F71" s="107" t="s">
        <v>38</v>
      </c>
      <c r="G71" s="100" t="s">
        <v>689</v>
      </c>
      <c r="H71" s="93"/>
      <c r="I71" s="40"/>
      <c r="J71" s="222"/>
      <c r="K71" s="40"/>
      <c r="L71" s="41"/>
      <c r="M71" s="234"/>
    </row>
    <row r="72" spans="1:13" s="3" customFormat="1" ht="23.25" customHeight="1" x14ac:dyDescent="0.25">
      <c r="A72" s="25" t="s">
        <v>126</v>
      </c>
      <c r="B72" s="26" t="s">
        <v>142</v>
      </c>
      <c r="C72" s="338" t="s">
        <v>143</v>
      </c>
      <c r="D72" s="338"/>
      <c r="E72" s="338"/>
      <c r="F72" s="46" t="s">
        <v>46</v>
      </c>
      <c r="G72" s="44" t="s">
        <v>690</v>
      </c>
      <c r="H72" s="53"/>
      <c r="I72" s="28"/>
      <c r="J72" s="221"/>
      <c r="K72" s="28"/>
      <c r="L72" s="29"/>
      <c r="M72" s="233"/>
    </row>
    <row r="73" spans="1:13" s="3" customFormat="1" ht="15" customHeight="1" x14ac:dyDescent="0.25">
      <c r="A73" s="358" t="s">
        <v>145</v>
      </c>
      <c r="B73" s="321"/>
      <c r="C73" s="321"/>
      <c r="D73" s="321"/>
      <c r="E73" s="321"/>
      <c r="F73" s="321"/>
      <c r="G73" s="321"/>
      <c r="H73" s="55"/>
      <c r="I73" s="55"/>
      <c r="J73" s="240"/>
      <c r="K73" s="55"/>
      <c r="L73" s="56"/>
      <c r="M73" s="275"/>
    </row>
    <row r="74" spans="1:13" s="3" customFormat="1" ht="23.25" customHeight="1" x14ac:dyDescent="0.25">
      <c r="A74" s="16" t="s">
        <v>47</v>
      </c>
      <c r="B74" s="17" t="s">
        <v>146</v>
      </c>
      <c r="C74" s="349" t="s">
        <v>45</v>
      </c>
      <c r="D74" s="350"/>
      <c r="E74" s="351"/>
      <c r="F74" s="105" t="s">
        <v>46</v>
      </c>
      <c r="G74" s="31">
        <v>2245.3200000000002</v>
      </c>
      <c r="H74" s="52"/>
      <c r="I74" s="19"/>
      <c r="J74" s="220"/>
      <c r="K74" s="20">
        <v>2416.67</v>
      </c>
      <c r="L74" s="19">
        <f>K74*G74</f>
        <v>5426197.4844000004</v>
      </c>
      <c r="M74" s="220">
        <f>L74*1.2</f>
        <v>6511436.9812799999</v>
      </c>
    </row>
    <row r="75" spans="1:13" s="3" customFormat="1" ht="15" customHeight="1" x14ac:dyDescent="0.25">
      <c r="A75" s="358" t="s">
        <v>147</v>
      </c>
      <c r="B75" s="321"/>
      <c r="C75" s="321"/>
      <c r="D75" s="321"/>
      <c r="E75" s="321"/>
      <c r="F75" s="321"/>
      <c r="G75" s="321"/>
      <c r="H75" s="55"/>
      <c r="I75" s="55"/>
      <c r="J75" s="240"/>
      <c r="K75" s="55"/>
      <c r="L75" s="56"/>
      <c r="M75" s="275"/>
    </row>
    <row r="76" spans="1:13" s="3" customFormat="1" ht="23.25" customHeight="1" x14ac:dyDescent="0.25">
      <c r="A76" s="16" t="s">
        <v>52</v>
      </c>
      <c r="B76" s="17" t="s">
        <v>146</v>
      </c>
      <c r="C76" s="349" t="s">
        <v>45</v>
      </c>
      <c r="D76" s="350"/>
      <c r="E76" s="351"/>
      <c r="F76" s="105" t="s">
        <v>46</v>
      </c>
      <c r="G76" s="31">
        <v>90.72</v>
      </c>
      <c r="H76" s="52"/>
      <c r="I76" s="19"/>
      <c r="J76" s="220"/>
      <c r="K76" s="20">
        <v>2416.67</v>
      </c>
      <c r="L76" s="19">
        <f>K76*G76</f>
        <v>219240.30240000002</v>
      </c>
      <c r="M76" s="220">
        <f>L76*1.2</f>
        <v>263088.36288000003</v>
      </c>
    </row>
    <row r="77" spans="1:13" s="3" customFormat="1" ht="15" customHeight="1" x14ac:dyDescent="0.25">
      <c r="A77" s="358" t="s">
        <v>148</v>
      </c>
      <c r="B77" s="321"/>
      <c r="C77" s="321"/>
      <c r="D77" s="321"/>
      <c r="E77" s="321"/>
      <c r="F77" s="321"/>
      <c r="G77" s="321"/>
      <c r="H77" s="55"/>
      <c r="I77" s="55"/>
      <c r="J77" s="240"/>
      <c r="K77" s="55"/>
      <c r="L77" s="56"/>
      <c r="M77" s="275"/>
    </row>
    <row r="78" spans="1:13" s="3" customFormat="1" ht="15" customHeight="1" x14ac:dyDescent="0.25">
      <c r="A78" s="16" t="s">
        <v>55</v>
      </c>
      <c r="B78" s="17" t="s">
        <v>149</v>
      </c>
      <c r="C78" s="349" t="s">
        <v>150</v>
      </c>
      <c r="D78" s="350"/>
      <c r="E78" s="351"/>
      <c r="F78" s="105" t="s">
        <v>122</v>
      </c>
      <c r="G78" s="18">
        <v>0.70499999999999996</v>
      </c>
      <c r="H78" s="52">
        <v>293414.13</v>
      </c>
      <c r="I78" s="19">
        <v>206856.95999999999</v>
      </c>
      <c r="J78" s="220">
        <f>I78*1.2</f>
        <v>248228.35199999998</v>
      </c>
      <c r="K78" s="20"/>
      <c r="L78" s="19"/>
      <c r="M78" s="220"/>
    </row>
    <row r="79" spans="1:13" s="3" customFormat="1" ht="22.5" customHeight="1" x14ac:dyDescent="0.25">
      <c r="A79" s="25"/>
      <c r="B79" s="26" t="s">
        <v>151</v>
      </c>
      <c r="C79" s="338" t="s">
        <v>152</v>
      </c>
      <c r="D79" s="338"/>
      <c r="E79" s="338"/>
      <c r="F79" s="46" t="s">
        <v>46</v>
      </c>
      <c r="G79" s="44" t="s">
        <v>650</v>
      </c>
      <c r="H79" s="53"/>
      <c r="I79" s="28"/>
      <c r="J79" s="221"/>
      <c r="K79" s="28"/>
      <c r="L79" s="29"/>
      <c r="M79" s="233"/>
    </row>
    <row r="80" spans="1:13" s="3" customFormat="1" ht="22.5" customHeight="1" x14ac:dyDescent="0.25">
      <c r="A80" s="25"/>
      <c r="B80" s="26" t="s">
        <v>153</v>
      </c>
      <c r="C80" s="338" t="s">
        <v>154</v>
      </c>
      <c r="D80" s="338"/>
      <c r="E80" s="338"/>
      <c r="F80" s="46" t="s">
        <v>155</v>
      </c>
      <c r="G80" s="44">
        <v>176.25</v>
      </c>
      <c r="H80" s="53"/>
      <c r="I80" s="28"/>
      <c r="J80" s="221"/>
      <c r="K80" s="28">
        <v>23</v>
      </c>
      <c r="L80" s="29">
        <f>K80*G80</f>
        <v>4053.75</v>
      </c>
      <c r="M80" s="233">
        <f>L80*1.2</f>
        <v>4864.5</v>
      </c>
    </row>
    <row r="81" spans="1:13" s="3" customFormat="1" ht="22.5" hidden="1" customHeight="1" x14ac:dyDescent="0.25">
      <c r="A81" s="36" t="s">
        <v>140</v>
      </c>
      <c r="B81" s="37" t="s">
        <v>156</v>
      </c>
      <c r="C81" s="352" t="s">
        <v>157</v>
      </c>
      <c r="D81" s="352"/>
      <c r="E81" s="352"/>
      <c r="F81" s="107" t="s">
        <v>46</v>
      </c>
      <c r="G81" s="100" t="s">
        <v>651</v>
      </c>
      <c r="H81" s="93"/>
      <c r="I81" s="40"/>
      <c r="J81" s="222"/>
      <c r="K81" s="40"/>
      <c r="L81" s="41"/>
      <c r="M81" s="234"/>
    </row>
    <row r="82" spans="1:13" s="3" customFormat="1" ht="23.25" customHeight="1" x14ac:dyDescent="0.25">
      <c r="A82" s="25" t="s">
        <v>126</v>
      </c>
      <c r="B82" s="26" t="s">
        <v>158</v>
      </c>
      <c r="C82" s="338" t="s">
        <v>159</v>
      </c>
      <c r="D82" s="338"/>
      <c r="E82" s="338"/>
      <c r="F82" s="46" t="s">
        <v>46</v>
      </c>
      <c r="G82" s="44">
        <v>71.91</v>
      </c>
      <c r="H82" s="53"/>
      <c r="I82" s="28"/>
      <c r="J82" s="221"/>
      <c r="K82" s="28">
        <v>12500</v>
      </c>
      <c r="L82" s="29">
        <f>K82*G82</f>
        <v>898875</v>
      </c>
      <c r="M82" s="233">
        <f>L82*1.2</f>
        <v>1078650</v>
      </c>
    </row>
    <row r="83" spans="1:13" s="3" customFormat="1" ht="15" customHeight="1" x14ac:dyDescent="0.25">
      <c r="A83" s="358" t="s">
        <v>160</v>
      </c>
      <c r="B83" s="321"/>
      <c r="C83" s="321"/>
      <c r="D83" s="321"/>
      <c r="E83" s="321"/>
      <c r="F83" s="321"/>
      <c r="G83" s="321"/>
      <c r="H83" s="55"/>
      <c r="I83" s="55"/>
      <c r="J83" s="240"/>
      <c r="K83" s="55"/>
      <c r="L83" s="56"/>
      <c r="M83" s="275"/>
    </row>
    <row r="84" spans="1:13" s="3" customFormat="1" ht="15" customHeight="1" x14ac:dyDescent="0.25">
      <c r="A84" s="16" t="s">
        <v>56</v>
      </c>
      <c r="B84" s="17" t="s">
        <v>149</v>
      </c>
      <c r="C84" s="349" t="s">
        <v>150</v>
      </c>
      <c r="D84" s="350"/>
      <c r="E84" s="351"/>
      <c r="F84" s="105" t="s">
        <v>122</v>
      </c>
      <c r="G84" s="18">
        <v>3.4000000000000002E-2</v>
      </c>
      <c r="H84" s="52">
        <f>I84/G84</f>
        <v>293421.17647058819</v>
      </c>
      <c r="I84" s="19">
        <v>9976.32</v>
      </c>
      <c r="J84" s="220">
        <f>I84*1.2</f>
        <v>11971.583999999999</v>
      </c>
      <c r="K84" s="20"/>
      <c r="L84" s="19"/>
      <c r="M84" s="220"/>
    </row>
    <row r="85" spans="1:13" s="3" customFormat="1" ht="22.5" customHeight="1" x14ac:dyDescent="0.25">
      <c r="A85" s="25"/>
      <c r="B85" s="26" t="s">
        <v>151</v>
      </c>
      <c r="C85" s="338" t="s">
        <v>152</v>
      </c>
      <c r="D85" s="338"/>
      <c r="E85" s="338"/>
      <c r="F85" s="46" t="s">
        <v>46</v>
      </c>
      <c r="G85" s="44" t="s">
        <v>652</v>
      </c>
      <c r="H85" s="53"/>
      <c r="I85" s="28"/>
      <c r="J85" s="221"/>
      <c r="K85" s="28"/>
      <c r="L85" s="29"/>
      <c r="M85" s="233"/>
    </row>
    <row r="86" spans="1:13" s="3" customFormat="1" ht="22.5" customHeight="1" x14ac:dyDescent="0.25">
      <c r="A86" s="25"/>
      <c r="B86" s="26" t="s">
        <v>153</v>
      </c>
      <c r="C86" s="338" t="s">
        <v>154</v>
      </c>
      <c r="D86" s="338"/>
      <c r="E86" s="338"/>
      <c r="F86" s="46" t="s">
        <v>155</v>
      </c>
      <c r="G86" s="44">
        <v>8.5</v>
      </c>
      <c r="H86" s="53"/>
      <c r="I86" s="28"/>
      <c r="J86" s="221"/>
      <c r="K86" s="28">
        <v>23</v>
      </c>
      <c r="L86" s="29">
        <f>K86*G86</f>
        <v>195.5</v>
      </c>
      <c r="M86" s="233">
        <f>L86*1.2</f>
        <v>234.6</v>
      </c>
    </row>
    <row r="87" spans="1:13" s="3" customFormat="1" ht="22.5" hidden="1" customHeight="1" x14ac:dyDescent="0.25">
      <c r="A87" s="36" t="s">
        <v>140</v>
      </c>
      <c r="B87" s="37" t="s">
        <v>156</v>
      </c>
      <c r="C87" s="352" t="s">
        <v>157</v>
      </c>
      <c r="D87" s="352"/>
      <c r="E87" s="352"/>
      <c r="F87" s="107" t="s">
        <v>46</v>
      </c>
      <c r="G87" s="100" t="s">
        <v>653</v>
      </c>
      <c r="H87" s="93"/>
      <c r="I87" s="40"/>
      <c r="J87" s="222"/>
      <c r="K87" s="40"/>
      <c r="L87" s="41"/>
      <c r="M87" s="234"/>
    </row>
    <row r="88" spans="1:13" s="3" customFormat="1" ht="23.25" customHeight="1" x14ac:dyDescent="0.25">
      <c r="A88" s="25" t="s">
        <v>126</v>
      </c>
      <c r="B88" s="26" t="s">
        <v>158</v>
      </c>
      <c r="C88" s="338" t="s">
        <v>159</v>
      </c>
      <c r="D88" s="338"/>
      <c r="E88" s="338"/>
      <c r="F88" s="46" t="s">
        <v>46</v>
      </c>
      <c r="G88" s="44">
        <v>3.468</v>
      </c>
      <c r="H88" s="53"/>
      <c r="I88" s="28"/>
      <c r="J88" s="221"/>
      <c r="K88" s="28">
        <v>12500</v>
      </c>
      <c r="L88" s="29">
        <f>K88*G88</f>
        <v>43350</v>
      </c>
      <c r="M88" s="233">
        <f>L88*1.2</f>
        <v>52020</v>
      </c>
    </row>
    <row r="89" spans="1:13" s="3" customFormat="1" ht="15" customHeight="1" x14ac:dyDescent="0.25">
      <c r="A89" s="358" t="s">
        <v>161</v>
      </c>
      <c r="B89" s="321"/>
      <c r="C89" s="321"/>
      <c r="D89" s="321"/>
      <c r="E89" s="321"/>
      <c r="F89" s="321"/>
      <c r="G89" s="321"/>
      <c r="H89" s="55"/>
      <c r="I89" s="55"/>
      <c r="J89" s="240"/>
      <c r="K89" s="55"/>
      <c r="L89" s="56"/>
      <c r="M89" s="275"/>
    </row>
    <row r="90" spans="1:13" s="3" customFormat="1" ht="15" customHeight="1" x14ac:dyDescent="0.25">
      <c r="A90" s="358" t="s">
        <v>162</v>
      </c>
      <c r="B90" s="321"/>
      <c r="C90" s="321"/>
      <c r="D90" s="321"/>
      <c r="E90" s="321"/>
      <c r="F90" s="321"/>
      <c r="G90" s="321"/>
      <c r="H90" s="55"/>
      <c r="I90" s="55"/>
      <c r="J90" s="240"/>
      <c r="K90" s="55"/>
      <c r="L90" s="56"/>
      <c r="M90" s="275"/>
    </row>
    <row r="91" spans="1:13" s="3" customFormat="1" ht="45.75" customHeight="1" x14ac:dyDescent="0.25">
      <c r="A91" s="16" t="s">
        <v>163</v>
      </c>
      <c r="B91" s="17" t="s">
        <v>164</v>
      </c>
      <c r="C91" s="349" t="s">
        <v>165</v>
      </c>
      <c r="D91" s="350"/>
      <c r="E91" s="351"/>
      <c r="F91" s="105" t="s">
        <v>122</v>
      </c>
      <c r="G91" s="31">
        <v>15.09</v>
      </c>
      <c r="H91" s="52">
        <f>I91/G91</f>
        <v>77123.435387673948</v>
      </c>
      <c r="I91" s="19">
        <v>1163792.6399999999</v>
      </c>
      <c r="J91" s="220">
        <f>I91*1.2</f>
        <v>1396551.1679999998</v>
      </c>
      <c r="K91" s="20"/>
      <c r="L91" s="19"/>
      <c r="M91" s="220"/>
    </row>
    <row r="92" spans="1:13" s="3" customFormat="1" ht="45.75" customHeight="1" x14ac:dyDescent="0.25">
      <c r="A92" s="16" t="s">
        <v>166</v>
      </c>
      <c r="B92" s="17" t="s">
        <v>48</v>
      </c>
      <c r="C92" s="349" t="s">
        <v>49</v>
      </c>
      <c r="D92" s="350"/>
      <c r="E92" s="351"/>
      <c r="F92" s="105" t="s">
        <v>50</v>
      </c>
      <c r="G92" s="23">
        <v>352</v>
      </c>
      <c r="H92" s="52">
        <f t="shared" ref="H92:H97" si="0">I92/G92</f>
        <v>831.5927272727273</v>
      </c>
      <c r="I92" s="19">
        <v>292720.64000000001</v>
      </c>
      <c r="J92" s="220">
        <f t="shared" ref="J92:J97" si="1">I92*1.2</f>
        <v>351264.76799999998</v>
      </c>
      <c r="K92" s="20"/>
      <c r="L92" s="19"/>
      <c r="M92" s="220"/>
    </row>
    <row r="93" spans="1:13" s="3" customFormat="1" ht="45.75" customHeight="1" x14ac:dyDescent="0.25">
      <c r="A93" s="16" t="s">
        <v>167</v>
      </c>
      <c r="B93" s="17" t="s">
        <v>168</v>
      </c>
      <c r="C93" s="349" t="s">
        <v>169</v>
      </c>
      <c r="D93" s="350"/>
      <c r="E93" s="351"/>
      <c r="F93" s="105" t="s">
        <v>50</v>
      </c>
      <c r="G93" s="23">
        <v>2578</v>
      </c>
      <c r="H93" s="52">
        <f t="shared" si="0"/>
        <v>1467.9003258339799</v>
      </c>
      <c r="I93" s="19">
        <v>3784247.04</v>
      </c>
      <c r="J93" s="220">
        <f t="shared" si="1"/>
        <v>4541096.4479999999</v>
      </c>
      <c r="K93" s="20"/>
      <c r="L93" s="19"/>
      <c r="M93" s="220"/>
    </row>
    <row r="94" spans="1:13" s="3" customFormat="1" ht="45.75" customHeight="1" x14ac:dyDescent="0.25">
      <c r="A94" s="16" t="s">
        <v>170</v>
      </c>
      <c r="B94" s="17" t="s">
        <v>171</v>
      </c>
      <c r="C94" s="349" t="s">
        <v>172</v>
      </c>
      <c r="D94" s="350"/>
      <c r="E94" s="351"/>
      <c r="F94" s="105" t="s">
        <v>122</v>
      </c>
      <c r="G94" s="31">
        <v>6.46</v>
      </c>
      <c r="H94" s="52">
        <f t="shared" si="0"/>
        <v>88988.730650154786</v>
      </c>
      <c r="I94" s="19">
        <v>574867.19999999995</v>
      </c>
      <c r="J94" s="220">
        <f t="shared" si="1"/>
        <v>689840.6399999999</v>
      </c>
      <c r="K94" s="20"/>
      <c r="L94" s="19"/>
      <c r="M94" s="220"/>
    </row>
    <row r="95" spans="1:13" s="3" customFormat="1" ht="45.75" customHeight="1" x14ac:dyDescent="0.25">
      <c r="A95" s="16" t="s">
        <v>173</v>
      </c>
      <c r="B95" s="17" t="s">
        <v>168</v>
      </c>
      <c r="C95" s="349" t="s">
        <v>169</v>
      </c>
      <c r="D95" s="350"/>
      <c r="E95" s="351"/>
      <c r="F95" s="105" t="s">
        <v>50</v>
      </c>
      <c r="G95" s="23">
        <v>1292</v>
      </c>
      <c r="H95" s="52">
        <f t="shared" si="0"/>
        <v>1467.9004334365327</v>
      </c>
      <c r="I95" s="19">
        <v>1896527.36</v>
      </c>
      <c r="J95" s="220">
        <f t="shared" si="1"/>
        <v>2275832.8319999999</v>
      </c>
      <c r="K95" s="20"/>
      <c r="L95" s="19"/>
      <c r="M95" s="220"/>
    </row>
    <row r="96" spans="1:13" s="3" customFormat="1" ht="45.75" customHeight="1" x14ac:dyDescent="0.25">
      <c r="A96" s="16" t="s">
        <v>174</v>
      </c>
      <c r="B96" s="17" t="s">
        <v>175</v>
      </c>
      <c r="C96" s="349" t="s">
        <v>176</v>
      </c>
      <c r="D96" s="350"/>
      <c r="E96" s="351"/>
      <c r="F96" s="105" t="s">
        <v>122</v>
      </c>
      <c r="G96" s="31">
        <v>4.66</v>
      </c>
      <c r="H96" s="52">
        <f t="shared" si="0"/>
        <v>120135.96566523604</v>
      </c>
      <c r="I96" s="19">
        <v>559833.59999999998</v>
      </c>
      <c r="J96" s="220">
        <f t="shared" si="1"/>
        <v>671800.31999999995</v>
      </c>
      <c r="K96" s="20"/>
      <c r="L96" s="19"/>
      <c r="M96" s="220"/>
    </row>
    <row r="97" spans="1:13" s="3" customFormat="1" ht="45.75" customHeight="1" x14ac:dyDescent="0.25">
      <c r="A97" s="16" t="s">
        <v>177</v>
      </c>
      <c r="B97" s="17" t="s">
        <v>48</v>
      </c>
      <c r="C97" s="349" t="s">
        <v>49</v>
      </c>
      <c r="D97" s="350"/>
      <c r="E97" s="351"/>
      <c r="F97" s="105" t="s">
        <v>50</v>
      </c>
      <c r="G97" s="23">
        <v>932</v>
      </c>
      <c r="H97" s="52">
        <f t="shared" si="0"/>
        <v>831.59484978540775</v>
      </c>
      <c r="I97" s="19">
        <v>775046.4</v>
      </c>
      <c r="J97" s="220">
        <f t="shared" si="1"/>
        <v>930055.68000000005</v>
      </c>
      <c r="K97" s="20"/>
      <c r="L97" s="19"/>
      <c r="M97" s="220"/>
    </row>
    <row r="98" spans="1:13" s="3" customFormat="1" ht="15" customHeight="1" x14ac:dyDescent="0.25">
      <c r="A98" s="358" t="s">
        <v>178</v>
      </c>
      <c r="B98" s="321"/>
      <c r="C98" s="321"/>
      <c r="D98" s="321"/>
      <c r="E98" s="321"/>
      <c r="F98" s="321"/>
      <c r="G98" s="321"/>
      <c r="H98" s="55"/>
      <c r="I98" s="55"/>
      <c r="J98" s="240"/>
      <c r="K98" s="55"/>
      <c r="L98" s="56"/>
      <c r="M98" s="275"/>
    </row>
    <row r="99" spans="1:13" s="3" customFormat="1" ht="23.25" customHeight="1" x14ac:dyDescent="0.25">
      <c r="A99" s="16" t="s">
        <v>179</v>
      </c>
      <c r="B99" s="17" t="s">
        <v>180</v>
      </c>
      <c r="C99" s="349" t="s">
        <v>181</v>
      </c>
      <c r="D99" s="350"/>
      <c r="E99" s="351"/>
      <c r="F99" s="105" t="s">
        <v>122</v>
      </c>
      <c r="G99" s="31">
        <v>0.33</v>
      </c>
      <c r="H99" s="52">
        <f>I99/G99</f>
        <v>139962.18181818179</v>
      </c>
      <c r="I99" s="19">
        <v>46187.519999999997</v>
      </c>
      <c r="J99" s="220">
        <f>I99*1.2</f>
        <v>55425.023999999998</v>
      </c>
      <c r="K99" s="20"/>
      <c r="L99" s="19"/>
      <c r="M99" s="220"/>
    </row>
    <row r="100" spans="1:13" s="3" customFormat="1" ht="15" customHeight="1" x14ac:dyDescent="0.25">
      <c r="A100" s="358" t="s">
        <v>182</v>
      </c>
      <c r="B100" s="321"/>
      <c r="C100" s="321"/>
      <c r="D100" s="321"/>
      <c r="E100" s="321"/>
      <c r="F100" s="321"/>
      <c r="G100" s="321"/>
      <c r="H100" s="55"/>
      <c r="I100" s="55"/>
      <c r="J100" s="240"/>
      <c r="K100" s="55"/>
      <c r="L100" s="56"/>
      <c r="M100" s="275"/>
    </row>
    <row r="101" spans="1:13" s="3" customFormat="1" ht="23.25" customHeight="1" x14ac:dyDescent="0.25">
      <c r="A101" s="16" t="s">
        <v>183</v>
      </c>
      <c r="B101" s="17" t="s">
        <v>184</v>
      </c>
      <c r="C101" s="349" t="s">
        <v>185</v>
      </c>
      <c r="D101" s="350"/>
      <c r="E101" s="351"/>
      <c r="F101" s="105" t="s">
        <v>186</v>
      </c>
      <c r="G101" s="18">
        <v>1.7709999999999999</v>
      </c>
      <c r="H101" s="52">
        <f>I101/G101</f>
        <v>742.99265951439861</v>
      </c>
      <c r="I101" s="19">
        <v>1315.84</v>
      </c>
      <c r="J101" s="220">
        <f>I101*1.2</f>
        <v>1579.0079999999998</v>
      </c>
      <c r="K101" s="20"/>
      <c r="L101" s="19"/>
      <c r="M101" s="220"/>
    </row>
    <row r="102" spans="1:13" s="3" customFormat="1" ht="15" customHeight="1" x14ac:dyDescent="0.25">
      <c r="A102" s="353" t="s">
        <v>187</v>
      </c>
      <c r="B102" s="354"/>
      <c r="C102" s="354"/>
      <c r="D102" s="354"/>
      <c r="E102" s="354"/>
      <c r="F102" s="354"/>
      <c r="G102" s="354"/>
      <c r="H102" s="89"/>
      <c r="I102" s="89"/>
      <c r="J102" s="255"/>
      <c r="K102" s="89"/>
      <c r="L102" s="90"/>
      <c r="M102" s="259"/>
    </row>
    <row r="103" spans="1:13" s="3" customFormat="1" ht="15" customHeight="1" x14ac:dyDescent="0.25">
      <c r="A103" s="358" t="s">
        <v>188</v>
      </c>
      <c r="B103" s="321"/>
      <c r="C103" s="321"/>
      <c r="D103" s="321"/>
      <c r="E103" s="321"/>
      <c r="F103" s="321"/>
      <c r="G103" s="321"/>
      <c r="H103" s="55"/>
      <c r="I103" s="55"/>
      <c r="J103" s="240"/>
      <c r="K103" s="55"/>
      <c r="L103" s="56"/>
      <c r="M103" s="275"/>
    </row>
    <row r="104" spans="1:13" s="3" customFormat="1" ht="34.5" customHeight="1" x14ac:dyDescent="0.25">
      <c r="A104" s="16" t="s">
        <v>189</v>
      </c>
      <c r="B104" s="17" t="s">
        <v>190</v>
      </c>
      <c r="C104" s="349" t="s">
        <v>191</v>
      </c>
      <c r="D104" s="350"/>
      <c r="E104" s="351"/>
      <c r="F104" s="105" t="s">
        <v>64</v>
      </c>
      <c r="G104" s="18">
        <v>1.125</v>
      </c>
      <c r="H104" s="52">
        <f>I104/G104</f>
        <v>785923.41333333333</v>
      </c>
      <c r="I104" s="19">
        <v>884163.84</v>
      </c>
      <c r="J104" s="220">
        <f>I104*1.2</f>
        <v>1060996.608</v>
      </c>
      <c r="K104" s="20">
        <v>6135</v>
      </c>
      <c r="L104" s="19">
        <f>K104*112.5</f>
        <v>690187.5</v>
      </c>
      <c r="M104" s="220">
        <f>L104*1.2</f>
        <v>828225</v>
      </c>
    </row>
    <row r="105" spans="1:13" s="3" customFormat="1" ht="23.25" customHeight="1" x14ac:dyDescent="0.25">
      <c r="A105" s="25"/>
      <c r="B105" s="26" t="s">
        <v>65</v>
      </c>
      <c r="C105" s="338" t="s">
        <v>66</v>
      </c>
      <c r="D105" s="338"/>
      <c r="E105" s="338"/>
      <c r="F105" s="46" t="s">
        <v>67</v>
      </c>
      <c r="G105" s="44" t="s">
        <v>691</v>
      </c>
      <c r="H105" s="53"/>
      <c r="I105" s="28"/>
      <c r="J105" s="221"/>
      <c r="K105" s="28"/>
      <c r="L105" s="29"/>
      <c r="M105" s="233"/>
    </row>
    <row r="106" spans="1:13" s="3" customFormat="1" ht="23.25" customHeight="1" x14ac:dyDescent="0.25">
      <c r="A106" s="25"/>
      <c r="B106" s="26" t="s">
        <v>68</v>
      </c>
      <c r="C106" s="338" t="s">
        <v>69</v>
      </c>
      <c r="D106" s="338"/>
      <c r="E106" s="338"/>
      <c r="F106" s="46" t="s">
        <v>67</v>
      </c>
      <c r="G106" s="44" t="s">
        <v>692</v>
      </c>
      <c r="H106" s="53"/>
      <c r="I106" s="28"/>
      <c r="J106" s="221"/>
      <c r="K106" s="28"/>
      <c r="L106" s="29"/>
      <c r="M106" s="233"/>
    </row>
    <row r="107" spans="1:13" s="3" customFormat="1" ht="22.5" customHeight="1" x14ac:dyDescent="0.25">
      <c r="A107" s="25"/>
      <c r="B107" s="26" t="s">
        <v>70</v>
      </c>
      <c r="C107" s="338" t="s">
        <v>71</v>
      </c>
      <c r="D107" s="338"/>
      <c r="E107" s="338"/>
      <c r="F107" s="46" t="s">
        <v>72</v>
      </c>
      <c r="G107" s="44" t="s">
        <v>693</v>
      </c>
      <c r="H107" s="53"/>
      <c r="I107" s="28"/>
      <c r="J107" s="221"/>
      <c r="K107" s="28"/>
      <c r="L107" s="29"/>
      <c r="M107" s="233"/>
    </row>
    <row r="108" spans="1:13" s="3" customFormat="1" ht="23.25" hidden="1" customHeight="1" x14ac:dyDescent="0.25">
      <c r="A108" s="36" t="s">
        <v>75</v>
      </c>
      <c r="B108" s="37" t="s">
        <v>76</v>
      </c>
      <c r="C108" s="352" t="s">
        <v>77</v>
      </c>
      <c r="D108" s="352"/>
      <c r="E108" s="352"/>
      <c r="F108" s="107" t="s">
        <v>46</v>
      </c>
      <c r="G108" s="39" t="s">
        <v>33</v>
      </c>
      <c r="H108" s="93"/>
      <c r="I108" s="40"/>
      <c r="J108" s="222"/>
      <c r="K108" s="40"/>
      <c r="L108" s="41"/>
      <c r="M108" s="234"/>
    </row>
    <row r="109" spans="1:13" s="3" customFormat="1" ht="23.25" hidden="1" customHeight="1" x14ac:dyDescent="0.25">
      <c r="A109" s="36" t="s">
        <v>75</v>
      </c>
      <c r="B109" s="37" t="s">
        <v>78</v>
      </c>
      <c r="C109" s="352" t="s">
        <v>79</v>
      </c>
      <c r="D109" s="352"/>
      <c r="E109" s="352"/>
      <c r="F109" s="107" t="s">
        <v>46</v>
      </c>
      <c r="G109" s="39" t="s">
        <v>33</v>
      </c>
      <c r="H109" s="93"/>
      <c r="I109" s="40"/>
      <c r="J109" s="222"/>
      <c r="K109" s="40"/>
      <c r="L109" s="41"/>
      <c r="M109" s="234"/>
    </row>
    <row r="110" spans="1:13" s="3" customFormat="1" ht="23.25" customHeight="1" x14ac:dyDescent="0.25">
      <c r="A110" s="25"/>
      <c r="B110" s="26" t="s">
        <v>80</v>
      </c>
      <c r="C110" s="338" t="s">
        <v>81</v>
      </c>
      <c r="D110" s="338"/>
      <c r="E110" s="338"/>
      <c r="F110" s="46" t="s">
        <v>46</v>
      </c>
      <c r="G110" s="44" t="s">
        <v>694</v>
      </c>
      <c r="H110" s="53"/>
      <c r="I110" s="28"/>
      <c r="J110" s="221"/>
      <c r="K110" s="28"/>
      <c r="L110" s="29"/>
      <c r="M110" s="233"/>
    </row>
    <row r="111" spans="1:13" s="3" customFormat="1" ht="22.5" hidden="1" customHeight="1" x14ac:dyDescent="0.25">
      <c r="A111" s="36" t="s">
        <v>75</v>
      </c>
      <c r="B111" s="37" t="s">
        <v>82</v>
      </c>
      <c r="C111" s="352" t="s">
        <v>83</v>
      </c>
      <c r="D111" s="352"/>
      <c r="E111" s="352"/>
      <c r="F111" s="107" t="s">
        <v>46</v>
      </c>
      <c r="G111" s="39" t="s">
        <v>33</v>
      </c>
      <c r="H111" s="93"/>
      <c r="I111" s="40"/>
      <c r="J111" s="222"/>
      <c r="K111" s="40"/>
      <c r="L111" s="41"/>
      <c r="M111" s="234"/>
    </row>
    <row r="112" spans="1:13" s="3" customFormat="1" ht="22.5" customHeight="1" x14ac:dyDescent="0.25">
      <c r="A112" s="25"/>
      <c r="B112" s="26" t="s">
        <v>86</v>
      </c>
      <c r="C112" s="338" t="s">
        <v>87</v>
      </c>
      <c r="D112" s="338"/>
      <c r="E112" s="338"/>
      <c r="F112" s="46" t="s">
        <v>67</v>
      </c>
      <c r="G112" s="44" t="s">
        <v>695</v>
      </c>
      <c r="H112" s="53"/>
      <c r="I112" s="28"/>
      <c r="J112" s="221"/>
      <c r="K112" s="28"/>
      <c r="L112" s="29"/>
      <c r="M112" s="233"/>
    </row>
    <row r="113" spans="1:13" s="3" customFormat="1" ht="23.25" customHeight="1" x14ac:dyDescent="0.25">
      <c r="A113" s="25" t="s">
        <v>126</v>
      </c>
      <c r="B113" s="26" t="s">
        <v>127</v>
      </c>
      <c r="C113" s="338" t="s">
        <v>128</v>
      </c>
      <c r="D113" s="338"/>
      <c r="E113" s="338"/>
      <c r="F113" s="46" t="s">
        <v>46</v>
      </c>
      <c r="G113" s="44">
        <v>11.25</v>
      </c>
      <c r="H113" s="53"/>
      <c r="I113" s="28"/>
      <c r="J113" s="221"/>
      <c r="K113" s="28"/>
      <c r="L113" s="29"/>
      <c r="M113" s="233"/>
    </row>
    <row r="114" spans="1:13" s="3" customFormat="1" ht="15" customHeight="1" x14ac:dyDescent="0.25">
      <c r="A114" s="358" t="s">
        <v>192</v>
      </c>
      <c r="B114" s="321"/>
      <c r="C114" s="321"/>
      <c r="D114" s="321"/>
      <c r="E114" s="321"/>
      <c r="F114" s="321"/>
      <c r="G114" s="321"/>
      <c r="H114" s="55"/>
      <c r="I114" s="55"/>
      <c r="J114" s="240"/>
      <c r="K114" s="55"/>
      <c r="L114" s="56"/>
      <c r="M114" s="275"/>
    </row>
    <row r="115" spans="1:13" s="3" customFormat="1" ht="23.25" customHeight="1" x14ac:dyDescent="0.25">
      <c r="A115" s="16" t="s">
        <v>193</v>
      </c>
      <c r="B115" s="17" t="s">
        <v>137</v>
      </c>
      <c r="C115" s="349" t="s">
        <v>138</v>
      </c>
      <c r="D115" s="350"/>
      <c r="E115" s="351"/>
      <c r="F115" s="105" t="s">
        <v>139</v>
      </c>
      <c r="G115" s="31">
        <v>0.51</v>
      </c>
      <c r="H115" s="52">
        <f>I115/G115</f>
        <v>206308.39215686274</v>
      </c>
      <c r="I115" s="19">
        <v>105217.28</v>
      </c>
      <c r="J115" s="220">
        <f>I115*1.2</f>
        <v>126260.73599999999</v>
      </c>
      <c r="K115" s="20">
        <v>810</v>
      </c>
      <c r="L115" s="19">
        <f>K115*51</f>
        <v>41310</v>
      </c>
      <c r="M115" s="220">
        <f>L115*1.2</f>
        <v>49572</v>
      </c>
    </row>
    <row r="116" spans="1:13" s="3" customFormat="1" ht="23.25" customHeight="1" x14ac:dyDescent="0.25">
      <c r="A116" s="25"/>
      <c r="B116" s="26" t="s">
        <v>108</v>
      </c>
      <c r="C116" s="338" t="s">
        <v>109</v>
      </c>
      <c r="D116" s="338"/>
      <c r="E116" s="338"/>
      <c r="F116" s="46" t="s">
        <v>46</v>
      </c>
      <c r="G116" s="44" t="s">
        <v>696</v>
      </c>
      <c r="H116" s="53"/>
      <c r="I116" s="28"/>
      <c r="J116" s="221"/>
      <c r="K116" s="28"/>
      <c r="L116" s="29"/>
      <c r="M116" s="233"/>
    </row>
    <row r="117" spans="1:13" s="3" customFormat="1" ht="22.5" hidden="1" customHeight="1" x14ac:dyDescent="0.25">
      <c r="A117" s="36" t="s">
        <v>140</v>
      </c>
      <c r="B117" s="37" t="s">
        <v>141</v>
      </c>
      <c r="C117" s="352" t="s">
        <v>83</v>
      </c>
      <c r="D117" s="352"/>
      <c r="E117" s="352"/>
      <c r="F117" s="107" t="s">
        <v>38</v>
      </c>
      <c r="G117" s="100" t="s">
        <v>697</v>
      </c>
      <c r="H117" s="93"/>
      <c r="I117" s="40"/>
      <c r="J117" s="222"/>
      <c r="K117" s="40"/>
      <c r="L117" s="41"/>
      <c r="M117" s="234"/>
    </row>
    <row r="118" spans="1:13" s="3" customFormat="1" ht="23.25" customHeight="1" x14ac:dyDescent="0.25">
      <c r="A118" s="25" t="s">
        <v>126</v>
      </c>
      <c r="B118" s="26" t="s">
        <v>142</v>
      </c>
      <c r="C118" s="338" t="s">
        <v>143</v>
      </c>
      <c r="D118" s="338"/>
      <c r="E118" s="338"/>
      <c r="F118" s="46" t="s">
        <v>46</v>
      </c>
      <c r="G118" s="44">
        <v>1.887</v>
      </c>
      <c r="H118" s="53"/>
      <c r="I118" s="28"/>
      <c r="J118" s="221"/>
      <c r="K118" s="28"/>
      <c r="L118" s="29"/>
      <c r="M118" s="233"/>
    </row>
    <row r="119" spans="1:13" s="3" customFormat="1" ht="15" customHeight="1" x14ac:dyDescent="0.25">
      <c r="A119" s="358" t="s">
        <v>194</v>
      </c>
      <c r="B119" s="321"/>
      <c r="C119" s="321"/>
      <c r="D119" s="321"/>
      <c r="E119" s="321"/>
      <c r="F119" s="321"/>
      <c r="G119" s="321"/>
      <c r="H119" s="55"/>
      <c r="I119" s="55"/>
      <c r="J119" s="240"/>
      <c r="K119" s="55"/>
      <c r="L119" s="56"/>
      <c r="M119" s="275"/>
    </row>
    <row r="120" spans="1:13" s="3" customFormat="1" ht="15" customHeight="1" x14ac:dyDescent="0.25">
      <c r="A120" s="16" t="s">
        <v>195</v>
      </c>
      <c r="B120" s="17" t="s">
        <v>149</v>
      </c>
      <c r="C120" s="349" t="s">
        <v>150</v>
      </c>
      <c r="D120" s="350"/>
      <c r="E120" s="351"/>
      <c r="F120" s="105" t="s">
        <v>122</v>
      </c>
      <c r="G120" s="30">
        <v>1.6999999999999999E-3</v>
      </c>
      <c r="H120" s="52">
        <f>I120/G120</f>
        <v>292894.11764705885</v>
      </c>
      <c r="I120" s="19">
        <v>497.92</v>
      </c>
      <c r="J120" s="220">
        <f>I120*1.2</f>
        <v>597.50400000000002</v>
      </c>
      <c r="K120" s="20"/>
      <c r="L120" s="19"/>
      <c r="M120" s="220"/>
    </row>
    <row r="121" spans="1:13" s="3" customFormat="1" ht="22.5" customHeight="1" x14ac:dyDescent="0.25">
      <c r="A121" s="25"/>
      <c r="B121" s="26" t="s">
        <v>151</v>
      </c>
      <c r="C121" s="338" t="s">
        <v>152</v>
      </c>
      <c r="D121" s="338"/>
      <c r="E121" s="338"/>
      <c r="F121" s="46" t="s">
        <v>46</v>
      </c>
      <c r="G121" s="44" t="s">
        <v>662</v>
      </c>
      <c r="H121" s="53"/>
      <c r="I121" s="28"/>
      <c r="J121" s="221"/>
      <c r="K121" s="28"/>
      <c r="L121" s="29"/>
      <c r="M121" s="233"/>
    </row>
    <row r="122" spans="1:13" s="3" customFormat="1" ht="22.5" customHeight="1" x14ac:dyDescent="0.25">
      <c r="A122" s="25"/>
      <c r="B122" s="26" t="s">
        <v>153</v>
      </c>
      <c r="C122" s="338" t="s">
        <v>154</v>
      </c>
      <c r="D122" s="338"/>
      <c r="E122" s="338"/>
      <c r="F122" s="46" t="s">
        <v>155</v>
      </c>
      <c r="G122" s="44">
        <v>0.42499999999999999</v>
      </c>
      <c r="H122" s="53"/>
      <c r="I122" s="28"/>
      <c r="J122" s="221"/>
      <c r="K122" s="28">
        <v>23</v>
      </c>
      <c r="L122" s="29">
        <f>K122*G122</f>
        <v>9.7750000000000004</v>
      </c>
      <c r="M122" s="233">
        <f>L122*1.2</f>
        <v>11.73</v>
      </c>
    </row>
    <row r="123" spans="1:13" s="3" customFormat="1" ht="22.5" hidden="1" customHeight="1" x14ac:dyDescent="0.25">
      <c r="A123" s="36" t="s">
        <v>140</v>
      </c>
      <c r="B123" s="37" t="s">
        <v>156</v>
      </c>
      <c r="C123" s="352" t="s">
        <v>157</v>
      </c>
      <c r="D123" s="352"/>
      <c r="E123" s="352"/>
      <c r="F123" s="107" t="s">
        <v>46</v>
      </c>
      <c r="G123" s="100" t="s">
        <v>661</v>
      </c>
      <c r="H123" s="93"/>
      <c r="I123" s="40"/>
      <c r="J123" s="222"/>
      <c r="K123" s="40"/>
      <c r="L123" s="41"/>
      <c r="M123" s="234"/>
    </row>
    <row r="124" spans="1:13" s="3" customFormat="1" ht="23.25" customHeight="1" x14ac:dyDescent="0.25">
      <c r="A124" s="25" t="s">
        <v>126</v>
      </c>
      <c r="B124" s="26" t="s">
        <v>158</v>
      </c>
      <c r="C124" s="338" t="s">
        <v>159</v>
      </c>
      <c r="D124" s="338"/>
      <c r="E124" s="338"/>
      <c r="F124" s="46" t="s">
        <v>46</v>
      </c>
      <c r="G124" s="44">
        <v>0.1734</v>
      </c>
      <c r="H124" s="53"/>
      <c r="I124" s="28"/>
      <c r="J124" s="221"/>
      <c r="K124" s="28">
        <v>12500</v>
      </c>
      <c r="L124" s="29">
        <f>K124*G124</f>
        <v>2167.5</v>
      </c>
      <c r="M124" s="233">
        <f>L124*1.2</f>
        <v>2601</v>
      </c>
    </row>
    <row r="125" spans="1:13" s="3" customFormat="1" ht="15" customHeight="1" x14ac:dyDescent="0.25">
      <c r="A125" s="353" t="s">
        <v>196</v>
      </c>
      <c r="B125" s="354"/>
      <c r="C125" s="354"/>
      <c r="D125" s="354"/>
      <c r="E125" s="354"/>
      <c r="F125" s="354"/>
      <c r="G125" s="354"/>
      <c r="H125" s="89"/>
      <c r="I125" s="89"/>
      <c r="J125" s="255"/>
      <c r="K125" s="89"/>
      <c r="L125" s="90"/>
      <c r="M125" s="259"/>
    </row>
    <row r="126" spans="1:13" s="3" customFormat="1" ht="15" customHeight="1" x14ac:dyDescent="0.25">
      <c r="A126" s="358" t="s">
        <v>197</v>
      </c>
      <c r="B126" s="321"/>
      <c r="C126" s="321"/>
      <c r="D126" s="321"/>
      <c r="E126" s="321"/>
      <c r="F126" s="321"/>
      <c r="G126" s="321"/>
      <c r="H126" s="55"/>
      <c r="I126" s="55"/>
      <c r="J126" s="240"/>
      <c r="K126" s="55"/>
      <c r="L126" s="56"/>
      <c r="M126" s="275"/>
    </row>
    <row r="127" spans="1:13" s="3" customFormat="1" ht="45.75" customHeight="1" x14ac:dyDescent="0.25">
      <c r="A127" s="16" t="s">
        <v>198</v>
      </c>
      <c r="B127" s="17" t="s">
        <v>199</v>
      </c>
      <c r="C127" s="349" t="s">
        <v>200</v>
      </c>
      <c r="D127" s="350"/>
      <c r="E127" s="351"/>
      <c r="F127" s="105" t="s">
        <v>99</v>
      </c>
      <c r="G127" s="18">
        <v>0.56899999999999995</v>
      </c>
      <c r="H127" s="52">
        <f>I127/G127</f>
        <v>275429.45518453425</v>
      </c>
      <c r="I127" s="19">
        <v>156719.35999999999</v>
      </c>
      <c r="J127" s="220">
        <f>I127*1.2</f>
        <v>188063.23199999999</v>
      </c>
      <c r="K127" s="20"/>
      <c r="L127" s="19"/>
      <c r="M127" s="220"/>
    </row>
    <row r="128" spans="1:13" s="3" customFormat="1" ht="22.5" customHeight="1" x14ac:dyDescent="0.25">
      <c r="A128" s="25"/>
      <c r="B128" s="26" t="s">
        <v>100</v>
      </c>
      <c r="C128" s="338" t="s">
        <v>101</v>
      </c>
      <c r="D128" s="338"/>
      <c r="E128" s="338"/>
      <c r="F128" s="46" t="s">
        <v>67</v>
      </c>
      <c r="G128" s="44" t="s">
        <v>660</v>
      </c>
      <c r="H128" s="53"/>
      <c r="I128" s="28"/>
      <c r="J128" s="221"/>
      <c r="K128" s="28"/>
      <c r="L128" s="29"/>
      <c r="M128" s="233"/>
    </row>
    <row r="129" spans="1:13" s="3" customFormat="1" ht="23.25" customHeight="1" x14ac:dyDescent="0.25">
      <c r="A129" s="25"/>
      <c r="B129" s="26" t="s">
        <v>78</v>
      </c>
      <c r="C129" s="338" t="s">
        <v>79</v>
      </c>
      <c r="D129" s="338"/>
      <c r="E129" s="338"/>
      <c r="F129" s="46" t="s">
        <v>46</v>
      </c>
      <c r="G129" s="44">
        <v>0.82504999999999995</v>
      </c>
      <c r="H129" s="53"/>
      <c r="I129" s="28"/>
      <c r="J129" s="221"/>
      <c r="K129" s="28">
        <v>1636.77</v>
      </c>
      <c r="L129" s="29">
        <f>K129*G129</f>
        <v>1350.4170884999999</v>
      </c>
      <c r="M129" s="233">
        <f>L129*1.2</f>
        <v>1620.5005061999998</v>
      </c>
    </row>
    <row r="130" spans="1:13" s="3" customFormat="1" ht="34.5" customHeight="1" x14ac:dyDescent="0.25">
      <c r="A130" s="25"/>
      <c r="B130" s="26" t="s">
        <v>102</v>
      </c>
      <c r="C130" s="338" t="s">
        <v>103</v>
      </c>
      <c r="D130" s="338"/>
      <c r="E130" s="338"/>
      <c r="F130" s="46" t="s">
        <v>67</v>
      </c>
      <c r="G130" s="44" t="s">
        <v>659</v>
      </c>
      <c r="H130" s="53"/>
      <c r="I130" s="28"/>
      <c r="J130" s="221"/>
      <c r="K130" s="28"/>
      <c r="L130" s="29"/>
      <c r="M130" s="233"/>
    </row>
    <row r="131" spans="1:13" s="3" customFormat="1" ht="23.25" customHeight="1" x14ac:dyDescent="0.25">
      <c r="A131" s="25"/>
      <c r="B131" s="26" t="s">
        <v>104</v>
      </c>
      <c r="C131" s="338" t="s">
        <v>105</v>
      </c>
      <c r="D131" s="338"/>
      <c r="E131" s="338"/>
      <c r="F131" s="46" t="s">
        <v>46</v>
      </c>
      <c r="G131" s="44">
        <v>2.9588000000000001</v>
      </c>
      <c r="H131" s="53"/>
      <c r="I131" s="28"/>
      <c r="J131" s="221"/>
      <c r="K131" s="28">
        <v>12500</v>
      </c>
      <c r="L131" s="29">
        <f>K131*G131</f>
        <v>36985</v>
      </c>
      <c r="M131" s="233">
        <f>L131*1.2</f>
        <v>44382</v>
      </c>
    </row>
    <row r="132" spans="1:13" s="3" customFormat="1" ht="22.5" customHeight="1" x14ac:dyDescent="0.25">
      <c r="A132" s="25"/>
      <c r="B132" s="26" t="s">
        <v>106</v>
      </c>
      <c r="C132" s="338" t="s">
        <v>107</v>
      </c>
      <c r="D132" s="338"/>
      <c r="E132" s="338"/>
      <c r="F132" s="46" t="s">
        <v>46</v>
      </c>
      <c r="G132" s="44">
        <v>6.8279999999999993E-2</v>
      </c>
      <c r="H132" s="53"/>
      <c r="I132" s="28"/>
      <c r="J132" s="221"/>
      <c r="K132" s="28">
        <v>8900</v>
      </c>
      <c r="L132" s="29">
        <f>K132*G132</f>
        <v>607.69199999999989</v>
      </c>
      <c r="M132" s="233">
        <f>L132*1.2</f>
        <v>729.2303999999998</v>
      </c>
    </row>
    <row r="133" spans="1:13" s="3" customFormat="1" ht="23.25" customHeight="1" x14ac:dyDescent="0.25">
      <c r="A133" s="25"/>
      <c r="B133" s="26" t="s">
        <v>108</v>
      </c>
      <c r="C133" s="338" t="s">
        <v>109</v>
      </c>
      <c r="D133" s="338"/>
      <c r="E133" s="338"/>
      <c r="F133" s="46" t="s">
        <v>46</v>
      </c>
      <c r="G133" s="44">
        <v>0.46657999999999999</v>
      </c>
      <c r="H133" s="53"/>
      <c r="I133" s="28"/>
      <c r="J133" s="221"/>
      <c r="K133" s="28">
        <v>6000</v>
      </c>
      <c r="L133" s="29">
        <f>K133*G133</f>
        <v>2799.48</v>
      </c>
      <c r="M133" s="233">
        <f>L133*1.2</f>
        <v>3359.3759999999997</v>
      </c>
    </row>
    <row r="134" spans="1:13" s="3" customFormat="1" ht="23.25" hidden="1" customHeight="1" x14ac:dyDescent="0.25">
      <c r="A134" s="36" t="s">
        <v>75</v>
      </c>
      <c r="B134" s="37" t="s">
        <v>110</v>
      </c>
      <c r="C134" s="352" t="s">
        <v>201</v>
      </c>
      <c r="D134" s="352"/>
      <c r="E134" s="352"/>
      <c r="F134" s="107" t="s">
        <v>112</v>
      </c>
      <c r="G134" s="39" t="s">
        <v>33</v>
      </c>
      <c r="H134" s="93"/>
      <c r="I134" s="40"/>
      <c r="J134" s="222"/>
      <c r="K134" s="40"/>
      <c r="L134" s="41"/>
      <c r="M134" s="234"/>
    </row>
    <row r="135" spans="1:13" s="3" customFormat="1" ht="22.5" hidden="1" customHeight="1" x14ac:dyDescent="0.25">
      <c r="A135" s="36" t="s">
        <v>75</v>
      </c>
      <c r="B135" s="37" t="s">
        <v>113</v>
      </c>
      <c r="C135" s="352" t="s">
        <v>114</v>
      </c>
      <c r="D135" s="352"/>
      <c r="E135" s="352"/>
      <c r="F135" s="107" t="s">
        <v>38</v>
      </c>
      <c r="G135" s="39" t="s">
        <v>33</v>
      </c>
      <c r="H135" s="93"/>
      <c r="I135" s="40"/>
      <c r="J135" s="222"/>
      <c r="K135" s="40"/>
      <c r="L135" s="41"/>
      <c r="M135" s="234"/>
    </row>
    <row r="136" spans="1:13" s="3" customFormat="1" ht="23.25" hidden="1" customHeight="1" x14ac:dyDescent="0.25">
      <c r="A136" s="36" t="s">
        <v>75</v>
      </c>
      <c r="B136" s="37" t="s">
        <v>115</v>
      </c>
      <c r="C136" s="352" t="s">
        <v>116</v>
      </c>
      <c r="D136" s="352"/>
      <c r="E136" s="352"/>
      <c r="F136" s="107" t="s">
        <v>67</v>
      </c>
      <c r="G136" s="39" t="s">
        <v>33</v>
      </c>
      <c r="H136" s="93"/>
      <c r="I136" s="40"/>
      <c r="J136" s="222"/>
      <c r="K136" s="40"/>
      <c r="L136" s="41"/>
      <c r="M136" s="234"/>
    </row>
    <row r="137" spans="1:13" s="3" customFormat="1" ht="22.5" hidden="1" customHeight="1" x14ac:dyDescent="0.25">
      <c r="A137" s="36" t="s">
        <v>75</v>
      </c>
      <c r="B137" s="37" t="s">
        <v>117</v>
      </c>
      <c r="C137" s="352" t="s">
        <v>118</v>
      </c>
      <c r="D137" s="352"/>
      <c r="E137" s="352"/>
      <c r="F137" s="107" t="s">
        <v>38</v>
      </c>
      <c r="G137" s="39" t="s">
        <v>33</v>
      </c>
      <c r="H137" s="93"/>
      <c r="I137" s="40"/>
      <c r="J137" s="222"/>
      <c r="K137" s="40"/>
      <c r="L137" s="41"/>
      <c r="M137" s="234"/>
    </row>
    <row r="138" spans="1:13" s="3" customFormat="1" ht="23.25" customHeight="1" x14ac:dyDescent="0.25">
      <c r="A138" s="25" t="s">
        <v>126</v>
      </c>
      <c r="B138" s="26" t="s">
        <v>202</v>
      </c>
      <c r="C138" s="338" t="s">
        <v>79</v>
      </c>
      <c r="D138" s="338"/>
      <c r="E138" s="338"/>
      <c r="F138" s="46" t="s">
        <v>46</v>
      </c>
      <c r="G138" s="44">
        <v>0.82504999999999995</v>
      </c>
      <c r="H138" s="53"/>
      <c r="I138" s="28"/>
      <c r="J138" s="221"/>
      <c r="K138" s="28">
        <v>1636.77</v>
      </c>
      <c r="L138" s="29">
        <f>K138*G138</f>
        <v>1350.4170884999999</v>
      </c>
      <c r="M138" s="233">
        <f t="shared" ref="M138:M142" si="2">L138*1.2</f>
        <v>1620.5005061999998</v>
      </c>
    </row>
    <row r="139" spans="1:13" s="3" customFormat="1" ht="34.5" customHeight="1" x14ac:dyDescent="0.25">
      <c r="A139" s="25" t="s">
        <v>126</v>
      </c>
      <c r="B139" s="26" t="s">
        <v>203</v>
      </c>
      <c r="C139" s="338" t="s">
        <v>204</v>
      </c>
      <c r="D139" s="338"/>
      <c r="E139" s="338"/>
      <c r="F139" s="46" t="s">
        <v>38</v>
      </c>
      <c r="G139" s="44" t="s">
        <v>658</v>
      </c>
      <c r="H139" s="53"/>
      <c r="I139" s="28"/>
      <c r="J139" s="221"/>
      <c r="K139" s="28">
        <v>7965</v>
      </c>
      <c r="L139" s="29">
        <f>K139*7</f>
        <v>55755</v>
      </c>
      <c r="M139" s="233">
        <f t="shared" si="2"/>
        <v>66906</v>
      </c>
    </row>
    <row r="140" spans="1:13" s="3" customFormat="1" ht="34.5" customHeight="1" x14ac:dyDescent="0.25">
      <c r="A140" s="25" t="s">
        <v>126</v>
      </c>
      <c r="B140" s="26" t="s">
        <v>205</v>
      </c>
      <c r="C140" s="338" t="s">
        <v>206</v>
      </c>
      <c r="D140" s="338"/>
      <c r="E140" s="338"/>
      <c r="F140" s="46" t="s">
        <v>38</v>
      </c>
      <c r="G140" s="44" t="s">
        <v>657</v>
      </c>
      <c r="H140" s="53"/>
      <c r="I140" s="28"/>
      <c r="J140" s="221"/>
      <c r="K140" s="28">
        <v>8073</v>
      </c>
      <c r="L140" s="29">
        <f>K140*2</f>
        <v>16146</v>
      </c>
      <c r="M140" s="233">
        <f t="shared" si="2"/>
        <v>19375.2</v>
      </c>
    </row>
    <row r="141" spans="1:13" s="3" customFormat="1" ht="23.25" customHeight="1" x14ac:dyDescent="0.25">
      <c r="A141" s="25" t="s">
        <v>126</v>
      </c>
      <c r="B141" s="26" t="s">
        <v>207</v>
      </c>
      <c r="C141" s="338" t="s">
        <v>208</v>
      </c>
      <c r="D141" s="338"/>
      <c r="E141" s="338"/>
      <c r="F141" s="46" t="s">
        <v>38</v>
      </c>
      <c r="G141" s="44" t="s">
        <v>656</v>
      </c>
      <c r="H141" s="53"/>
      <c r="I141" s="28"/>
      <c r="J141" s="221"/>
      <c r="K141" s="28">
        <v>972</v>
      </c>
      <c r="L141" s="29">
        <f t="shared" ref="L141:L142" si="3">K141*3</f>
        <v>2916</v>
      </c>
      <c r="M141" s="233">
        <f t="shared" si="2"/>
        <v>3499.2</v>
      </c>
    </row>
    <row r="142" spans="1:13" s="3" customFormat="1" ht="23.25" customHeight="1" x14ac:dyDescent="0.25">
      <c r="A142" s="25" t="s">
        <v>126</v>
      </c>
      <c r="B142" s="26" t="s">
        <v>209</v>
      </c>
      <c r="C142" s="338" t="s">
        <v>210</v>
      </c>
      <c r="D142" s="338"/>
      <c r="E142" s="338"/>
      <c r="F142" s="46" t="s">
        <v>38</v>
      </c>
      <c r="G142" s="44" t="s">
        <v>656</v>
      </c>
      <c r="H142" s="53"/>
      <c r="I142" s="28"/>
      <c r="J142" s="221"/>
      <c r="K142" s="28">
        <v>10144</v>
      </c>
      <c r="L142" s="29">
        <f t="shared" si="3"/>
        <v>30432</v>
      </c>
      <c r="M142" s="233">
        <f t="shared" si="2"/>
        <v>36518.400000000001</v>
      </c>
    </row>
    <row r="143" spans="1:13" s="3" customFormat="1" ht="22.5" customHeight="1" x14ac:dyDescent="0.25">
      <c r="A143" s="25" t="s">
        <v>126</v>
      </c>
      <c r="B143" s="26" t="s">
        <v>211</v>
      </c>
      <c r="C143" s="338" t="s">
        <v>212</v>
      </c>
      <c r="D143" s="338"/>
      <c r="E143" s="338"/>
      <c r="F143" s="46" t="s">
        <v>38</v>
      </c>
      <c r="G143" s="44" t="s">
        <v>656</v>
      </c>
      <c r="H143" s="53"/>
      <c r="I143" s="28"/>
      <c r="J143" s="221"/>
      <c r="K143" s="28">
        <v>10125</v>
      </c>
      <c r="L143" s="29">
        <f>K143*3</f>
        <v>30375</v>
      </c>
      <c r="M143" s="233">
        <f>L143*1.2</f>
        <v>36450</v>
      </c>
    </row>
    <row r="144" spans="1:13" s="3" customFormat="1" ht="15" customHeight="1" x14ac:dyDescent="0.25">
      <c r="A144" s="358" t="s">
        <v>213</v>
      </c>
      <c r="B144" s="321"/>
      <c r="C144" s="321"/>
      <c r="D144" s="321"/>
      <c r="E144" s="321"/>
      <c r="F144" s="321"/>
      <c r="G144" s="321"/>
      <c r="H144" s="55"/>
      <c r="I144" s="55"/>
      <c r="J144" s="240"/>
      <c r="K144" s="55"/>
      <c r="L144" s="56"/>
      <c r="M144" s="275"/>
    </row>
    <row r="145" spans="1:13" s="3" customFormat="1" ht="15" customHeight="1" x14ac:dyDescent="0.25">
      <c r="A145" s="358" t="s">
        <v>214</v>
      </c>
      <c r="B145" s="321"/>
      <c r="C145" s="321"/>
      <c r="D145" s="321"/>
      <c r="E145" s="321"/>
      <c r="F145" s="321"/>
      <c r="G145" s="321"/>
      <c r="H145" s="55"/>
      <c r="I145" s="55"/>
      <c r="J145" s="240"/>
      <c r="K145" s="55"/>
      <c r="L145" s="56"/>
      <c r="M145" s="275"/>
    </row>
    <row r="146" spans="1:13" s="3" customFormat="1" ht="15" customHeight="1" x14ac:dyDescent="0.25">
      <c r="A146" s="358" t="s">
        <v>215</v>
      </c>
      <c r="B146" s="321"/>
      <c r="C146" s="321"/>
      <c r="D146" s="321"/>
      <c r="E146" s="321"/>
      <c r="F146" s="321"/>
      <c r="G146" s="55"/>
      <c r="H146" s="55"/>
      <c r="I146" s="55"/>
      <c r="J146" s="240"/>
      <c r="K146" s="55"/>
      <c r="L146" s="56"/>
      <c r="M146" s="275"/>
    </row>
    <row r="147" spans="1:13" s="3" customFormat="1" ht="34.5" customHeight="1" x14ac:dyDescent="0.25">
      <c r="A147" s="16" t="s">
        <v>216</v>
      </c>
      <c r="B147" s="17" t="s">
        <v>217</v>
      </c>
      <c r="C147" s="349" t="s">
        <v>218</v>
      </c>
      <c r="D147" s="350"/>
      <c r="E147" s="351"/>
      <c r="F147" s="105" t="s">
        <v>43</v>
      </c>
      <c r="G147" s="30">
        <v>0.2049</v>
      </c>
      <c r="H147" s="52">
        <f>I147/G147</f>
        <v>14567.886774036115</v>
      </c>
      <c r="I147" s="19">
        <v>2984.96</v>
      </c>
      <c r="J147" s="220">
        <f>I147*1.2</f>
        <v>3581.9519999999998</v>
      </c>
      <c r="K147" s="20"/>
      <c r="L147" s="19"/>
      <c r="M147" s="220"/>
    </row>
    <row r="148" spans="1:13" s="3" customFormat="1" ht="57" customHeight="1" x14ac:dyDescent="0.25">
      <c r="A148" s="16" t="s">
        <v>219</v>
      </c>
      <c r="B148" s="17" t="s">
        <v>220</v>
      </c>
      <c r="C148" s="349" t="s">
        <v>221</v>
      </c>
      <c r="D148" s="350"/>
      <c r="E148" s="351"/>
      <c r="F148" s="105" t="s">
        <v>43</v>
      </c>
      <c r="G148" s="30">
        <v>0.2049</v>
      </c>
      <c r="H148" s="52">
        <f>I148/G148</f>
        <v>96203.025866276235</v>
      </c>
      <c r="I148" s="19">
        <v>19712</v>
      </c>
      <c r="J148" s="220">
        <f t="shared" ref="J148:J149" si="4">I148*1.2</f>
        <v>23654.399999999998</v>
      </c>
      <c r="K148" s="20"/>
      <c r="L148" s="19"/>
      <c r="M148" s="220"/>
    </row>
    <row r="149" spans="1:13" s="3" customFormat="1" ht="45.75" customHeight="1" x14ac:dyDescent="0.25">
      <c r="A149" s="16" t="s">
        <v>222</v>
      </c>
      <c r="B149" s="17" t="s">
        <v>168</v>
      </c>
      <c r="C149" s="349" t="s">
        <v>169</v>
      </c>
      <c r="D149" s="350"/>
      <c r="E149" s="351"/>
      <c r="F149" s="105" t="s">
        <v>50</v>
      </c>
      <c r="G149" s="31">
        <v>368.82</v>
      </c>
      <c r="H149" s="52">
        <f>I149/G149</f>
        <v>1467.9013068705601</v>
      </c>
      <c r="I149" s="19">
        <v>541391.35999999999</v>
      </c>
      <c r="J149" s="220">
        <f t="shared" si="4"/>
        <v>649669.63199999998</v>
      </c>
      <c r="K149" s="20"/>
      <c r="L149" s="19"/>
      <c r="M149" s="220"/>
    </row>
    <row r="150" spans="1:13" s="3" customFormat="1" ht="15" customHeight="1" x14ac:dyDescent="0.25">
      <c r="A150" s="358" t="s">
        <v>223</v>
      </c>
      <c r="B150" s="321"/>
      <c r="C150" s="321"/>
      <c r="D150" s="321"/>
      <c r="E150" s="321"/>
      <c r="F150" s="321"/>
      <c r="G150" s="321"/>
      <c r="H150" s="55"/>
      <c r="I150" s="55"/>
      <c r="J150" s="240"/>
      <c r="K150" s="55"/>
      <c r="L150" s="56"/>
      <c r="M150" s="275"/>
    </row>
    <row r="151" spans="1:13" s="3" customFormat="1" ht="34.5" customHeight="1" x14ac:dyDescent="0.25">
      <c r="A151" s="16" t="s">
        <v>224</v>
      </c>
      <c r="B151" s="17" t="s">
        <v>225</v>
      </c>
      <c r="C151" s="349" t="s">
        <v>226</v>
      </c>
      <c r="D151" s="350"/>
      <c r="E151" s="351"/>
      <c r="F151" s="105" t="s">
        <v>43</v>
      </c>
      <c r="G151" s="30">
        <v>0.1104</v>
      </c>
      <c r="H151" s="52">
        <f>I151/G151</f>
        <v>19559.420289855076</v>
      </c>
      <c r="I151" s="19">
        <v>2159.36</v>
      </c>
      <c r="J151" s="220">
        <f>I151*1.2</f>
        <v>2591.232</v>
      </c>
      <c r="K151" s="20"/>
      <c r="L151" s="19"/>
      <c r="M151" s="220"/>
    </row>
    <row r="152" spans="1:13" s="3" customFormat="1" ht="57" customHeight="1" x14ac:dyDescent="0.25">
      <c r="A152" s="16" t="s">
        <v>227</v>
      </c>
      <c r="B152" s="17" t="s">
        <v>228</v>
      </c>
      <c r="C152" s="349" t="s">
        <v>229</v>
      </c>
      <c r="D152" s="350"/>
      <c r="E152" s="351"/>
      <c r="F152" s="105" t="s">
        <v>43</v>
      </c>
      <c r="G152" s="30">
        <v>0.1104</v>
      </c>
      <c r="H152" s="52">
        <f t="shared" ref="H152:H153" si="5">I152/G152</f>
        <v>116243.47826086957</v>
      </c>
      <c r="I152" s="19">
        <v>12833.28</v>
      </c>
      <c r="J152" s="220">
        <f t="shared" ref="J152:J153" si="6">I152*1.2</f>
        <v>15399.936</v>
      </c>
      <c r="K152" s="20"/>
      <c r="L152" s="19"/>
      <c r="M152" s="220"/>
    </row>
    <row r="153" spans="1:13" s="3" customFormat="1" ht="45.75" customHeight="1" x14ac:dyDescent="0.25">
      <c r="A153" s="16" t="s">
        <v>230</v>
      </c>
      <c r="B153" s="17" t="s">
        <v>48</v>
      </c>
      <c r="C153" s="349" t="s">
        <v>49</v>
      </c>
      <c r="D153" s="350"/>
      <c r="E153" s="351"/>
      <c r="F153" s="105" t="s">
        <v>50</v>
      </c>
      <c r="G153" s="31">
        <v>198.72</v>
      </c>
      <c r="H153" s="52">
        <f t="shared" si="5"/>
        <v>831.59420289855075</v>
      </c>
      <c r="I153" s="19">
        <v>165254.39999999999</v>
      </c>
      <c r="J153" s="220">
        <f t="shared" si="6"/>
        <v>198305.28</v>
      </c>
      <c r="K153" s="20"/>
      <c r="L153" s="19"/>
      <c r="M153" s="220"/>
    </row>
    <row r="154" spans="1:13" s="3" customFormat="1" ht="15" customHeight="1" x14ac:dyDescent="0.25">
      <c r="A154" s="358" t="s">
        <v>231</v>
      </c>
      <c r="B154" s="321"/>
      <c r="C154" s="321"/>
      <c r="D154" s="321"/>
      <c r="E154" s="321"/>
      <c r="F154" s="321"/>
      <c r="G154" s="321"/>
      <c r="H154" s="55"/>
      <c r="I154" s="55"/>
      <c r="J154" s="240"/>
      <c r="K154" s="55"/>
      <c r="L154" s="56"/>
      <c r="M154" s="275"/>
    </row>
    <row r="155" spans="1:13" s="3" customFormat="1" ht="15" x14ac:dyDescent="0.25">
      <c r="A155" s="16" t="s">
        <v>232</v>
      </c>
      <c r="B155" s="17" t="s">
        <v>225</v>
      </c>
      <c r="C155" s="319" t="s">
        <v>226</v>
      </c>
      <c r="D155" s="319"/>
      <c r="E155" s="319"/>
      <c r="F155" s="105" t="s">
        <v>43</v>
      </c>
      <c r="G155" s="18">
        <v>1.4999999999999999E-2</v>
      </c>
      <c r="H155" s="52">
        <f>I155/G155</f>
        <v>19541.333333333336</v>
      </c>
      <c r="I155" s="19">
        <v>293.12</v>
      </c>
      <c r="J155" s="220">
        <f>I155*1.2</f>
        <v>351.74399999999997</v>
      </c>
      <c r="K155" s="20"/>
      <c r="L155" s="19"/>
      <c r="M155" s="220"/>
    </row>
    <row r="156" spans="1:13" s="3" customFormat="1" ht="15" customHeight="1" x14ac:dyDescent="0.25">
      <c r="A156" s="358" t="s">
        <v>233</v>
      </c>
      <c r="B156" s="321"/>
      <c r="C156" s="321"/>
      <c r="D156" s="321"/>
      <c r="E156" s="321"/>
      <c r="F156" s="321"/>
      <c r="G156" s="321"/>
      <c r="H156" s="55"/>
      <c r="I156" s="55"/>
      <c r="J156" s="240"/>
      <c r="K156" s="55"/>
      <c r="L156" s="56"/>
      <c r="M156" s="275"/>
    </row>
    <row r="157" spans="1:13" s="3" customFormat="1" ht="15" x14ac:dyDescent="0.25">
      <c r="A157" s="16" t="s">
        <v>234</v>
      </c>
      <c r="B157" s="17" t="s">
        <v>235</v>
      </c>
      <c r="C157" s="319" t="s">
        <v>236</v>
      </c>
      <c r="D157" s="319"/>
      <c r="E157" s="319"/>
      <c r="F157" s="105" t="s">
        <v>64</v>
      </c>
      <c r="G157" s="18">
        <v>1.165</v>
      </c>
      <c r="H157" s="52">
        <f>I157/G157</f>
        <v>50650.643776824036</v>
      </c>
      <c r="I157" s="19">
        <v>59008</v>
      </c>
      <c r="J157" s="220">
        <f>I157*1.2</f>
        <v>70809.599999999991</v>
      </c>
      <c r="K157" s="20"/>
      <c r="L157" s="19"/>
      <c r="M157" s="220"/>
    </row>
    <row r="158" spans="1:13" s="3" customFormat="1" ht="22.5" x14ac:dyDescent="0.25">
      <c r="A158" s="25"/>
      <c r="B158" s="26" t="s">
        <v>151</v>
      </c>
      <c r="C158" s="338" t="s">
        <v>152</v>
      </c>
      <c r="D158" s="338"/>
      <c r="E158" s="338"/>
      <c r="F158" s="46" t="s">
        <v>46</v>
      </c>
      <c r="G158" s="44" t="s">
        <v>655</v>
      </c>
      <c r="H158" s="53"/>
      <c r="I158" s="28"/>
      <c r="J158" s="221"/>
      <c r="K158" s="28"/>
      <c r="L158" s="29"/>
      <c r="M158" s="233"/>
    </row>
    <row r="159" spans="1:13" s="3" customFormat="1" ht="15" x14ac:dyDescent="0.25">
      <c r="A159" s="25" t="s">
        <v>126</v>
      </c>
      <c r="B159" s="26" t="s">
        <v>237</v>
      </c>
      <c r="C159" s="338" t="s">
        <v>238</v>
      </c>
      <c r="D159" s="338"/>
      <c r="E159" s="338"/>
      <c r="F159" s="46" t="s">
        <v>112</v>
      </c>
      <c r="G159" s="44">
        <v>116.5</v>
      </c>
      <c r="H159" s="53"/>
      <c r="I159" s="28"/>
      <c r="J159" s="221"/>
      <c r="K159" s="28">
        <v>905</v>
      </c>
      <c r="L159" s="29">
        <f>K159*G159</f>
        <v>105432.5</v>
      </c>
      <c r="M159" s="233">
        <f>L159*1.2</f>
        <v>126519</v>
      </c>
    </row>
    <row r="160" spans="1:13" s="3" customFormat="1" ht="15" customHeight="1" x14ac:dyDescent="0.25">
      <c r="A160" s="358" t="s">
        <v>239</v>
      </c>
      <c r="B160" s="321"/>
      <c r="C160" s="321"/>
      <c r="D160" s="321"/>
      <c r="E160" s="321"/>
      <c r="F160" s="321"/>
      <c r="G160" s="321"/>
      <c r="H160" s="55"/>
      <c r="I160" s="55"/>
      <c r="J160" s="240"/>
      <c r="K160" s="55"/>
      <c r="L160" s="56"/>
      <c r="M160" s="275"/>
    </row>
    <row r="161" spans="1:13" s="3" customFormat="1" ht="15" x14ac:dyDescent="0.25">
      <c r="A161" s="16" t="s">
        <v>240</v>
      </c>
      <c r="B161" s="17" t="s">
        <v>120</v>
      </c>
      <c r="C161" s="319" t="s">
        <v>121</v>
      </c>
      <c r="D161" s="319"/>
      <c r="E161" s="319"/>
      <c r="F161" s="105" t="s">
        <v>122</v>
      </c>
      <c r="G161" s="18">
        <v>2.714</v>
      </c>
      <c r="H161" s="52">
        <f>I161/G161</f>
        <v>127435.46057479735</v>
      </c>
      <c r="I161" s="19">
        <v>345859.84000000003</v>
      </c>
      <c r="J161" s="220">
        <f>I161*1.2</f>
        <v>415031.80800000002</v>
      </c>
      <c r="K161" s="20"/>
      <c r="L161" s="19"/>
      <c r="M161" s="220"/>
    </row>
    <row r="162" spans="1:13" s="3" customFormat="1" ht="15" x14ac:dyDescent="0.25">
      <c r="A162" s="16" t="s">
        <v>241</v>
      </c>
      <c r="B162" s="17" t="s">
        <v>202</v>
      </c>
      <c r="C162" s="319" t="s">
        <v>79</v>
      </c>
      <c r="D162" s="319"/>
      <c r="E162" s="319"/>
      <c r="F162" s="105" t="s">
        <v>46</v>
      </c>
      <c r="G162" s="31">
        <v>298.54000000000002</v>
      </c>
      <c r="H162" s="52"/>
      <c r="I162" s="19"/>
      <c r="J162" s="220"/>
      <c r="K162" s="20">
        <v>1636.77</v>
      </c>
      <c r="L162" s="19">
        <f>K162*G162</f>
        <v>488641.31580000004</v>
      </c>
      <c r="M162" s="220">
        <f>L162*1.2</f>
        <v>586369.57896000007</v>
      </c>
    </row>
    <row r="163" spans="1:13" s="3" customFormat="1" ht="15" customHeight="1" x14ac:dyDescent="0.25">
      <c r="A163" s="358" t="s">
        <v>242</v>
      </c>
      <c r="B163" s="321"/>
      <c r="C163" s="321"/>
      <c r="D163" s="321"/>
      <c r="E163" s="321"/>
      <c r="F163" s="321"/>
      <c r="G163" s="321"/>
      <c r="H163" s="55"/>
      <c r="I163" s="55"/>
      <c r="J163" s="240"/>
      <c r="K163" s="55"/>
      <c r="L163" s="56"/>
      <c r="M163" s="275"/>
    </row>
    <row r="164" spans="1:13" s="3" customFormat="1" ht="28.5" customHeight="1" x14ac:dyDescent="0.25">
      <c r="A164" s="16" t="s">
        <v>243</v>
      </c>
      <c r="B164" s="17" t="s">
        <v>180</v>
      </c>
      <c r="C164" s="319" t="s">
        <v>181</v>
      </c>
      <c r="D164" s="319"/>
      <c r="E164" s="319"/>
      <c r="F164" s="105" t="s">
        <v>122</v>
      </c>
      <c r="G164" s="18">
        <v>0.504</v>
      </c>
      <c r="H164" s="52">
        <f>I164/G164</f>
        <v>139961.90476190476</v>
      </c>
      <c r="I164" s="19">
        <v>70540.800000000003</v>
      </c>
      <c r="J164" s="220">
        <f>I164*1.2</f>
        <v>84648.960000000006</v>
      </c>
      <c r="K164" s="20"/>
      <c r="L164" s="19"/>
      <c r="M164" s="220"/>
    </row>
    <row r="165" spans="1:13" s="3" customFormat="1" ht="25.5" customHeight="1" x14ac:dyDescent="0.25">
      <c r="A165" s="16" t="s">
        <v>244</v>
      </c>
      <c r="B165" s="17" t="s">
        <v>146</v>
      </c>
      <c r="C165" s="319" t="s">
        <v>45</v>
      </c>
      <c r="D165" s="319"/>
      <c r="E165" s="319"/>
      <c r="F165" s="105" t="s">
        <v>46</v>
      </c>
      <c r="G165" s="18">
        <v>63.503999999999998</v>
      </c>
      <c r="H165" s="52"/>
      <c r="I165" s="19"/>
      <c r="J165" s="220"/>
      <c r="K165" s="20">
        <v>2416.67</v>
      </c>
      <c r="L165" s="19">
        <f>K165*G165</f>
        <v>153468.21168000001</v>
      </c>
      <c r="M165" s="220">
        <f>L165*1.2</f>
        <v>184161.854016</v>
      </c>
    </row>
    <row r="166" spans="1:13" s="3" customFormat="1" ht="20.25" customHeight="1" x14ac:dyDescent="0.25">
      <c r="A166" s="330" t="s">
        <v>57</v>
      </c>
      <c r="B166" s="331"/>
      <c r="C166" s="331"/>
      <c r="D166" s="331"/>
      <c r="E166" s="331"/>
      <c r="F166" s="331"/>
      <c r="G166" s="331"/>
      <c r="H166" s="60"/>
      <c r="I166" s="61">
        <f>SUM(I12:I165)</f>
        <v>55360615.680000022</v>
      </c>
      <c r="J166" s="223">
        <f>SUM(J12:J165)</f>
        <v>66432738.816</v>
      </c>
      <c r="K166" s="66"/>
      <c r="L166" s="81">
        <f>SUM(L12:L165)</f>
        <v>27152572.845457003</v>
      </c>
      <c r="M166" s="253">
        <f>SUM(M12:M165)</f>
        <v>32583087.414548393</v>
      </c>
    </row>
    <row r="167" spans="1:13" s="48" customFormat="1" ht="20.25" customHeight="1" thickBot="1" x14ac:dyDescent="0.3">
      <c r="A167" s="332" t="s">
        <v>829</v>
      </c>
      <c r="B167" s="333"/>
      <c r="C167" s="333"/>
      <c r="D167" s="333"/>
      <c r="E167" s="333"/>
      <c r="F167" s="333"/>
      <c r="G167" s="333"/>
      <c r="H167" s="82"/>
      <c r="I167" s="322">
        <f>I166+L166</f>
        <v>82513188.525457025</v>
      </c>
      <c r="J167" s="323"/>
      <c r="K167" s="323"/>
      <c r="L167" s="323"/>
      <c r="M167" s="324"/>
    </row>
    <row r="168" spans="1:13" s="48" customFormat="1" ht="20.25" customHeight="1" thickBot="1" x14ac:dyDescent="0.3">
      <c r="A168" s="332" t="s">
        <v>828</v>
      </c>
      <c r="B168" s="333"/>
      <c r="C168" s="333"/>
      <c r="D168" s="333"/>
      <c r="E168" s="333"/>
      <c r="F168" s="333"/>
      <c r="G168" s="333"/>
      <c r="H168" s="82"/>
      <c r="I168" s="325">
        <f>J166+M166</f>
        <v>99015826.230548397</v>
      </c>
      <c r="J168" s="326"/>
      <c r="K168" s="326"/>
      <c r="L168" s="326"/>
      <c r="M168" s="327"/>
    </row>
    <row r="169" spans="1:13" s="3" customFormat="1" ht="15" x14ac:dyDescent="0.25">
      <c r="A169" s="4"/>
      <c r="B169" s="4"/>
      <c r="C169" s="4"/>
      <c r="D169" s="4"/>
      <c r="E169" s="4"/>
      <c r="F169" s="106"/>
      <c r="G169" s="4"/>
      <c r="H169" s="4"/>
      <c r="I169" s="35"/>
      <c r="J169" s="258"/>
      <c r="K169" s="35"/>
      <c r="L169" s="4"/>
      <c r="M169" s="236"/>
    </row>
    <row r="170" spans="1:13" s="3" customFormat="1" ht="53.25" customHeight="1" x14ac:dyDescent="0.25">
      <c r="A170" s="4"/>
      <c r="B170" s="4"/>
      <c r="C170" s="4"/>
      <c r="D170" s="4"/>
      <c r="E170" s="4"/>
      <c r="F170" s="106"/>
      <c r="G170" s="4"/>
      <c r="H170" s="49"/>
      <c r="I170" s="49"/>
      <c r="J170" s="213"/>
      <c r="K170" s="49"/>
      <c r="L170" s="49"/>
      <c r="M170" s="213"/>
    </row>
  </sheetData>
  <autoFilter ref="A9:M168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4"/>
        <filter val="5"/>
        <filter val="6"/>
        <filter val="7"/>
        <filter val="8"/>
        <filter val="9"/>
        <filter val="ВСЕГО по смете"/>
        <filter val="ВСЕГО, без НДС"/>
        <filter val="ВСЕГО, с НДС"/>
        <filter val="Д"/>
        <filter val="Железобетонные крышки для междупутных лотков  l типа-0,75 м"/>
        <filter val="Железобетонные крышки для междупутных лотков II типа-0,75 м"/>
        <filter val="Железобетонные распорные крышки для междушпальных лотков l типа l-0,75 м"/>
        <filter val="Засыпка дренирующим грунтом"/>
        <filter val="Засыпка щебнем фракции 20-40 мм М 800"/>
        <filter val="Засыпка щебнем фракции 20-40 мм М 800 - работа учтена в ФЕР30-07-030"/>
        <filter val="Обратная засыпка котлована"/>
        <filter val="Планировка засыпки"/>
        <filter val="Погрузка и вывоз грунта"/>
        <filter val="Раздел 1. Устройство междупутных лотков"/>
        <filter val="Раздел 2. Устройство водоотвода от централизованных стрелочных переводов"/>
        <filter val="Раздел 3. Водоотвод 10 пути"/>
        <filter val="Разработка котлована в грунте механизированным способом"/>
        <filter val="Разработка котлована в грунте механизированным способом - учтено в ФЕР30-07-030"/>
        <filter val="Срезка грунта бульдозером ИГЭ (1) (группа грунтов 1) + вывоз согласно транспортной схеме"/>
        <filter val="Срезка грунта бульдозером ИГЭ (3) (группа грунтов 3) + вывоз согласно транспортной схеме"/>
        <filter val="Срезка грунта бульдозером ИГЭ (3) (группа грунтов 3) в засыпку котлована"/>
        <filter val="Труба дренажная ПНД160"/>
        <filter val="Установка железобетонного колодца диаметром 1,5 м"/>
        <filter val="Устройство дренажа"/>
        <filter val="Устройство железобетонного лотка h-1,00 м (междупутного)"/>
        <filter val="Устройство железобетонного лотка I типа h-0,35 м (междушпального)"/>
        <filter val="Устройство железобетонного лотка I типа h-0,70 м (междушпального)"/>
        <filter val="Устройство железобетонного лотка II типа h-1,25 м (междупутного)"/>
        <filter val="Устройство наполнения начального звена лотка монолитным бетоном B-15"/>
        <filter val="Устройство наполнения начального/конечного звеньев лотка монолитным бетоном B-15"/>
        <filter val="Устройство прилива по дну лотка монолитным бетоном В-15"/>
        <filter val="Щебеночная подготовка лотка (щебень фракции 20-40 мм М 800) - работа учтена в ФЕР30-07-030"/>
      </filters>
    </filterColumn>
    <filterColumn colId="2" showButton="0"/>
    <filterColumn colId="3" showButton="0"/>
  </autoFilter>
  <mergeCells count="168">
    <mergeCell ref="I167:M167"/>
    <mergeCell ref="I168:M168"/>
    <mergeCell ref="A5:M5"/>
    <mergeCell ref="C6:G6"/>
    <mergeCell ref="A2:M2"/>
    <mergeCell ref="A3:M3"/>
    <mergeCell ref="A4:M4"/>
    <mergeCell ref="C8:E8"/>
    <mergeCell ref="C9:E9"/>
    <mergeCell ref="C14:E14"/>
    <mergeCell ref="C15:E15"/>
    <mergeCell ref="C16:E16"/>
    <mergeCell ref="C17:E17"/>
    <mergeCell ref="C18:E18"/>
    <mergeCell ref="C12:E12"/>
    <mergeCell ref="C13:E13"/>
    <mergeCell ref="A11:G11"/>
    <mergeCell ref="A10:G10"/>
    <mergeCell ref="C25:E25"/>
    <mergeCell ref="C26:E26"/>
    <mergeCell ref="C27:E27"/>
    <mergeCell ref="C28:E28"/>
    <mergeCell ref="A24:G24"/>
    <mergeCell ref="C19:E19"/>
    <mergeCell ref="C20:E20"/>
    <mergeCell ref="C21:E21"/>
    <mergeCell ref="C22:E22"/>
    <mergeCell ref="C23:E23"/>
    <mergeCell ref="C34:E34"/>
    <mergeCell ref="C35:E35"/>
    <mergeCell ref="C36:E36"/>
    <mergeCell ref="C38:E38"/>
    <mergeCell ref="A37:G37"/>
    <mergeCell ref="C29:E29"/>
    <mergeCell ref="C30:E30"/>
    <mergeCell ref="C31:E31"/>
    <mergeCell ref="C32:E32"/>
    <mergeCell ref="C33:E33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C54:E54"/>
    <mergeCell ref="C55:E55"/>
    <mergeCell ref="C56:E56"/>
    <mergeCell ref="C57:E57"/>
    <mergeCell ref="C58:E58"/>
    <mergeCell ref="C49:E49"/>
    <mergeCell ref="C51:E51"/>
    <mergeCell ref="C52:E52"/>
    <mergeCell ref="C53:E53"/>
    <mergeCell ref="A50:G50"/>
    <mergeCell ref="C64:E64"/>
    <mergeCell ref="C65:E65"/>
    <mergeCell ref="C66:E66"/>
    <mergeCell ref="C67:E67"/>
    <mergeCell ref="A68:G68"/>
    <mergeCell ref="C59:E59"/>
    <mergeCell ref="C60:E60"/>
    <mergeCell ref="C61:E61"/>
    <mergeCell ref="C62:E62"/>
    <mergeCell ref="A63:G63"/>
    <mergeCell ref="C74:E74"/>
    <mergeCell ref="C76:E76"/>
    <mergeCell ref="C78:E78"/>
    <mergeCell ref="A77:G77"/>
    <mergeCell ref="A75:G75"/>
    <mergeCell ref="C69:E69"/>
    <mergeCell ref="C70:E70"/>
    <mergeCell ref="C71:E71"/>
    <mergeCell ref="C72:E72"/>
    <mergeCell ref="A73:G73"/>
    <mergeCell ref="A89:G89"/>
    <mergeCell ref="A90:G90"/>
    <mergeCell ref="C84:E84"/>
    <mergeCell ref="C85:E85"/>
    <mergeCell ref="C86:E86"/>
    <mergeCell ref="C87:E87"/>
    <mergeCell ref="C88:E88"/>
    <mergeCell ref="C79:E79"/>
    <mergeCell ref="C80:E80"/>
    <mergeCell ref="C81:E81"/>
    <mergeCell ref="C82:E82"/>
    <mergeCell ref="A83:G83"/>
    <mergeCell ref="C99:E99"/>
    <mergeCell ref="C101:E101"/>
    <mergeCell ref="A100:G100"/>
    <mergeCell ref="C94:E94"/>
    <mergeCell ref="C95:E95"/>
    <mergeCell ref="C96:E96"/>
    <mergeCell ref="C97:E97"/>
    <mergeCell ref="A98:G98"/>
    <mergeCell ref="C91:E91"/>
    <mergeCell ref="C92:E92"/>
    <mergeCell ref="C93:E93"/>
    <mergeCell ref="C109:E109"/>
    <mergeCell ref="C110:E110"/>
    <mergeCell ref="C111:E111"/>
    <mergeCell ref="C112:E112"/>
    <mergeCell ref="C113:E113"/>
    <mergeCell ref="C104:E104"/>
    <mergeCell ref="C105:E105"/>
    <mergeCell ref="C106:E106"/>
    <mergeCell ref="C107:E107"/>
    <mergeCell ref="C108:E108"/>
    <mergeCell ref="C122:E122"/>
    <mergeCell ref="C123:E123"/>
    <mergeCell ref="A125:G125"/>
    <mergeCell ref="C115:E115"/>
    <mergeCell ref="C116:E116"/>
    <mergeCell ref="C117:E117"/>
    <mergeCell ref="C118:E118"/>
    <mergeCell ref="A114:G114"/>
    <mergeCell ref="A119:G119"/>
    <mergeCell ref="A166:G166"/>
    <mergeCell ref="A168:G168"/>
    <mergeCell ref="A154:G154"/>
    <mergeCell ref="A150:G150"/>
    <mergeCell ref="A146:F146"/>
    <mergeCell ref="A145:G145"/>
    <mergeCell ref="A144:G144"/>
    <mergeCell ref="A126:G126"/>
    <mergeCell ref="C155:E155"/>
    <mergeCell ref="C157:E157"/>
    <mergeCell ref="A156:G156"/>
    <mergeCell ref="C148:E148"/>
    <mergeCell ref="C149:E149"/>
    <mergeCell ref="C151:E151"/>
    <mergeCell ref="C152:E152"/>
    <mergeCell ref="C143:E143"/>
    <mergeCell ref="C147:E147"/>
    <mergeCell ref="C138:E138"/>
    <mergeCell ref="C139:E139"/>
    <mergeCell ref="C140:E140"/>
    <mergeCell ref="C141:E141"/>
    <mergeCell ref="C142:E142"/>
    <mergeCell ref="C134:E134"/>
    <mergeCell ref="A167:G167"/>
    <mergeCell ref="A103:G103"/>
    <mergeCell ref="A102:G102"/>
    <mergeCell ref="C162:E162"/>
    <mergeCell ref="C164:E164"/>
    <mergeCell ref="C165:E165"/>
    <mergeCell ref="A163:G163"/>
    <mergeCell ref="C158:E158"/>
    <mergeCell ref="C159:E159"/>
    <mergeCell ref="C161:E161"/>
    <mergeCell ref="A160:G160"/>
    <mergeCell ref="C153:E153"/>
    <mergeCell ref="C135:E135"/>
    <mergeCell ref="C136:E136"/>
    <mergeCell ref="C137:E137"/>
    <mergeCell ref="C129:E129"/>
    <mergeCell ref="C130:E130"/>
    <mergeCell ref="C131:E131"/>
    <mergeCell ref="C132:E132"/>
    <mergeCell ref="C133:E133"/>
    <mergeCell ref="C124:E124"/>
    <mergeCell ref="C127:E127"/>
    <mergeCell ref="C128:E128"/>
    <mergeCell ref="C120:E120"/>
    <mergeCell ref="C121:E121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BK21"/>
  <sheetViews>
    <sheetView topLeftCell="A7" workbookViewId="0">
      <selection activeCell="H18" sqref="H1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9" width="15.140625" style="1" customWidth="1"/>
    <col min="10" max="10" width="15.140625" style="243" customWidth="1"/>
    <col min="11" max="11" width="15.140625" style="1" customWidth="1"/>
    <col min="12" max="12" width="17.7109375" style="1" customWidth="1"/>
    <col min="13" max="13" width="17.7109375" style="243" customWidth="1"/>
    <col min="14" max="16" width="10.7109375" style="1" customWidth="1"/>
    <col min="17" max="46" width="172.5703125" style="2" hidden="1" customWidth="1"/>
    <col min="47" max="56" width="109.28515625" style="2" hidden="1" customWidth="1"/>
    <col min="57" max="58" width="172.5703125" style="2" hidden="1" customWidth="1"/>
    <col min="59" max="60" width="34.140625" style="2" hidden="1" customWidth="1"/>
    <col min="61" max="63" width="127.5703125" style="2" hidden="1" customWidth="1"/>
    <col min="64" max="16384" width="9.140625" style="1"/>
  </cols>
  <sheetData>
    <row r="1" spans="1:60" s="3" customFormat="1" ht="15" x14ac:dyDescent="0.25">
      <c r="A1" s="88" t="s">
        <v>698</v>
      </c>
      <c r="B1" s="4"/>
      <c r="C1" s="4"/>
      <c r="D1" s="4"/>
      <c r="E1" s="4"/>
      <c r="F1" s="4"/>
      <c r="G1" s="4"/>
      <c r="H1" s="4"/>
      <c r="I1" s="4"/>
      <c r="J1" s="236"/>
      <c r="K1" s="4"/>
      <c r="L1" s="4"/>
      <c r="M1" s="236"/>
    </row>
    <row r="2" spans="1:60" s="3" customFormat="1" ht="29.25" customHeight="1" x14ac:dyDescent="0.25">
      <c r="A2" s="339" t="s">
        <v>0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0" s="3" customFormat="1" ht="15" x14ac:dyDescent="0.25">
      <c r="A3" s="328" t="s">
        <v>2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</row>
    <row r="4" spans="1:60" s="3" customFormat="1" ht="15" x14ac:dyDescent="0.25">
      <c r="A4" s="340" t="s">
        <v>259</v>
      </c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  <c r="AF4" s="6" t="s">
        <v>259</v>
      </c>
      <c r="AG4" s="6" t="s">
        <v>1</v>
      </c>
      <c r="AH4" s="6" t="s">
        <v>1</v>
      </c>
      <c r="AI4" s="6" t="s">
        <v>1</v>
      </c>
      <c r="AJ4" s="6" t="s">
        <v>1</v>
      </c>
      <c r="AK4" s="6" t="s">
        <v>1</v>
      </c>
      <c r="AL4" s="6" t="s">
        <v>1</v>
      </c>
      <c r="AM4" s="6" t="s">
        <v>1</v>
      </c>
      <c r="AN4" s="6" t="s">
        <v>1</v>
      </c>
      <c r="AO4" s="6" t="s">
        <v>1</v>
      </c>
      <c r="AP4" s="6" t="s">
        <v>1</v>
      </c>
      <c r="AQ4" s="6" t="s">
        <v>1</v>
      </c>
      <c r="AR4" s="6" t="s">
        <v>1</v>
      </c>
      <c r="AS4" s="6" t="s">
        <v>1</v>
      </c>
      <c r="AT4" s="6" t="s">
        <v>1</v>
      </c>
    </row>
    <row r="5" spans="1:60" s="3" customFormat="1" ht="15.75" customHeight="1" x14ac:dyDescent="0.25">
      <c r="A5" s="328" t="s">
        <v>4</v>
      </c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328"/>
      <c r="M5" s="328"/>
    </row>
    <row r="6" spans="1:60" s="3" customFormat="1" ht="15" x14ac:dyDescent="0.25">
      <c r="A6" s="4"/>
      <c r="B6" s="8" t="s">
        <v>5</v>
      </c>
      <c r="C6" s="329" t="s">
        <v>260</v>
      </c>
      <c r="D6" s="329"/>
      <c r="E6" s="329"/>
      <c r="F6" s="329"/>
      <c r="G6" s="329"/>
      <c r="H6" s="11"/>
      <c r="I6" s="9"/>
      <c r="J6" s="237"/>
      <c r="K6" s="9"/>
      <c r="L6" s="9"/>
      <c r="M6" s="237"/>
    </row>
    <row r="7" spans="1:60" s="3" customFormat="1" ht="10.5" customHeight="1" thickBot="1" x14ac:dyDescent="0.3">
      <c r="A7" s="13"/>
      <c r="J7" s="238"/>
      <c r="M7" s="238"/>
    </row>
    <row r="8" spans="1:60" s="3" customFormat="1" ht="36" customHeight="1" x14ac:dyDescent="0.25">
      <c r="A8" s="68" t="s">
        <v>7</v>
      </c>
      <c r="B8" s="69" t="s">
        <v>8</v>
      </c>
      <c r="C8" s="335" t="s">
        <v>9</v>
      </c>
      <c r="D8" s="336"/>
      <c r="E8" s="337"/>
      <c r="F8" s="70" t="s">
        <v>10</v>
      </c>
      <c r="G8" s="71" t="s">
        <v>11</v>
      </c>
      <c r="H8" s="72" t="s">
        <v>819</v>
      </c>
      <c r="I8" s="72" t="s">
        <v>820</v>
      </c>
      <c r="J8" s="217" t="s">
        <v>830</v>
      </c>
      <c r="K8" s="72" t="s">
        <v>821</v>
      </c>
      <c r="L8" s="103" t="s">
        <v>822</v>
      </c>
      <c r="M8" s="229" t="s">
        <v>824</v>
      </c>
    </row>
    <row r="9" spans="1:60" s="3" customFormat="1" ht="15.75" thickBot="1" x14ac:dyDescent="0.3">
      <c r="A9" s="83">
        <v>1</v>
      </c>
      <c r="B9" s="84">
        <v>2</v>
      </c>
      <c r="C9" s="355">
        <v>3</v>
      </c>
      <c r="D9" s="356"/>
      <c r="E9" s="357"/>
      <c r="F9" s="85">
        <v>4</v>
      </c>
      <c r="G9" s="84">
        <v>5</v>
      </c>
      <c r="H9" s="113">
        <v>6</v>
      </c>
      <c r="I9" s="104" t="s">
        <v>47</v>
      </c>
      <c r="J9" s="228">
        <v>8</v>
      </c>
      <c r="K9" s="226">
        <v>9</v>
      </c>
      <c r="L9" s="227">
        <v>10</v>
      </c>
      <c r="M9" s="230">
        <v>11</v>
      </c>
    </row>
    <row r="10" spans="1:60" s="3" customFormat="1" ht="15" customHeight="1" x14ac:dyDescent="0.25">
      <c r="A10" s="347" t="s">
        <v>261</v>
      </c>
      <c r="B10" s="348"/>
      <c r="C10" s="348"/>
      <c r="D10" s="348"/>
      <c r="E10" s="348"/>
      <c r="F10" s="348"/>
      <c r="G10" s="348"/>
      <c r="H10" s="109"/>
      <c r="I10" s="109"/>
      <c r="J10" s="276"/>
      <c r="K10" s="109"/>
      <c r="L10" s="110"/>
      <c r="M10" s="277"/>
      <c r="BE10" s="14" t="s">
        <v>261</v>
      </c>
    </row>
    <row r="11" spans="1:60" s="3" customFormat="1" ht="15" customHeight="1" x14ac:dyDescent="0.25">
      <c r="A11" s="358" t="s">
        <v>262</v>
      </c>
      <c r="B11" s="321"/>
      <c r="C11" s="321"/>
      <c r="D11" s="321"/>
      <c r="E11" s="321"/>
      <c r="F11" s="321"/>
      <c r="G11" s="321"/>
      <c r="H11" s="57"/>
      <c r="I11" s="57"/>
      <c r="J11" s="241"/>
      <c r="K11" s="57"/>
      <c r="L11" s="59"/>
      <c r="M11" s="278"/>
      <c r="BE11" s="14"/>
      <c r="BF11" s="15" t="s">
        <v>262</v>
      </c>
    </row>
    <row r="12" spans="1:60" s="3" customFormat="1" ht="45.75" x14ac:dyDescent="0.25">
      <c r="A12" s="16" t="s">
        <v>15</v>
      </c>
      <c r="B12" s="17" t="s">
        <v>263</v>
      </c>
      <c r="C12" s="319" t="s">
        <v>264</v>
      </c>
      <c r="D12" s="319"/>
      <c r="E12" s="319"/>
      <c r="F12" s="16" t="s">
        <v>43</v>
      </c>
      <c r="G12" s="30">
        <v>0.26369999999999999</v>
      </c>
      <c r="H12" s="30">
        <f>I12/G12</f>
        <v>62587.485779294657</v>
      </c>
      <c r="I12" s="19">
        <v>16504.32</v>
      </c>
      <c r="J12" s="220">
        <f>I12*1.2</f>
        <v>19805.183999999997</v>
      </c>
      <c r="K12" s="19"/>
      <c r="L12" s="19"/>
      <c r="M12" s="220"/>
      <c r="BE12" s="14"/>
      <c r="BF12" s="15"/>
      <c r="BG12" s="21" t="s">
        <v>264</v>
      </c>
    </row>
    <row r="13" spans="1:60" s="3" customFormat="1" ht="45.75" x14ac:dyDescent="0.25">
      <c r="A13" s="16" t="s">
        <v>20</v>
      </c>
      <c r="B13" s="17" t="s">
        <v>265</v>
      </c>
      <c r="C13" s="319" t="s">
        <v>266</v>
      </c>
      <c r="D13" s="319"/>
      <c r="E13" s="319"/>
      <c r="F13" s="16" t="s">
        <v>43</v>
      </c>
      <c r="G13" s="30">
        <v>0.26369999999999999</v>
      </c>
      <c r="H13" s="30">
        <f t="shared" ref="H13:H18" si="0">I13/G13</f>
        <v>12266.059916571861</v>
      </c>
      <c r="I13" s="19">
        <v>3234.56</v>
      </c>
      <c r="J13" s="220">
        <f t="shared" ref="J13:J18" si="1">I13*1.2</f>
        <v>3881.4719999999998</v>
      </c>
      <c r="K13" s="19"/>
      <c r="L13" s="19"/>
      <c r="M13" s="220"/>
      <c r="BE13" s="14"/>
      <c r="BF13" s="15"/>
      <c r="BG13" s="21" t="s">
        <v>266</v>
      </c>
    </row>
    <row r="14" spans="1:60" s="3" customFormat="1" ht="15" customHeight="1" x14ac:dyDescent="0.25">
      <c r="A14" s="358" t="s">
        <v>267</v>
      </c>
      <c r="B14" s="321"/>
      <c r="C14" s="321"/>
      <c r="D14" s="321"/>
      <c r="E14" s="321"/>
      <c r="F14" s="321"/>
      <c r="G14" s="321"/>
      <c r="H14" s="30"/>
      <c r="I14" s="57"/>
      <c r="J14" s="220"/>
      <c r="K14" s="57"/>
      <c r="L14" s="59"/>
      <c r="M14" s="278"/>
      <c r="BE14" s="14"/>
      <c r="BF14" s="15" t="s">
        <v>267</v>
      </c>
      <c r="BG14" s="21"/>
    </row>
    <row r="15" spans="1:60" s="3" customFormat="1" ht="23.25" x14ac:dyDescent="0.25">
      <c r="A15" s="16" t="s">
        <v>22</v>
      </c>
      <c r="B15" s="17" t="s">
        <v>268</v>
      </c>
      <c r="C15" s="319" t="s">
        <v>269</v>
      </c>
      <c r="D15" s="319"/>
      <c r="E15" s="319"/>
      <c r="F15" s="16" t="s">
        <v>64</v>
      </c>
      <c r="G15" s="31">
        <v>5.86</v>
      </c>
      <c r="H15" s="30">
        <f t="shared" si="0"/>
        <v>8053.0784982935147</v>
      </c>
      <c r="I15" s="19">
        <v>47191.040000000001</v>
      </c>
      <c r="J15" s="220">
        <f t="shared" si="1"/>
        <v>56629.248</v>
      </c>
      <c r="K15" s="19"/>
      <c r="L15" s="19"/>
      <c r="M15" s="220"/>
      <c r="BE15" s="14"/>
      <c r="BF15" s="15"/>
      <c r="BG15" s="21" t="s">
        <v>269</v>
      </c>
    </row>
    <row r="16" spans="1:60" s="3" customFormat="1" ht="15" customHeight="1" x14ac:dyDescent="0.25">
      <c r="A16" s="358" t="s">
        <v>270</v>
      </c>
      <c r="B16" s="321"/>
      <c r="C16" s="321"/>
      <c r="D16" s="321"/>
      <c r="E16" s="321"/>
      <c r="F16" s="321"/>
      <c r="G16" s="321"/>
      <c r="H16" s="30"/>
      <c r="I16" s="57"/>
      <c r="J16" s="220"/>
      <c r="K16" s="57"/>
      <c r="L16" s="59"/>
      <c r="M16" s="278"/>
      <c r="BE16" s="14"/>
      <c r="BF16" s="15" t="s">
        <v>270</v>
      </c>
      <c r="BG16" s="21"/>
      <c r="BH16" s="12"/>
    </row>
    <row r="17" spans="1:60" s="3" customFormat="1" ht="45.75" x14ac:dyDescent="0.25">
      <c r="A17" s="16" t="s">
        <v>27</v>
      </c>
      <c r="B17" s="17" t="s">
        <v>93</v>
      </c>
      <c r="C17" s="319" t="s">
        <v>94</v>
      </c>
      <c r="D17" s="319"/>
      <c r="E17" s="319"/>
      <c r="F17" s="16" t="s">
        <v>50</v>
      </c>
      <c r="G17" s="31">
        <v>3.98</v>
      </c>
      <c r="H17" s="30">
        <f t="shared" si="0"/>
        <v>70.753768844221113</v>
      </c>
      <c r="I17" s="19">
        <v>281.60000000000002</v>
      </c>
      <c r="J17" s="220">
        <f t="shared" si="1"/>
        <v>337.92</v>
      </c>
      <c r="K17" s="19"/>
      <c r="L17" s="19"/>
      <c r="M17" s="220"/>
      <c r="BE17" s="14"/>
      <c r="BF17" s="15"/>
      <c r="BG17" s="21" t="s">
        <v>94</v>
      </c>
      <c r="BH17" s="12"/>
    </row>
    <row r="18" spans="1:60" s="3" customFormat="1" ht="45.75" x14ac:dyDescent="0.25">
      <c r="A18" s="16" t="s">
        <v>35</v>
      </c>
      <c r="B18" s="17" t="s">
        <v>48</v>
      </c>
      <c r="C18" s="319" t="s">
        <v>49</v>
      </c>
      <c r="D18" s="319"/>
      <c r="E18" s="319"/>
      <c r="F18" s="16" t="s">
        <v>50</v>
      </c>
      <c r="G18" s="31">
        <v>3.98</v>
      </c>
      <c r="H18" s="30">
        <f t="shared" si="0"/>
        <v>831.678391959799</v>
      </c>
      <c r="I18" s="19">
        <v>3310.08</v>
      </c>
      <c r="J18" s="220">
        <f t="shared" si="1"/>
        <v>3972.0959999999995</v>
      </c>
      <c r="K18" s="19"/>
      <c r="L18" s="19"/>
      <c r="M18" s="220"/>
      <c r="BE18" s="14"/>
      <c r="BF18" s="15"/>
      <c r="BG18" s="21" t="s">
        <v>49</v>
      </c>
      <c r="BH18" s="12"/>
    </row>
    <row r="19" spans="1:60" s="3" customFormat="1" ht="20.25" customHeight="1" x14ac:dyDescent="0.25">
      <c r="A19" s="330" t="s">
        <v>57</v>
      </c>
      <c r="B19" s="331"/>
      <c r="C19" s="331"/>
      <c r="D19" s="331"/>
      <c r="E19" s="331"/>
      <c r="F19" s="331"/>
      <c r="G19" s="331"/>
      <c r="H19" s="60"/>
      <c r="I19" s="61">
        <f>SUM(I12:I18)</f>
        <v>70521.600000000006</v>
      </c>
      <c r="J19" s="223">
        <f>SUM(J12:J18)</f>
        <v>84625.919999999998</v>
      </c>
      <c r="K19" s="66"/>
      <c r="L19" s="81">
        <f>SUM(L12:L18)</f>
        <v>0</v>
      </c>
      <c r="M19" s="253">
        <f>SUM(M12:M18)</f>
        <v>0</v>
      </c>
    </row>
    <row r="20" spans="1:60" s="48" customFormat="1" ht="20.25" customHeight="1" thickBot="1" x14ac:dyDescent="0.3">
      <c r="A20" s="332" t="s">
        <v>829</v>
      </c>
      <c r="B20" s="333"/>
      <c r="C20" s="333"/>
      <c r="D20" s="333"/>
      <c r="E20" s="333"/>
      <c r="F20" s="333"/>
      <c r="G20" s="333"/>
      <c r="H20" s="82"/>
      <c r="I20" s="359">
        <f>I19+L19</f>
        <v>70521.600000000006</v>
      </c>
      <c r="J20" s="360"/>
      <c r="K20" s="360"/>
      <c r="L20" s="360"/>
      <c r="M20" s="361"/>
    </row>
    <row r="21" spans="1:60" s="48" customFormat="1" ht="20.25" customHeight="1" thickBot="1" x14ac:dyDescent="0.3">
      <c r="A21" s="332" t="s">
        <v>831</v>
      </c>
      <c r="B21" s="333"/>
      <c r="C21" s="333"/>
      <c r="D21" s="333"/>
      <c r="E21" s="333"/>
      <c r="F21" s="333"/>
      <c r="G21" s="333"/>
      <c r="H21" s="82"/>
      <c r="I21" s="325">
        <f>J19+M19</f>
        <v>84625.919999999998</v>
      </c>
      <c r="J21" s="326"/>
      <c r="K21" s="326"/>
      <c r="L21" s="326"/>
      <c r="M21" s="327"/>
    </row>
  </sheetData>
  <mergeCells count="21">
    <mergeCell ref="A2:M2"/>
    <mergeCell ref="A3:M3"/>
    <mergeCell ref="A4:M4"/>
    <mergeCell ref="C8:E8"/>
    <mergeCell ref="C9:E9"/>
    <mergeCell ref="A11:G11"/>
    <mergeCell ref="A10:G10"/>
    <mergeCell ref="A5:M5"/>
    <mergeCell ref="C6:G6"/>
    <mergeCell ref="A16:G16"/>
    <mergeCell ref="C15:E15"/>
    <mergeCell ref="A14:G14"/>
    <mergeCell ref="C12:E12"/>
    <mergeCell ref="C13:E13"/>
    <mergeCell ref="I21:M21"/>
    <mergeCell ref="A19:G19"/>
    <mergeCell ref="A21:G21"/>
    <mergeCell ref="C18:E18"/>
    <mergeCell ref="C17:E17"/>
    <mergeCell ref="A20:G20"/>
    <mergeCell ref="I20:M20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BI20"/>
  <sheetViews>
    <sheetView topLeftCell="A4" workbookViewId="0">
      <selection activeCell="H13" sqref="H13:H1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13" width="18" style="49" customWidth="1"/>
    <col min="14" max="16" width="10.7109375" style="1" customWidth="1"/>
    <col min="17" max="46" width="172.5703125" style="2" hidden="1" customWidth="1"/>
    <col min="47" max="56" width="109.28515625" style="2" hidden="1" customWidth="1"/>
    <col min="57" max="57" width="172.5703125" style="2" hidden="1" customWidth="1"/>
    <col min="58" max="58" width="34.140625" style="2" hidden="1" customWidth="1"/>
    <col min="59" max="61" width="127.5703125" style="2" hidden="1" customWidth="1"/>
    <col min="62" max="16384" width="9.140625" style="1"/>
  </cols>
  <sheetData>
    <row r="1" spans="1:58" s="3" customFormat="1" ht="15" x14ac:dyDescent="0.25">
      <c r="A1" s="88" t="s">
        <v>705</v>
      </c>
      <c r="B1" s="4"/>
      <c r="C1" s="4"/>
      <c r="D1" s="4"/>
      <c r="E1" s="4"/>
      <c r="F1" s="4"/>
      <c r="G1" s="4"/>
      <c r="H1" s="49"/>
      <c r="I1" s="49"/>
      <c r="J1" s="49"/>
      <c r="K1" s="49"/>
      <c r="L1" s="49"/>
      <c r="M1" s="49"/>
    </row>
    <row r="2" spans="1:58" s="3" customFormat="1" ht="31.5" customHeight="1" x14ac:dyDescent="0.25">
      <c r="A2" s="339" t="s">
        <v>0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8" s="3" customFormat="1" ht="15" x14ac:dyDescent="0.25">
      <c r="A3" s="328" t="s">
        <v>2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114"/>
      <c r="I4" s="114"/>
      <c r="J4" s="114"/>
      <c r="K4" s="114"/>
      <c r="L4" s="114"/>
      <c r="M4" s="49"/>
    </row>
    <row r="5" spans="1:58" s="3" customFormat="1" ht="15" x14ac:dyDescent="0.25">
      <c r="A5" s="340" t="s">
        <v>609</v>
      </c>
      <c r="B5" s="340"/>
      <c r="C5" s="340"/>
      <c r="D5" s="340"/>
      <c r="E5" s="340"/>
      <c r="F5" s="340"/>
      <c r="G5" s="340"/>
      <c r="H5" s="340"/>
      <c r="I5" s="340"/>
      <c r="J5" s="340"/>
      <c r="K5" s="340"/>
      <c r="L5" s="340"/>
      <c r="M5" s="340"/>
      <c r="AF5" s="6" t="s">
        <v>609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8" s="3" customFormat="1" ht="15.75" customHeight="1" x14ac:dyDescent="0.25">
      <c r="A6" s="328" t="s">
        <v>4</v>
      </c>
      <c r="B6" s="328"/>
      <c r="C6" s="328"/>
      <c r="D6" s="328"/>
      <c r="E6" s="328"/>
      <c r="F6" s="328"/>
      <c r="G6" s="328"/>
      <c r="H6" s="328"/>
      <c r="I6" s="328"/>
      <c r="J6" s="328"/>
      <c r="K6" s="328"/>
      <c r="L6" s="328"/>
      <c r="M6" s="328"/>
    </row>
    <row r="7" spans="1:58" s="3" customFormat="1" ht="15" x14ac:dyDescent="0.25">
      <c r="A7" s="4"/>
      <c r="B7" s="8" t="s">
        <v>5</v>
      </c>
      <c r="C7" s="329" t="s">
        <v>610</v>
      </c>
      <c r="D7" s="329"/>
      <c r="E7" s="329"/>
      <c r="F7" s="329"/>
      <c r="G7" s="329"/>
      <c r="H7" s="50"/>
      <c r="I7" s="50"/>
      <c r="J7" s="102"/>
      <c r="K7" s="102"/>
      <c r="L7" s="102"/>
      <c r="M7" s="102"/>
    </row>
    <row r="8" spans="1:58" s="3" customFormat="1" ht="15.75" thickBot="1" x14ac:dyDescent="0.3">
      <c r="A8" s="13"/>
      <c r="H8" s="51"/>
      <c r="I8" s="51"/>
      <c r="J8" s="51"/>
      <c r="K8" s="51"/>
      <c r="L8" s="51"/>
      <c r="M8" s="51"/>
    </row>
    <row r="9" spans="1:58" s="3" customFormat="1" ht="36" customHeight="1" x14ac:dyDescent="0.25">
      <c r="A9" s="68" t="s">
        <v>7</v>
      </c>
      <c r="B9" s="69" t="s">
        <v>8</v>
      </c>
      <c r="C9" s="335" t="s">
        <v>9</v>
      </c>
      <c r="D9" s="336"/>
      <c r="E9" s="337"/>
      <c r="F9" s="70" t="s">
        <v>10</v>
      </c>
      <c r="G9" s="71" t="s">
        <v>11</v>
      </c>
      <c r="H9" s="72" t="s">
        <v>819</v>
      </c>
      <c r="I9" s="72" t="s">
        <v>820</v>
      </c>
      <c r="J9" s="217" t="s">
        <v>823</v>
      </c>
      <c r="K9" s="72" t="s">
        <v>821</v>
      </c>
      <c r="L9" s="103" t="s">
        <v>822</v>
      </c>
      <c r="M9" s="229" t="s">
        <v>824</v>
      </c>
    </row>
    <row r="10" spans="1:58" s="3" customFormat="1" ht="15.75" thickBot="1" x14ac:dyDescent="0.3">
      <c r="A10" s="83">
        <v>1</v>
      </c>
      <c r="B10" s="84">
        <v>2</v>
      </c>
      <c r="C10" s="355">
        <v>3</v>
      </c>
      <c r="D10" s="356"/>
      <c r="E10" s="357"/>
      <c r="F10" s="85">
        <v>4</v>
      </c>
      <c r="G10" s="84">
        <v>5</v>
      </c>
      <c r="H10" s="113">
        <v>6</v>
      </c>
      <c r="I10" s="104" t="s">
        <v>47</v>
      </c>
      <c r="J10" s="228">
        <v>8</v>
      </c>
      <c r="K10" s="226">
        <v>9</v>
      </c>
      <c r="L10" s="227">
        <v>10</v>
      </c>
      <c r="M10" s="230">
        <v>11</v>
      </c>
    </row>
    <row r="11" spans="1:58" s="3" customFormat="1" ht="15" x14ac:dyDescent="0.25">
      <c r="A11" s="123"/>
      <c r="B11" s="123"/>
      <c r="C11" s="123"/>
      <c r="D11" s="123"/>
      <c r="E11" s="123"/>
      <c r="F11" s="124"/>
      <c r="G11" s="123"/>
      <c r="H11" s="125"/>
      <c r="I11" s="125"/>
      <c r="J11" s="126"/>
      <c r="K11" s="126"/>
      <c r="L11" s="126"/>
      <c r="M11" s="127"/>
    </row>
    <row r="12" spans="1:58" s="3" customFormat="1" ht="15" x14ac:dyDescent="0.25">
      <c r="A12" s="370" t="s">
        <v>611</v>
      </c>
      <c r="B12" s="371"/>
      <c r="C12" s="371"/>
      <c r="D12" s="371"/>
      <c r="E12" s="371"/>
      <c r="F12" s="371"/>
      <c r="G12" s="371"/>
      <c r="H12" s="371"/>
      <c r="I12" s="371"/>
      <c r="J12" s="371"/>
      <c r="K12" s="371"/>
      <c r="L12" s="371"/>
      <c r="M12" s="372"/>
      <c r="BE12" s="14" t="s">
        <v>611</v>
      </c>
    </row>
    <row r="13" spans="1:58" s="3" customFormat="1" ht="56.25" x14ac:dyDescent="0.25">
      <c r="A13" s="16" t="s">
        <v>15</v>
      </c>
      <c r="B13" s="17" t="s">
        <v>612</v>
      </c>
      <c r="C13" s="319" t="s">
        <v>613</v>
      </c>
      <c r="D13" s="319"/>
      <c r="E13" s="319"/>
      <c r="F13" s="16" t="s">
        <v>614</v>
      </c>
      <c r="G13" s="31">
        <v>1.72</v>
      </c>
      <c r="H13" s="52">
        <f>I13/G13</f>
        <v>163311.62790697673</v>
      </c>
      <c r="I13" s="52">
        <v>280896</v>
      </c>
      <c r="J13" s="19">
        <f>I13*1.2</f>
        <v>337075.20000000001</v>
      </c>
      <c r="K13" s="19"/>
      <c r="L13" s="19"/>
      <c r="M13" s="19"/>
      <c r="BE13" s="14"/>
      <c r="BF13" s="21" t="s">
        <v>613</v>
      </c>
    </row>
    <row r="14" spans="1:58" s="3" customFormat="1" ht="45.75" x14ac:dyDescent="0.25">
      <c r="A14" s="16" t="s">
        <v>20</v>
      </c>
      <c r="B14" s="17" t="s">
        <v>93</v>
      </c>
      <c r="C14" s="319" t="s">
        <v>94</v>
      </c>
      <c r="D14" s="319"/>
      <c r="E14" s="319"/>
      <c r="F14" s="16" t="s">
        <v>50</v>
      </c>
      <c r="G14" s="24">
        <v>336.5</v>
      </c>
      <c r="H14" s="52">
        <f t="shared" ref="H14:H15" si="0">I14/G14</f>
        <v>70.702407132243692</v>
      </c>
      <c r="I14" s="52">
        <v>23791.360000000001</v>
      </c>
      <c r="J14" s="19">
        <f t="shared" ref="J14:J15" si="1">I14*1.2</f>
        <v>28549.632000000001</v>
      </c>
      <c r="K14" s="19"/>
      <c r="L14" s="19"/>
      <c r="M14" s="19"/>
      <c r="BE14" s="14"/>
      <c r="BF14" s="21" t="s">
        <v>94</v>
      </c>
    </row>
    <row r="15" spans="1:58" s="3" customFormat="1" ht="45.75" x14ac:dyDescent="0.25">
      <c r="A15" s="16" t="s">
        <v>22</v>
      </c>
      <c r="B15" s="17" t="s">
        <v>48</v>
      </c>
      <c r="C15" s="319" t="s">
        <v>49</v>
      </c>
      <c r="D15" s="319"/>
      <c r="E15" s="319"/>
      <c r="F15" s="16" t="s">
        <v>50</v>
      </c>
      <c r="G15" s="24">
        <v>336.5</v>
      </c>
      <c r="H15" s="52">
        <f t="shared" si="0"/>
        <v>831.59679049034173</v>
      </c>
      <c r="I15" s="52">
        <v>279832.32000000001</v>
      </c>
      <c r="J15" s="19">
        <f t="shared" si="1"/>
        <v>335798.78399999999</v>
      </c>
      <c r="K15" s="19"/>
      <c r="L15" s="19"/>
      <c r="M15" s="19"/>
      <c r="BE15" s="14"/>
      <c r="BF15" s="21" t="s">
        <v>49</v>
      </c>
    </row>
    <row r="16" spans="1:58" s="3" customFormat="1" ht="20.25" customHeight="1" x14ac:dyDescent="0.25">
      <c r="A16" s="330" t="s">
        <v>57</v>
      </c>
      <c r="B16" s="331"/>
      <c r="C16" s="331"/>
      <c r="D16" s="331"/>
      <c r="E16" s="331"/>
      <c r="F16" s="331"/>
      <c r="G16" s="331"/>
      <c r="H16" s="60"/>
      <c r="I16" s="281">
        <f>SUM(I13:I15)</f>
        <v>584519.67999999993</v>
      </c>
      <c r="J16" s="223">
        <f>SUM(J13:J15)</f>
        <v>701423.61599999992</v>
      </c>
      <c r="K16" s="66"/>
      <c r="L16" s="66">
        <f>SUM(L13:L15)</f>
        <v>0</v>
      </c>
      <c r="M16" s="223">
        <f>SUM('01-02-05'!M12:M18)</f>
        <v>0</v>
      </c>
    </row>
    <row r="17" spans="1:15" s="48" customFormat="1" ht="20.25" customHeight="1" thickBot="1" x14ac:dyDescent="0.3">
      <c r="A17" s="332" t="s">
        <v>825</v>
      </c>
      <c r="B17" s="333"/>
      <c r="C17" s="333"/>
      <c r="D17" s="333"/>
      <c r="E17" s="333"/>
      <c r="F17" s="333"/>
      <c r="G17" s="333"/>
      <c r="H17" s="82"/>
      <c r="I17" s="322">
        <f>I16+L16</f>
        <v>584519.67999999993</v>
      </c>
      <c r="J17" s="323"/>
      <c r="K17" s="323"/>
      <c r="L17" s="323"/>
      <c r="M17" s="324"/>
    </row>
    <row r="18" spans="1:15" s="48" customFormat="1" ht="20.25" customHeight="1" thickBot="1" x14ac:dyDescent="0.3">
      <c r="A18" s="332" t="s">
        <v>826</v>
      </c>
      <c r="B18" s="333"/>
      <c r="C18" s="333"/>
      <c r="D18" s="333"/>
      <c r="E18" s="333"/>
      <c r="F18" s="333"/>
      <c r="G18" s="333"/>
      <c r="H18" s="82"/>
      <c r="I18" s="359">
        <f>J16+M16</f>
        <v>701423.61599999992</v>
      </c>
      <c r="J18" s="360"/>
      <c r="K18" s="360"/>
      <c r="L18" s="360"/>
      <c r="M18" s="361"/>
    </row>
    <row r="19" spans="1:15" s="3" customFormat="1" ht="15" x14ac:dyDescent="0.25">
      <c r="A19" s="4"/>
      <c r="B19" s="4"/>
      <c r="C19" s="4"/>
      <c r="D19" s="4"/>
      <c r="E19" s="4"/>
      <c r="F19" s="4"/>
      <c r="G19" s="4"/>
      <c r="H19" s="49"/>
      <c r="I19" s="49"/>
      <c r="J19" s="128"/>
      <c r="K19" s="128"/>
      <c r="L19" s="128"/>
      <c r="M19" s="49"/>
      <c r="O19" s="51"/>
    </row>
    <row r="20" spans="1:15" ht="11.25" customHeight="1" x14ac:dyDescent="0.2">
      <c r="O20" s="49"/>
    </row>
  </sheetData>
  <autoFilter ref="A11:BO11"/>
  <mergeCells count="16">
    <mergeCell ref="A18:G18"/>
    <mergeCell ref="I18:M18"/>
    <mergeCell ref="C9:E9"/>
    <mergeCell ref="C10:E10"/>
    <mergeCell ref="A6:M6"/>
    <mergeCell ref="C7:G7"/>
    <mergeCell ref="A2:M2"/>
    <mergeCell ref="A3:M3"/>
    <mergeCell ref="A5:M5"/>
    <mergeCell ref="A16:G16"/>
    <mergeCell ref="A17:G17"/>
    <mergeCell ref="A12:M12"/>
    <mergeCell ref="C13:E13"/>
    <mergeCell ref="C14:E14"/>
    <mergeCell ref="C15:E15"/>
    <mergeCell ref="I17:M17"/>
  </mergeCells>
  <printOptions horizontalCentered="1"/>
  <pageMargins left="0.39370077848434498" right="0.39370077848434498" top="0.35433071851730302" bottom="0.31496062874794001" header="0.118110239505768" footer="0.118110239505768"/>
  <pageSetup paperSize="9" scale="9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L36"/>
  <sheetViews>
    <sheetView topLeftCell="A26" workbookViewId="0">
      <selection activeCell="L31" sqref="L3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6" style="1" customWidth="1"/>
    <col min="4" max="4" width="16.28515625" style="1" customWidth="1"/>
    <col min="5" max="5" width="23.5703125" style="1" customWidth="1"/>
    <col min="6" max="7" width="10.7109375" style="1" customWidth="1"/>
    <col min="8" max="13" width="19.7109375" style="1" customWidth="1"/>
    <col min="14" max="16" width="10.7109375" style="1" customWidth="1"/>
    <col min="17" max="46" width="172.5703125" style="2" hidden="1" customWidth="1"/>
    <col min="47" max="56" width="109.28515625" style="2" hidden="1" customWidth="1"/>
    <col min="57" max="58" width="172.5703125" style="2" hidden="1" customWidth="1"/>
    <col min="59" max="61" width="34.140625" style="2" hidden="1" customWidth="1"/>
    <col min="62" max="64" width="127.5703125" style="2" hidden="1" customWidth="1"/>
    <col min="65" max="16384" width="9.140625" style="1"/>
  </cols>
  <sheetData>
    <row r="1" spans="1:61" s="3" customFormat="1" ht="15" x14ac:dyDescent="0.25">
      <c r="A1" s="88" t="s">
        <v>699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4"/>
    </row>
    <row r="2" spans="1:61" s="3" customFormat="1" ht="30" customHeight="1" x14ac:dyDescent="0.25">
      <c r="A2" s="339" t="s">
        <v>0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1" s="3" customFormat="1" ht="15" x14ac:dyDescent="0.25">
      <c r="A3" s="328" t="s">
        <v>2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</row>
    <row r="4" spans="1:61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61" s="3" customFormat="1" ht="15" x14ac:dyDescent="0.25">
      <c r="A5" s="339" t="s">
        <v>290</v>
      </c>
      <c r="B5" s="339"/>
      <c r="C5" s="339"/>
      <c r="D5" s="339"/>
      <c r="E5" s="339"/>
      <c r="F5" s="339"/>
      <c r="G5" s="339"/>
      <c r="H5" s="339"/>
      <c r="I5" s="339"/>
      <c r="J5" s="339"/>
      <c r="K5" s="339"/>
      <c r="L5" s="339"/>
      <c r="M5" s="339"/>
      <c r="AF5" s="6" t="s">
        <v>290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61" s="3" customFormat="1" ht="15.75" customHeight="1" x14ac:dyDescent="0.25">
      <c r="A6" s="328" t="s">
        <v>4</v>
      </c>
      <c r="B6" s="328"/>
      <c r="C6" s="328"/>
      <c r="D6" s="328"/>
      <c r="E6" s="328"/>
      <c r="F6" s="328"/>
      <c r="G6" s="328"/>
      <c r="H6" s="328"/>
      <c r="I6" s="328"/>
      <c r="J6" s="328"/>
      <c r="K6" s="328"/>
      <c r="L6" s="328"/>
      <c r="M6" s="328"/>
    </row>
    <row r="7" spans="1:61" s="3" customFormat="1" ht="15" x14ac:dyDescent="0.25">
      <c r="A7" s="4"/>
      <c r="B7" s="8" t="s">
        <v>5</v>
      </c>
      <c r="C7" s="329" t="s">
        <v>284</v>
      </c>
      <c r="D7" s="329"/>
      <c r="E7" s="329"/>
      <c r="F7" s="329"/>
      <c r="G7" s="329"/>
      <c r="H7" s="11"/>
      <c r="I7" s="11"/>
      <c r="J7" s="9"/>
      <c r="K7" s="9"/>
      <c r="L7" s="9"/>
      <c r="M7" s="9"/>
    </row>
    <row r="8" spans="1:61" s="3" customFormat="1" ht="15.75" thickBot="1" x14ac:dyDescent="0.3">
      <c r="A8" s="13"/>
    </row>
    <row r="9" spans="1:61" s="3" customFormat="1" ht="36" customHeight="1" x14ac:dyDescent="0.25">
      <c r="A9" s="68" t="s">
        <v>7</v>
      </c>
      <c r="B9" s="69" t="s">
        <v>8</v>
      </c>
      <c r="C9" s="335" t="s">
        <v>9</v>
      </c>
      <c r="D9" s="336"/>
      <c r="E9" s="337"/>
      <c r="F9" s="70" t="s">
        <v>10</v>
      </c>
      <c r="G9" s="71" t="s">
        <v>11</v>
      </c>
      <c r="H9" s="72" t="s">
        <v>819</v>
      </c>
      <c r="I9" s="72" t="s">
        <v>820</v>
      </c>
      <c r="J9" s="217" t="s">
        <v>823</v>
      </c>
      <c r="K9" s="72" t="s">
        <v>821</v>
      </c>
      <c r="L9" s="103" t="s">
        <v>822</v>
      </c>
      <c r="M9" s="229" t="s">
        <v>824</v>
      </c>
    </row>
    <row r="10" spans="1:61" s="3" customFormat="1" ht="15.75" thickBot="1" x14ac:dyDescent="0.3">
      <c r="A10" s="83">
        <v>1</v>
      </c>
      <c r="B10" s="84">
        <v>2</v>
      </c>
      <c r="C10" s="355">
        <v>3</v>
      </c>
      <c r="D10" s="356"/>
      <c r="E10" s="357"/>
      <c r="F10" s="85">
        <v>4</v>
      </c>
      <c r="G10" s="84">
        <v>5</v>
      </c>
      <c r="H10" s="113">
        <v>6</v>
      </c>
      <c r="I10" s="104" t="s">
        <v>47</v>
      </c>
      <c r="J10" s="228">
        <v>8</v>
      </c>
      <c r="K10" s="226">
        <v>9</v>
      </c>
      <c r="L10" s="227">
        <v>10</v>
      </c>
      <c r="M10" s="230">
        <v>11</v>
      </c>
    </row>
    <row r="11" spans="1:61" s="3" customFormat="1" ht="15.75" thickBot="1" x14ac:dyDescent="0.3">
      <c r="A11" s="129"/>
      <c r="B11" s="129"/>
      <c r="C11" s="129"/>
      <c r="D11" s="129"/>
      <c r="E11" s="129"/>
      <c r="F11" s="130"/>
      <c r="G11" s="129"/>
      <c r="H11" s="131"/>
      <c r="I11" s="131"/>
      <c r="J11" s="126"/>
      <c r="K11" s="126"/>
      <c r="L11" s="126"/>
      <c r="M11" s="127"/>
    </row>
    <row r="12" spans="1:61" s="3" customFormat="1" ht="15" customHeight="1" x14ac:dyDescent="0.25">
      <c r="A12" s="347" t="s">
        <v>291</v>
      </c>
      <c r="B12" s="348"/>
      <c r="C12" s="348"/>
      <c r="D12" s="348"/>
      <c r="E12" s="348"/>
      <c r="F12" s="348"/>
      <c r="G12" s="348"/>
      <c r="H12" s="89"/>
      <c r="I12" s="89"/>
      <c r="J12" s="89"/>
      <c r="K12" s="89"/>
      <c r="L12" s="89"/>
      <c r="M12" s="90"/>
      <c r="BE12" s="14" t="s">
        <v>291</v>
      </c>
    </row>
    <row r="13" spans="1:61" s="3" customFormat="1" ht="15" customHeight="1" x14ac:dyDescent="0.25">
      <c r="A13" s="358" t="s">
        <v>292</v>
      </c>
      <c r="B13" s="321"/>
      <c r="C13" s="321"/>
      <c r="D13" s="321"/>
      <c r="E13" s="321"/>
      <c r="F13" s="321"/>
      <c r="G13" s="321"/>
      <c r="H13" s="55"/>
      <c r="I13" s="55"/>
      <c r="J13" s="55"/>
      <c r="K13" s="55"/>
      <c r="L13" s="55"/>
      <c r="M13" s="56"/>
      <c r="BE13" s="14"/>
      <c r="BF13" s="15" t="s">
        <v>292</v>
      </c>
    </row>
    <row r="14" spans="1:61" s="3" customFormat="1" ht="23.25" x14ac:dyDescent="0.25">
      <c r="A14" s="16" t="s">
        <v>15</v>
      </c>
      <c r="B14" s="17" t="s">
        <v>249</v>
      </c>
      <c r="C14" s="374" t="s">
        <v>700</v>
      </c>
      <c r="D14" s="319"/>
      <c r="E14" s="319"/>
      <c r="F14" s="16" t="s">
        <v>67</v>
      </c>
      <c r="G14" s="24">
        <v>4.5999999999999996</v>
      </c>
      <c r="H14" s="24"/>
      <c r="I14" s="24">
        <v>298419.20000000001</v>
      </c>
      <c r="J14" s="19">
        <f>I14*1.2</f>
        <v>358103.03999999998</v>
      </c>
      <c r="K14" s="20"/>
      <c r="L14" s="20"/>
      <c r="M14" s="19"/>
      <c r="BE14" s="14"/>
      <c r="BF14" s="15"/>
      <c r="BG14" s="21" t="s">
        <v>250</v>
      </c>
    </row>
    <row r="15" spans="1:61" s="3" customFormat="1" ht="15" customHeight="1" x14ac:dyDescent="0.25">
      <c r="A15" s="358" t="s">
        <v>293</v>
      </c>
      <c r="B15" s="321"/>
      <c r="C15" s="321"/>
      <c r="D15" s="321"/>
      <c r="E15" s="321"/>
      <c r="F15" s="321"/>
      <c r="G15" s="321"/>
      <c r="H15" s="55"/>
      <c r="I15" s="55"/>
      <c r="J15" s="55"/>
      <c r="K15" s="55"/>
      <c r="L15" s="55"/>
      <c r="M15" s="56"/>
      <c r="BE15" s="14"/>
      <c r="BF15" s="15" t="s">
        <v>293</v>
      </c>
      <c r="BG15" s="21"/>
      <c r="BH15" s="12"/>
      <c r="BI15" s="42"/>
    </row>
    <row r="16" spans="1:61" s="3" customFormat="1" ht="15" customHeight="1" x14ac:dyDescent="0.25">
      <c r="A16" s="358" t="s">
        <v>294</v>
      </c>
      <c r="B16" s="321"/>
      <c r="C16" s="321"/>
      <c r="D16" s="321"/>
      <c r="E16" s="321"/>
      <c r="F16" s="321"/>
      <c r="G16" s="321"/>
      <c r="H16" s="55"/>
      <c r="I16" s="55"/>
      <c r="J16" s="55"/>
      <c r="K16" s="55"/>
      <c r="L16" s="55"/>
      <c r="M16" s="56"/>
      <c r="BE16" s="14"/>
      <c r="BF16" s="15" t="s">
        <v>294</v>
      </c>
      <c r="BG16" s="21"/>
      <c r="BH16" s="12"/>
      <c r="BI16" s="42"/>
    </row>
    <row r="17" spans="1:61" s="3" customFormat="1" ht="15" customHeight="1" x14ac:dyDescent="0.25">
      <c r="A17" s="358" t="s">
        <v>295</v>
      </c>
      <c r="B17" s="321"/>
      <c r="C17" s="321"/>
      <c r="D17" s="321"/>
      <c r="E17" s="321"/>
      <c r="F17" s="321"/>
      <c r="G17" s="321"/>
      <c r="H17" s="55"/>
      <c r="I17" s="55"/>
      <c r="J17" s="55"/>
      <c r="K17" s="55"/>
      <c r="L17" s="55"/>
      <c r="M17" s="56"/>
      <c r="BE17" s="14"/>
      <c r="BF17" s="15" t="s">
        <v>295</v>
      </c>
      <c r="BG17" s="21"/>
      <c r="BH17" s="12"/>
      <c r="BI17" s="42"/>
    </row>
    <row r="18" spans="1:61" s="3" customFormat="1" ht="34.5" customHeight="1" x14ac:dyDescent="0.25">
      <c r="A18" s="16" t="s">
        <v>20</v>
      </c>
      <c r="B18" s="17" t="s">
        <v>255</v>
      </c>
      <c r="C18" s="373" t="s">
        <v>701</v>
      </c>
      <c r="D18" s="350"/>
      <c r="E18" s="351"/>
      <c r="F18" s="16" t="s">
        <v>67</v>
      </c>
      <c r="G18" s="24">
        <v>4.9000000000000004</v>
      </c>
      <c r="H18" s="24">
        <f>I18/G18</f>
        <v>58276.048979591833</v>
      </c>
      <c r="I18" s="24">
        <v>285552.64000000001</v>
      </c>
      <c r="J18" s="19">
        <f>I18*1.2</f>
        <v>342663.16800000001</v>
      </c>
      <c r="K18" s="20"/>
      <c r="L18" s="20"/>
      <c r="M18" s="19"/>
      <c r="BE18" s="14"/>
      <c r="BF18" s="15"/>
      <c r="BG18" s="21" t="s">
        <v>256</v>
      </c>
      <c r="BH18" s="12"/>
      <c r="BI18" s="42"/>
    </row>
    <row r="19" spans="1:61" s="3" customFormat="1" ht="15" customHeight="1" x14ac:dyDescent="0.25">
      <c r="A19" s="358" t="s">
        <v>296</v>
      </c>
      <c r="B19" s="321"/>
      <c r="C19" s="321"/>
      <c r="D19" s="321"/>
      <c r="E19" s="321"/>
      <c r="F19" s="321"/>
      <c r="G19" s="321"/>
      <c r="H19" s="55"/>
      <c r="I19" s="55"/>
      <c r="J19" s="55"/>
      <c r="K19" s="55"/>
      <c r="L19" s="55"/>
      <c r="M19" s="56"/>
      <c r="BE19" s="14"/>
      <c r="BF19" s="15" t="s">
        <v>296</v>
      </c>
      <c r="BG19" s="21"/>
      <c r="BH19" s="12"/>
      <c r="BI19" s="42"/>
    </row>
    <row r="20" spans="1:61" s="3" customFormat="1" ht="45.75" customHeight="1" x14ac:dyDescent="0.25">
      <c r="A20" s="16" t="s">
        <v>22</v>
      </c>
      <c r="B20" s="17" t="s">
        <v>297</v>
      </c>
      <c r="C20" s="349" t="s">
        <v>298</v>
      </c>
      <c r="D20" s="350"/>
      <c r="E20" s="351"/>
      <c r="F20" s="16" t="s">
        <v>43</v>
      </c>
      <c r="G20" s="30">
        <v>3.4200000000000001E-2</v>
      </c>
      <c r="H20" s="24">
        <f>I20/G20</f>
        <v>72159.064327485379</v>
      </c>
      <c r="I20" s="24">
        <v>2467.84</v>
      </c>
      <c r="J20" s="19">
        <f>I20*1.2</f>
        <v>2961.4079999999999</v>
      </c>
      <c r="K20" s="20"/>
      <c r="L20" s="20"/>
      <c r="M20" s="19"/>
      <c r="BE20" s="14"/>
      <c r="BF20" s="15"/>
      <c r="BG20" s="21" t="s">
        <v>298</v>
      </c>
      <c r="BH20" s="12"/>
      <c r="BI20" s="42"/>
    </row>
    <row r="21" spans="1:61" s="3" customFormat="1" ht="34.5" customHeight="1" x14ac:dyDescent="0.25">
      <c r="A21" s="16" t="s">
        <v>27</v>
      </c>
      <c r="B21" s="17" t="s">
        <v>299</v>
      </c>
      <c r="C21" s="349" t="s">
        <v>300</v>
      </c>
      <c r="D21" s="350"/>
      <c r="E21" s="351"/>
      <c r="F21" s="16" t="s">
        <v>122</v>
      </c>
      <c r="G21" s="18">
        <v>3.7999999999999999E-2</v>
      </c>
      <c r="H21" s="24">
        <f>I21/G21</f>
        <v>201094.73684210528</v>
      </c>
      <c r="I21" s="24">
        <v>7641.6</v>
      </c>
      <c r="J21" s="19">
        <f>I21*1.2</f>
        <v>9169.92</v>
      </c>
      <c r="K21" s="20"/>
      <c r="L21" s="20"/>
      <c r="M21" s="19"/>
      <c r="BE21" s="14"/>
      <c r="BF21" s="15"/>
      <c r="BG21" s="21" t="s">
        <v>300</v>
      </c>
      <c r="BH21" s="12"/>
      <c r="BI21" s="42"/>
    </row>
    <row r="22" spans="1:61" s="3" customFormat="1" ht="15" customHeight="1" x14ac:dyDescent="0.25">
      <c r="A22" s="358" t="s">
        <v>301</v>
      </c>
      <c r="B22" s="321"/>
      <c r="C22" s="321"/>
      <c r="D22" s="321"/>
      <c r="E22" s="321"/>
      <c r="F22" s="321"/>
      <c r="G22" s="321"/>
      <c r="H22" s="55"/>
      <c r="I22" s="55"/>
      <c r="J22" s="55"/>
      <c r="K22" s="55"/>
      <c r="L22" s="55"/>
      <c r="M22" s="56"/>
      <c r="BE22" s="14"/>
      <c r="BF22" s="15" t="s">
        <v>301</v>
      </c>
      <c r="BG22" s="21"/>
      <c r="BH22" s="12"/>
      <c r="BI22" s="42"/>
    </row>
    <row r="23" spans="1:61" s="3" customFormat="1" ht="34.5" customHeight="1" x14ac:dyDescent="0.25">
      <c r="A23" s="16" t="s">
        <v>35</v>
      </c>
      <c r="B23" s="17" t="s">
        <v>302</v>
      </c>
      <c r="C23" s="349" t="s">
        <v>303</v>
      </c>
      <c r="D23" s="350"/>
      <c r="E23" s="351"/>
      <c r="F23" s="16" t="s">
        <v>46</v>
      </c>
      <c r="G23" s="31">
        <v>14.31</v>
      </c>
      <c r="H23" s="24">
        <f>I23*G23</f>
        <v>6933623.1551999999</v>
      </c>
      <c r="I23" s="24">
        <v>484529.91999999998</v>
      </c>
      <c r="J23" s="19">
        <f>I23*1.2</f>
        <v>581435.90399999998</v>
      </c>
      <c r="K23" s="20"/>
      <c r="L23" s="20"/>
      <c r="M23" s="19"/>
      <c r="BE23" s="14"/>
      <c r="BF23" s="15"/>
      <c r="BG23" s="21" t="s">
        <v>303</v>
      </c>
      <c r="BH23" s="12"/>
      <c r="BI23" s="42"/>
    </row>
    <row r="24" spans="1:61" s="3" customFormat="1" ht="22.5" customHeight="1" x14ac:dyDescent="0.25">
      <c r="A24" s="25"/>
      <c r="B24" s="26" t="s">
        <v>287</v>
      </c>
      <c r="C24" s="338" t="s">
        <v>288</v>
      </c>
      <c r="D24" s="338"/>
      <c r="E24" s="338"/>
      <c r="F24" s="27" t="s">
        <v>46</v>
      </c>
      <c r="G24" s="22" t="s">
        <v>304</v>
      </c>
      <c r="H24" s="24"/>
      <c r="I24" s="279"/>
      <c r="J24" s="28"/>
      <c r="K24" s="28"/>
      <c r="L24" s="28"/>
      <c r="M24" s="29"/>
      <c r="BE24" s="14"/>
      <c r="BF24" s="15"/>
      <c r="BG24" s="21"/>
      <c r="BH24" s="12" t="s">
        <v>288</v>
      </c>
      <c r="BI24" s="42"/>
    </row>
    <row r="25" spans="1:61" s="3" customFormat="1" ht="22.5" customHeight="1" x14ac:dyDescent="0.25">
      <c r="A25" s="25"/>
      <c r="B25" s="26" t="s">
        <v>251</v>
      </c>
      <c r="C25" s="338" t="s">
        <v>252</v>
      </c>
      <c r="D25" s="338"/>
      <c r="E25" s="338"/>
      <c r="F25" s="27" t="s">
        <v>46</v>
      </c>
      <c r="G25" s="22" t="s">
        <v>305</v>
      </c>
      <c r="H25" s="24"/>
      <c r="I25" s="279"/>
      <c r="J25" s="28"/>
      <c r="K25" s="28"/>
      <c r="L25" s="28"/>
      <c r="M25" s="29"/>
      <c r="BE25" s="14"/>
      <c r="BF25" s="15"/>
      <c r="BG25" s="21"/>
      <c r="BH25" s="12" t="s">
        <v>252</v>
      </c>
      <c r="BI25" s="42"/>
    </row>
    <row r="26" spans="1:61" s="3" customFormat="1" ht="45.75" customHeight="1" x14ac:dyDescent="0.25">
      <c r="A26" s="16" t="s">
        <v>40</v>
      </c>
      <c r="B26" s="17" t="s">
        <v>306</v>
      </c>
      <c r="C26" s="349" t="s">
        <v>307</v>
      </c>
      <c r="D26" s="350"/>
      <c r="E26" s="351"/>
      <c r="F26" s="16" t="s">
        <v>46</v>
      </c>
      <c r="G26" s="31">
        <v>1.59</v>
      </c>
      <c r="H26" s="24">
        <f>I26*G26</f>
        <v>300930.77760000003</v>
      </c>
      <c r="I26" s="24">
        <v>189264.64000000001</v>
      </c>
      <c r="J26" s="19">
        <f>I26*1.2</f>
        <v>227117.568</v>
      </c>
      <c r="K26" s="20"/>
      <c r="L26" s="20"/>
      <c r="M26" s="19"/>
      <c r="BE26" s="14"/>
      <c r="BF26" s="15"/>
      <c r="BG26" s="21" t="s">
        <v>307</v>
      </c>
      <c r="BH26" s="12"/>
      <c r="BI26" s="42"/>
    </row>
    <row r="27" spans="1:61" s="3" customFormat="1" ht="22.5" customHeight="1" x14ac:dyDescent="0.25">
      <c r="A27" s="25"/>
      <c r="B27" s="26" t="s">
        <v>287</v>
      </c>
      <c r="C27" s="338" t="s">
        <v>288</v>
      </c>
      <c r="D27" s="338"/>
      <c r="E27" s="338"/>
      <c r="F27" s="27" t="s">
        <v>46</v>
      </c>
      <c r="G27" s="22" t="s">
        <v>308</v>
      </c>
      <c r="H27" s="24"/>
      <c r="I27" s="279"/>
      <c r="J27" s="28"/>
      <c r="K27" s="28"/>
      <c r="L27" s="28"/>
      <c r="M27" s="29"/>
      <c r="BE27" s="14"/>
      <c r="BF27" s="15"/>
      <c r="BG27" s="21"/>
      <c r="BH27" s="12" t="s">
        <v>288</v>
      </c>
      <c r="BI27" s="42"/>
    </row>
    <row r="28" spans="1:61" s="3" customFormat="1" ht="22.5" customHeight="1" x14ac:dyDescent="0.25">
      <c r="A28" s="25"/>
      <c r="B28" s="26" t="s">
        <v>251</v>
      </c>
      <c r="C28" s="338" t="s">
        <v>252</v>
      </c>
      <c r="D28" s="338"/>
      <c r="E28" s="338"/>
      <c r="F28" s="27" t="s">
        <v>46</v>
      </c>
      <c r="G28" s="22" t="s">
        <v>309</v>
      </c>
      <c r="H28" s="24"/>
      <c r="I28" s="279"/>
      <c r="J28" s="28"/>
      <c r="K28" s="28"/>
      <c r="L28" s="28"/>
      <c r="M28" s="29"/>
      <c r="BE28" s="14"/>
      <c r="BF28" s="15"/>
      <c r="BG28" s="21"/>
      <c r="BH28" s="12" t="s">
        <v>252</v>
      </c>
      <c r="BI28" s="42"/>
    </row>
    <row r="29" spans="1:61" s="3" customFormat="1" ht="15" customHeight="1" x14ac:dyDescent="0.25">
      <c r="A29" s="358" t="s">
        <v>310</v>
      </c>
      <c r="B29" s="321"/>
      <c r="C29" s="321"/>
      <c r="D29" s="321"/>
      <c r="E29" s="321"/>
      <c r="F29" s="321"/>
      <c r="G29" s="321"/>
      <c r="H29" s="55"/>
      <c r="I29" s="55"/>
      <c r="J29" s="55"/>
      <c r="K29" s="55"/>
      <c r="L29" s="55"/>
      <c r="M29" s="56"/>
      <c r="BE29" s="14"/>
      <c r="BF29" s="15" t="s">
        <v>310</v>
      </c>
      <c r="BG29" s="21"/>
      <c r="BH29" s="12"/>
      <c r="BI29" s="42"/>
    </row>
    <row r="30" spans="1:61" s="3" customFormat="1" ht="45.75" customHeight="1" x14ac:dyDescent="0.25">
      <c r="A30" s="16" t="s">
        <v>47</v>
      </c>
      <c r="B30" s="17" t="s">
        <v>245</v>
      </c>
      <c r="C30" s="349" t="s">
        <v>246</v>
      </c>
      <c r="D30" s="350"/>
      <c r="E30" s="351"/>
      <c r="F30" s="16" t="s">
        <v>43</v>
      </c>
      <c r="G30" s="30">
        <v>1.5900000000000001E-2</v>
      </c>
      <c r="H30" s="24">
        <f>I30*G30</f>
        <v>4.8234240000000002</v>
      </c>
      <c r="I30" s="24">
        <v>303.36</v>
      </c>
      <c r="J30" s="19">
        <f>I30*1.2</f>
        <v>364.03199999999998</v>
      </c>
      <c r="K30" s="20"/>
      <c r="L30" s="20"/>
      <c r="M30" s="19"/>
      <c r="BE30" s="14"/>
      <c r="BF30" s="15"/>
      <c r="BG30" s="21" t="s">
        <v>246</v>
      </c>
      <c r="BH30" s="12"/>
      <c r="BI30" s="42"/>
    </row>
    <row r="31" spans="1:61" s="3" customFormat="1" ht="15" customHeight="1" x14ac:dyDescent="0.25">
      <c r="A31" s="358" t="s">
        <v>92</v>
      </c>
      <c r="B31" s="321"/>
      <c r="C31" s="321"/>
      <c r="D31" s="321"/>
      <c r="E31" s="321"/>
      <c r="F31" s="321"/>
      <c r="G31" s="321"/>
      <c r="H31" s="55"/>
      <c r="I31" s="55"/>
      <c r="J31" s="55"/>
      <c r="K31" s="55"/>
      <c r="L31" s="55"/>
      <c r="M31" s="56"/>
      <c r="BE31" s="14"/>
      <c r="BF31" s="15" t="s">
        <v>92</v>
      </c>
      <c r="BG31" s="21"/>
      <c r="BH31" s="12"/>
      <c r="BI31" s="42"/>
    </row>
    <row r="32" spans="1:61" s="3" customFormat="1" ht="45.75" x14ac:dyDescent="0.25">
      <c r="A32" s="16" t="s">
        <v>52</v>
      </c>
      <c r="B32" s="17" t="s">
        <v>93</v>
      </c>
      <c r="C32" s="319" t="s">
        <v>94</v>
      </c>
      <c r="D32" s="319"/>
      <c r="E32" s="319"/>
      <c r="F32" s="16" t="s">
        <v>50</v>
      </c>
      <c r="G32" s="31">
        <v>49.31</v>
      </c>
      <c r="H32" s="24">
        <f>I32/G32</f>
        <v>70.710200770634756</v>
      </c>
      <c r="I32" s="24">
        <v>3486.72</v>
      </c>
      <c r="J32" s="19">
        <f>I32*1.2</f>
        <v>4184.0639999999994</v>
      </c>
      <c r="K32" s="20"/>
      <c r="L32" s="20"/>
      <c r="M32" s="19"/>
      <c r="P32" s="51"/>
      <c r="BE32" s="14"/>
      <c r="BF32" s="15"/>
      <c r="BG32" s="21" t="s">
        <v>94</v>
      </c>
      <c r="BH32" s="12"/>
      <c r="BI32" s="42"/>
    </row>
    <row r="33" spans="1:61" s="3" customFormat="1" ht="45.75" x14ac:dyDescent="0.25">
      <c r="A33" s="16" t="s">
        <v>55</v>
      </c>
      <c r="B33" s="17" t="s">
        <v>48</v>
      </c>
      <c r="C33" s="319" t="s">
        <v>49</v>
      </c>
      <c r="D33" s="319"/>
      <c r="E33" s="319"/>
      <c r="F33" s="16" t="s">
        <v>50</v>
      </c>
      <c r="G33" s="31">
        <v>49.31</v>
      </c>
      <c r="H33" s="24">
        <f>I33/G33</f>
        <v>831.59764753599677</v>
      </c>
      <c r="I33" s="24">
        <v>41006.080000000002</v>
      </c>
      <c r="J33" s="19">
        <f>I33*1.2</f>
        <v>49207.296000000002</v>
      </c>
      <c r="K33" s="20"/>
      <c r="L33" s="20"/>
      <c r="M33" s="19"/>
      <c r="P33" s="51"/>
      <c r="BE33" s="14"/>
      <c r="BF33" s="15"/>
      <c r="BG33" s="21" t="s">
        <v>49</v>
      </c>
      <c r="BH33" s="12"/>
      <c r="BI33" s="42"/>
    </row>
    <row r="34" spans="1:61" s="3" customFormat="1" ht="20.25" customHeight="1" x14ac:dyDescent="0.25">
      <c r="A34" s="330" t="s">
        <v>57</v>
      </c>
      <c r="B34" s="331"/>
      <c r="C34" s="331"/>
      <c r="D34" s="331"/>
      <c r="E34" s="331"/>
      <c r="F34" s="331"/>
      <c r="G34" s="331"/>
      <c r="H34" s="60"/>
      <c r="I34" s="66">
        <f>SUM(I12:I33)</f>
        <v>1312672</v>
      </c>
      <c r="J34" s="282">
        <f>SUM(J12:J33)</f>
        <v>1575206.4</v>
      </c>
      <c r="K34" s="66"/>
      <c r="L34" s="66">
        <f>SUM(L12:L33)</f>
        <v>0</v>
      </c>
      <c r="M34" s="282">
        <f>SUM(M12:M33)</f>
        <v>0</v>
      </c>
    </row>
    <row r="35" spans="1:61" s="48" customFormat="1" ht="20.25" customHeight="1" thickBot="1" x14ac:dyDescent="0.3">
      <c r="A35" s="332" t="s">
        <v>825</v>
      </c>
      <c r="B35" s="333"/>
      <c r="C35" s="333"/>
      <c r="D35" s="333"/>
      <c r="E35" s="333"/>
      <c r="F35" s="333"/>
      <c r="G35" s="333"/>
      <c r="H35" s="82"/>
      <c r="I35" s="322">
        <f>I34+L34</f>
        <v>1312672</v>
      </c>
      <c r="J35" s="323"/>
      <c r="K35" s="323"/>
      <c r="L35" s="323"/>
      <c r="M35" s="324"/>
    </row>
    <row r="36" spans="1:61" s="48" customFormat="1" ht="20.25" customHeight="1" thickBot="1" x14ac:dyDescent="0.3">
      <c r="A36" s="332" t="s">
        <v>826</v>
      </c>
      <c r="B36" s="333"/>
      <c r="C36" s="333"/>
      <c r="D36" s="333"/>
      <c r="E36" s="333"/>
      <c r="F36" s="333"/>
      <c r="G36" s="333"/>
      <c r="H36" s="82"/>
      <c r="I36" s="359">
        <f>J34+M34</f>
        <v>1575206.4</v>
      </c>
      <c r="J36" s="360"/>
      <c r="K36" s="360"/>
      <c r="L36" s="360"/>
      <c r="M36" s="361"/>
    </row>
  </sheetData>
  <autoFilter ref="A11:BR35"/>
  <mergeCells count="34">
    <mergeCell ref="I35:M35"/>
    <mergeCell ref="A36:G36"/>
    <mergeCell ref="I36:M36"/>
    <mergeCell ref="A2:M2"/>
    <mergeCell ref="A3:M3"/>
    <mergeCell ref="A5:M5"/>
    <mergeCell ref="C9:E9"/>
    <mergeCell ref="C10:E10"/>
    <mergeCell ref="A19:G19"/>
    <mergeCell ref="A22:G22"/>
    <mergeCell ref="C18:E18"/>
    <mergeCell ref="C14:E14"/>
    <mergeCell ref="A6:M6"/>
    <mergeCell ref="C7:G7"/>
    <mergeCell ref="C25:E25"/>
    <mergeCell ref="C26:E26"/>
    <mergeCell ref="C27:E27"/>
    <mergeCell ref="C20:E20"/>
    <mergeCell ref="C21:E21"/>
    <mergeCell ref="A34:G34"/>
    <mergeCell ref="A35:G35"/>
    <mergeCell ref="C33:E33"/>
    <mergeCell ref="C28:E28"/>
    <mergeCell ref="C30:E30"/>
    <mergeCell ref="C32:E32"/>
    <mergeCell ref="A29:G29"/>
    <mergeCell ref="A31:G31"/>
    <mergeCell ref="C23:E23"/>
    <mergeCell ref="C24:E24"/>
    <mergeCell ref="A12:G12"/>
    <mergeCell ref="A13:G13"/>
    <mergeCell ref="A15:G15"/>
    <mergeCell ref="A16:G16"/>
    <mergeCell ref="A17:G17"/>
  </mergeCells>
  <printOptions horizontalCentered="1"/>
  <pageMargins left="0.39370077848434498" right="0.39370077848434498" top="0.35433071851730302" bottom="0.31496062874794001" header="0.118110239505768" footer="0.118110239505768"/>
  <pageSetup paperSize="9" scale="9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2</vt:i4>
      </vt:variant>
    </vt:vector>
  </HeadingPairs>
  <TitlesOfParts>
    <vt:vector size="12" baseType="lpstr">
      <vt:lpstr>прил.7.2</vt:lpstr>
      <vt:lpstr>01-01-01</vt:lpstr>
      <vt:lpstr>01-01-02</vt:lpstr>
      <vt:lpstr>02-01-01</vt:lpstr>
      <vt:lpstr>02-02-01</vt:lpstr>
      <vt:lpstr>02-03-01</vt:lpstr>
      <vt:lpstr>01-02-05</vt:lpstr>
      <vt:lpstr>01-02-03</vt:lpstr>
      <vt:lpstr>01-02-01</vt:lpstr>
      <vt:lpstr>01-02-02</vt:lpstr>
      <vt:lpstr>'01-01-01'!Заголовки_для_печати</vt:lpstr>
      <vt:lpstr>'01-01-02'!Заголовки_для_печати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2025-06-21T15:04:51Z</dcterms:created>
  <dcterms:modified xsi:type="dcterms:W3CDTF">2025-07-09T13:29:44Z</dcterms:modified>
</cp:coreProperties>
</file>