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"/>
    </mc:Choice>
  </mc:AlternateContent>
  <xr:revisionPtr revIDLastSave="0" documentId="8_{75CDD2B8-5182-4099-836D-61E9F637FA8C}" xr6:coauthVersionLast="47" xr6:coauthVersionMax="47" xr10:uidLastSave="{00000000-0000-0000-0000-000000000000}"/>
  <bookViews>
    <workbookView xWindow="-98" yWindow="-98" windowWidth="21795" windowHeight="13875" tabRatio="770" firstSheet="1" activeTab="4" xr2:uid="{FFA86EE9-2D57-4644-A65B-22E051DF5F38}"/>
  </bookViews>
  <sheets>
    <sheet name="!расчет по разделам (3)" sheetId="6" state="hidden" r:id="rId1"/>
    <sheet name="!расчет (2 сценария)" sheetId="12" r:id="rId2"/>
    <sheet name="без настила" sheetId="1" state="hidden" r:id="rId3"/>
    <sheet name="!расчет по разделам" sheetId="4" r:id="rId4"/>
    <sheet name="+ЗУ+дефлятор" sheetId="8" r:id="rId5"/>
    <sheet name="+ЗУ + коэф.инфляции" sheetId="11" state="hidden" r:id="rId6"/>
    <sheet name="расчет дефлятора 2кв_1кв 26г." sheetId="7" r:id="rId7"/>
    <sheet name="Дефл год Базовый Сайт" sheetId="10" r:id="rId8"/>
    <sheet name="расчет по разделам" sheetId="3" state="hidden" r:id="rId9"/>
    <sheet name="с настилом" sheetId="2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7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7" hidden="1">'Дефл год Базовый Сайт'!$A$5:$A$106</definedName>
    <definedName name="Z_0ED5301B_3B9B_4028_A009_D402EF13F98D_.wvu.FilterData" localSheetId="7" hidden="1">'Дефл год Базовый Сайт'!$A$5:$A$100</definedName>
    <definedName name="Z_13B89219_28C6_4883_87AC_E0D1795AD51D_.wvu.FilterData" localSheetId="7" hidden="1">'Дефл год Базовый Сайт'!$A$5:$A$100</definedName>
    <definedName name="Z_268023C0_9BC0_40EB_A535_38BF110897FA_.wvu.FilterData" localSheetId="7" hidden="1">'Дефл год Базовый Сайт'!$A$5:$A$100</definedName>
    <definedName name="Z_3DEEBB3D_1270_47DE_834F_86032DB959D9_.wvu.FilterData" localSheetId="7" hidden="1">'Дефл год Базовый Сайт'!$A$5:$A$100</definedName>
    <definedName name="Z_4E2D07F0_76DB_4630_BC1D_F4D5A502B378_.wvu.FilterData" localSheetId="7" hidden="1">'Дефл год Базовый Сайт'!$A$5:$A$100</definedName>
    <definedName name="Z_572ABAB9_340C_418A_A9AD_B19F14213DA2_.wvu.FilterData" localSheetId="7" hidden="1">'Дефл год Базовый Сайт'!$A$5:$A$100</definedName>
    <definedName name="Z_ABD7BA35_04E1_43E0_AC75_033C3CA6FF3C_.wvu.Cols" localSheetId="7" hidden="1">'Дефл год Базовый Сайт'!#REF!,'Дефл год Базовый Сайт'!#REF!</definedName>
    <definedName name="Z_ABD7BA35_04E1_43E0_AC75_033C3CA6FF3C_.wvu.FilterData" localSheetId="7" hidden="1">'Дефл год Базовый Сайт'!$A$5:$A$100</definedName>
    <definedName name="Z_ABD7BA35_04E1_43E0_AC75_033C3CA6FF3C_.wvu.PrintArea" localSheetId="7" hidden="1">'Дефл год Базовый Сайт'!$A$5:$F$100</definedName>
    <definedName name="Z_C73CA27E_77B2_422A_A773_B235904BACA3_.wvu.Cols" localSheetId="7" hidden="1">'Дефл год Базовый Сайт'!#REF!,'Дефл год Базовый Сайт'!#REF!</definedName>
    <definedName name="Z_C73CA27E_77B2_422A_A773_B235904BACA3_.wvu.FilterData" localSheetId="7" hidden="1">'Дефл год Базовый Сайт'!$A$5:$A$100</definedName>
    <definedName name="Z_C73CA27E_77B2_422A_A773_B235904BACA3_.wvu.PrintArea" localSheetId="7" hidden="1">'Дефл год Базовый Сайт'!$A$5:$F$100</definedName>
    <definedName name="Z_D49940EF_113F_4789_B6E7_8353B816853A_.wvu.Cols" localSheetId="7" hidden="1">'Дефл год Базовый Сайт'!#REF!,'Дефл год Базовый Сайт'!#REF!</definedName>
    <definedName name="Z_D49940EF_113F_4789_B6E7_8353B816853A_.wvu.FilterData" localSheetId="7" hidden="1">'Дефл год Базовый Сайт'!$A$5:$A$100</definedName>
    <definedName name="Z_D49940EF_113F_4789_B6E7_8353B816853A_.wvu.PrintArea" localSheetId="7" hidden="1">'Дефл год Базовый Сайт'!$A$5:$F$100</definedName>
    <definedName name="Z_DCC68DFC_E4AF_484C_822A_D560C6D52926_.wvu.FilterData" localSheetId="7" hidden="1">'Дефл год Базовый Сайт'!$A$5:$A$100</definedName>
    <definedName name="Z_E55F6B6A_DBD3_4117_B149_A082390B8D13_.wvu.Cols" localSheetId="7" hidden="1">'Дефл год Базовый Сайт'!#REF!,'Дефл год Базовый Сайт'!#REF!</definedName>
    <definedName name="Z_E55F6B6A_DBD3_4117_B149_A082390B8D13_.wvu.FilterData" localSheetId="7" hidden="1">'Дефл год Базовый Сайт'!$A$5:$A$100</definedName>
    <definedName name="Z_E55F6B6A_DBD3_4117_B149_A082390B8D13_.wvu.PrintArea" localSheetId="7" hidden="1">'Дефл год Базовый Сайт'!$A$5:$F$100</definedName>
    <definedName name="Z_E9547856_3045_49CA_B3C7_618D2DA21087_.wvu.FilterData" localSheetId="7" hidden="1">'Дефл год Базовый Сайт'!$A$5:$A$100</definedName>
    <definedName name="Z_E9D4ABE5_580B_4EA1_8057_CB16EE65A5F9_.wvu.FilterData" localSheetId="7" hidden="1">'Дефл год Базовый Сайт'!$A$5:$A$100</definedName>
    <definedName name="Z_F49A5623_9435_4BAA_98DE_EAAB0061DE16_.wvu.FilterData" localSheetId="7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7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7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32" i="8" l="1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O3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F16" i="4" l="1"/>
  <c r="M24" i="12"/>
  <c r="K16" i="12"/>
  <c r="M16" i="12"/>
  <c r="D16" i="12"/>
  <c r="F16" i="12"/>
  <c r="F17" i="12"/>
  <c r="F18" i="12" s="1"/>
  <c r="F19" i="12" s="1"/>
  <c r="F20" i="12" s="1"/>
  <c r="T16" i="11"/>
  <c r="F25" i="4" l="1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F21" i="4" l="1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E8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F8" i="7" s="1"/>
  <c r="B7" i="7"/>
  <c r="B8" i="7" s="1"/>
  <c r="V19" i="8" l="1"/>
  <c r="V20" i="8" s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<sst xmlns="http://schemas.openxmlformats.org/spreadsheetml/2006/main" count="815" uniqueCount="151">
  <si>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</si>
  <si>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</si>
  <si>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</si>
  <si>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</si>
  <si>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</si>
  <si>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</si>
  <si>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</si>
  <si>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</si>
  <si>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</si>
  <si>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</si>
  <si>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</si>
  <si>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</si>
  <si>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</si>
  <si>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</si>
  <si>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</si>
  <si>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</si>
  <si>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</si>
  <si>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</si>
  <si>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</si>
  <si>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</si>
  <si>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</si>
  <si>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</si>
  <si>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</si>
  <si>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</si>
  <si>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</si>
  <si>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</si>
  <si>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</si>
  <si>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</si>
  <si>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</si>
  <si>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</si>
  <si>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</si>
  <si>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</si>
  <si>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</si>
  <si>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</si>
  <si>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</si>
  <si>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</si>
  <si>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</si>
  <si>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</si>
  <si>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</si>
  <si>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</si>
  <si>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</si>
  <si>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</si>
  <si>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</si>
  <si>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</si>
  <si>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</si>
  <si>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</si>
  <si>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</si>
  <si>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</si>
  <si>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</si>
  <si>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</si>
  <si>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</si>
  <si>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</si>
  <si>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</si>
  <si>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</si>
  <si>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</si>
  <si>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</si>
  <si>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</si>
  <si>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</si>
  <si>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</si>
  <si>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</si>
  <si>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</si>
  <si>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</si>
  <si>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</si>
  <si>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</si>
  <si>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</si>
  <si>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</si>
  <si>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</si>
  <si>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</si>
  <si>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</si>
  <si>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</si>
  <si>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</si>
  <si>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</si>
  <si>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</si>
  <si>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</si>
  <si>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</si>
  <si>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</si>
  <si>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</si>
  <si>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0,75</t>
    </r>
  </si>
  <si>
    <t xml:space="preserve">(Берём середины кварталов: май 2025 → февраль 2026 ≈ 9 месяцев = 0,75 года)
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</si>
  <si>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</si>
  <si>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</si>
  <si>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</si>
  <si>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</si>
  <si>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</si>
  <si>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</si>
  <si>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</si>
  <si>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</si>
  <si>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</si>
  <si>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</si>
  <si>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</si>
  <si>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</si>
  <si>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</si>
  <si>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</si>
  <si>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</si>
  <si>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</si>
  <si>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</si>
  <si>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</si>
  <si>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</si>
  <si>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</si>
  <si>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</si>
  <si>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</si>
  <si>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</si>
  <si>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</si>
  <si>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</si>
  <si>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</si>
  <si>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</si>
  <si>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</si>
  <si>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</si>
  <si>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</si>
  <si>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</si>
  <si>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</si>
  <si>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</si>
  <si>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</si>
  <si>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</si>
  <si>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</si>
  <si>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</si>
  <si>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</si>
  <si>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</si>
  <si>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</si>
  <si>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</si>
  <si>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</si>
  <si>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</si>
  <si>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</si>
  <si>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</si>
  <si>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</si>
  <si>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</si>
  <si>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</si>
  <si>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</si>
  <si>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</si>
  <si>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</si>
  <si>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</si>
  <si>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</si>
  <si>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</si>
  <si>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</si>
  <si>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</si>
  <si>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</si>
  <si>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r>
      <t>(1,081)</t>
    </r>
    <r>
      <rPr>
        <b/>
        <vertAlign val="superscript"/>
        <sz val="10"/>
        <color rgb="FFFF0000"/>
        <rFont val="Arial Cyr"/>
        <charset val="204"/>
      </rPr>
      <t>0,75</t>
    </r>
  </si>
  <si>
    <t>(+6%)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</si>
  <si>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</si>
  <si>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</si>
  <si>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 xml:space="preserve">некорректный расчет-стоимость МАТЗАК вычитается </t>
  </si>
  <si>
    <t>некорректная сумма, т.к. дав. вычитаем в объеме 2078,02 тн</t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</si>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</sst>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5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313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5" fontId="16" fillId="0" borderId="0" xfId="1" applyNumberFormat="1" applyAlignment="1">
      <alignment horizontal="center" vertical="center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0" fillId="8" borderId="0" xfId="0" applyFill="1"/>
    <xf numFmtId="0" fontId="9" fillId="8" borderId="0" xfId="0" applyFont="1" applyFill="1"/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54" fillId="3" borderId="24" xfId="0" applyNumberFormat="1" applyFont="1" applyFill="1" applyBorder="1" applyAlignment="1">
      <alignment horizontal="center" vertical="center"/>
    </xf>
    <xf numFmtId="164" fontId="54" fillId="3" borderId="10" xfId="0" applyNumberFormat="1" applyFont="1" applyFill="1" applyBorder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  <xf numFmtId="2" fontId="3" fillId="4" borderId="56" xfId="0" applyNumberFormat="1" applyFont="1" applyFill="1" applyBorder="1" applyAlignment="1">
      <alignment horizontal="left" vertical="center" wrapText="1"/>
    </xf>
    <xf numFmtId="2" fontId="3" fillId="4" borderId="20" xfId="0" applyNumberFormat="1" applyFont="1" applyFill="1" applyBorder="1" applyAlignment="1">
      <alignment horizontal="left" vertical="center" wrapText="1"/>
    </xf>
    <xf numFmtId="2" fontId="3" fillId="4" borderId="20" xfId="0" applyNumberFormat="1" applyFont="1" applyFill="1" applyBorder="1" applyAlignment="1">
      <alignment vertical="center" wrapText="1"/>
    </xf>
    <xf numFmtId="4" fontId="3" fillId="4" borderId="32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!%20&#1059;&#1089;&#1090;&#1100;-&#1051;&#1091;&#1075;&#1072;\!!!&#1050;&#1052;\!%20&#1051;&#1057;&#1056;%20&#1087;&#1086;%20&#1050;&#1052;&#1044;%20+&#1047;&#1059;%20&#1080;%20&#1082;-&#1090;%20&#1080;&#1085;&#1092;&#1083;\&#1055;&#1045;&#1056;&#1045;&#1057;&#1063;&#1045;&#1058;%20+&#1047;&#1059;%20&#1080;%20&#1085;&#1076;&#1077;&#1082;&#1089;&#1099;%20&#1085;&#1072;%203%20&#1082;&#1074;.%202025&#1075;\&#1050;&#1052;_1632-2021-2.1.3-&#1050;&#1052;_&#1047;&#1059;+4%20&#1082;&#1074;.%202025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дог в Грандсмете"/>
      <sheetName val="Кдог согласовано"/>
      <sheetName val="расчет дефлятора 2кв_4кв 25г."/>
      <sheetName val="расчет дефлятора 3кв_4кв 25г."/>
    </sheetNames>
    <sheetDataSet>
      <sheetData sheetId="0" refreshError="1"/>
      <sheetData sheetId="1" refreshError="1"/>
      <sheetData sheetId="2" refreshError="1"/>
      <sheetData sheetId="3">
        <row r="8">
          <cell r="D8">
            <v>208859301.65000001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273" t="s">
        <v>21</v>
      </c>
      <c r="E2" s="274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273" t="s">
        <v>21</v>
      </c>
      <c r="M2" s="274"/>
      <c r="N2" s="57" t="s">
        <v>32</v>
      </c>
      <c r="Q2" s="54" t="s">
        <v>37</v>
      </c>
      <c r="R2" s="55" t="s">
        <v>38</v>
      </c>
      <c r="S2" s="56" t="s">
        <v>18</v>
      </c>
      <c r="T2" s="273" t="s">
        <v>21</v>
      </c>
      <c r="U2" s="274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275">
        <f>404.352+9.256</f>
        <v>413.60799999999995</v>
      </c>
      <c r="E3" s="276"/>
      <c r="F3" s="86">
        <f>40619316.42-G3</f>
        <v>10022991.91</v>
      </c>
      <c r="G3" s="36">
        <v>30596324.510000002</v>
      </c>
      <c r="H3" s="36"/>
      <c r="I3" s="81">
        <v>1</v>
      </c>
      <c r="J3" s="277" t="s">
        <v>47</v>
      </c>
      <c r="K3" s="85" t="s">
        <v>19</v>
      </c>
      <c r="L3" s="275">
        <f>404.352+9.256</f>
        <v>413.60799999999995</v>
      </c>
      <c r="M3" s="276"/>
      <c r="N3" s="266">
        <v>164516389.53999999</v>
      </c>
      <c r="Q3" s="81">
        <v>1</v>
      </c>
      <c r="R3" s="277" t="s">
        <v>47</v>
      </c>
      <c r="S3" s="280" t="s">
        <v>19</v>
      </c>
      <c r="T3" s="283">
        <v>1893.4</v>
      </c>
      <c r="U3" s="284"/>
      <c r="V3" s="266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269">
        <f>676.624</f>
        <v>676.62400000000002</v>
      </c>
      <c r="E4" s="270"/>
      <c r="F4" s="89">
        <f>77526903.96-G4</f>
        <v>28449520.749999993</v>
      </c>
      <c r="G4" s="36">
        <v>49077383.210000001</v>
      </c>
      <c r="H4" s="36"/>
      <c r="I4" s="82">
        <v>2</v>
      </c>
      <c r="J4" s="278"/>
      <c r="K4" s="88" t="s">
        <v>19</v>
      </c>
      <c r="L4" s="269">
        <f>676.624</f>
        <v>676.62400000000002</v>
      </c>
      <c r="M4" s="270"/>
      <c r="N4" s="267"/>
      <c r="Q4" s="82">
        <v>2</v>
      </c>
      <c r="R4" s="278"/>
      <c r="S4" s="281"/>
      <c r="T4" s="285"/>
      <c r="U4" s="286"/>
      <c r="V4" s="267"/>
    </row>
    <row r="5" spans="1:22" x14ac:dyDescent="0.25">
      <c r="A5" s="82">
        <v>3</v>
      </c>
      <c r="B5" s="87" t="s">
        <v>26</v>
      </c>
      <c r="C5" s="88" t="s">
        <v>19</v>
      </c>
      <c r="D5" s="269">
        <v>295.15199999999999</v>
      </c>
      <c r="E5" s="270"/>
      <c r="F5" s="89">
        <f>35252578.16-G5</f>
        <v>12410042.859999996</v>
      </c>
      <c r="G5" s="36">
        <v>22842535.300000001</v>
      </c>
      <c r="H5" s="36"/>
      <c r="I5" s="82">
        <v>3</v>
      </c>
      <c r="J5" s="278"/>
      <c r="K5" s="88" t="s">
        <v>19</v>
      </c>
      <c r="L5" s="269">
        <v>295.15199999999999</v>
      </c>
      <c r="M5" s="270"/>
      <c r="N5" s="267"/>
      <c r="Q5" s="82">
        <v>3</v>
      </c>
      <c r="R5" s="278"/>
      <c r="S5" s="281"/>
      <c r="T5" s="285"/>
      <c r="U5" s="286"/>
      <c r="V5" s="267"/>
    </row>
    <row r="6" spans="1:22" ht="30" x14ac:dyDescent="0.25">
      <c r="A6" s="82">
        <v>4</v>
      </c>
      <c r="B6" s="87" t="s">
        <v>8</v>
      </c>
      <c r="C6" s="88" t="s">
        <v>19</v>
      </c>
      <c r="D6" s="269">
        <v>284.85599999999999</v>
      </c>
      <c r="E6" s="270"/>
      <c r="F6" s="89">
        <f>54348406.96-G6</f>
        <v>29847559.98</v>
      </c>
      <c r="G6" s="36">
        <v>24500846.98</v>
      </c>
      <c r="H6" s="36"/>
      <c r="I6" s="82">
        <v>4</v>
      </c>
      <c r="J6" s="278"/>
      <c r="K6" s="88" t="s">
        <v>19</v>
      </c>
      <c r="L6" s="269">
        <v>284.85599999999999</v>
      </c>
      <c r="M6" s="270"/>
      <c r="N6" s="267"/>
      <c r="Q6" s="82">
        <v>4</v>
      </c>
      <c r="R6" s="278"/>
      <c r="S6" s="281"/>
      <c r="T6" s="285"/>
      <c r="U6" s="286"/>
      <c r="V6" s="267"/>
    </row>
    <row r="7" spans="1:22" x14ac:dyDescent="0.25">
      <c r="A7" s="82">
        <v>5</v>
      </c>
      <c r="B7" s="87" t="s">
        <v>1</v>
      </c>
      <c r="C7" s="88" t="s">
        <v>19</v>
      </c>
      <c r="D7" s="269">
        <v>103.27200000000001</v>
      </c>
      <c r="E7" s="270"/>
      <c r="F7" s="89">
        <f>14658524.85-G7</f>
        <v>6218924.8699999992</v>
      </c>
      <c r="G7" s="36">
        <v>8439599.9800000004</v>
      </c>
      <c r="H7" s="36"/>
      <c r="I7" s="82">
        <v>5</v>
      </c>
      <c r="J7" s="278"/>
      <c r="K7" s="88" t="s">
        <v>19</v>
      </c>
      <c r="L7" s="269">
        <v>103.27200000000001</v>
      </c>
      <c r="M7" s="270"/>
      <c r="N7" s="267"/>
      <c r="Q7" s="82">
        <v>5</v>
      </c>
      <c r="R7" s="278"/>
      <c r="S7" s="281"/>
      <c r="T7" s="285"/>
      <c r="U7" s="286"/>
      <c r="V7" s="267"/>
    </row>
    <row r="8" spans="1:22" ht="30" x14ac:dyDescent="0.25">
      <c r="A8" s="82">
        <v>6</v>
      </c>
      <c r="B8" s="87" t="s">
        <v>2</v>
      </c>
      <c r="C8" s="88" t="s">
        <v>19</v>
      </c>
      <c r="D8" s="269">
        <v>66.872</v>
      </c>
      <c r="E8" s="270"/>
      <c r="F8" s="89">
        <f>9352168.79-G8</f>
        <v>4525782.0099999988</v>
      </c>
      <c r="G8" s="36">
        <v>4826386.78</v>
      </c>
      <c r="H8" s="36"/>
      <c r="I8" s="82">
        <v>6</v>
      </c>
      <c r="J8" s="278"/>
      <c r="K8" s="88" t="s">
        <v>19</v>
      </c>
      <c r="L8" s="269">
        <v>66.872</v>
      </c>
      <c r="M8" s="270"/>
      <c r="N8" s="267"/>
      <c r="Q8" s="82">
        <v>6</v>
      </c>
      <c r="R8" s="278"/>
      <c r="S8" s="281"/>
      <c r="T8" s="285"/>
      <c r="U8" s="286"/>
      <c r="V8" s="267"/>
    </row>
    <row r="9" spans="1:22" x14ac:dyDescent="0.25">
      <c r="A9" s="82">
        <v>7</v>
      </c>
      <c r="B9" s="87" t="s">
        <v>3</v>
      </c>
      <c r="C9" s="88" t="s">
        <v>19</v>
      </c>
      <c r="D9" s="269">
        <v>233.27199999999999</v>
      </c>
      <c r="E9" s="270"/>
      <c r="F9" s="89">
        <f>34523672.98-G9</f>
        <v>17401032.069999997</v>
      </c>
      <c r="G9" s="36">
        <v>17122640.91</v>
      </c>
      <c r="H9" s="36"/>
      <c r="I9" s="82">
        <v>7</v>
      </c>
      <c r="J9" s="278"/>
      <c r="K9" s="88" t="s">
        <v>19</v>
      </c>
      <c r="L9" s="269">
        <v>233.27199999999999</v>
      </c>
      <c r="M9" s="270"/>
      <c r="N9" s="267"/>
      <c r="Q9" s="82">
        <v>7</v>
      </c>
      <c r="R9" s="278"/>
      <c r="S9" s="281"/>
      <c r="T9" s="285"/>
      <c r="U9" s="286"/>
      <c r="V9" s="267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271">
        <v>4.3680000000000003</v>
      </c>
      <c r="E10" s="272"/>
      <c r="F10" s="92">
        <f>1043243.99-G10</f>
        <v>714028.58000000007</v>
      </c>
      <c r="G10" s="36">
        <v>329215.40999999997</v>
      </c>
      <c r="H10" s="36"/>
      <c r="I10" s="83">
        <v>8</v>
      </c>
      <c r="J10" s="279"/>
      <c r="K10" s="91" t="s">
        <v>19</v>
      </c>
      <c r="L10" s="271">
        <v>4.3680000000000003</v>
      </c>
      <c r="M10" s="272"/>
      <c r="N10" s="268"/>
      <c r="Q10" s="83">
        <v>8</v>
      </c>
      <c r="R10" s="279"/>
      <c r="S10" s="282"/>
      <c r="T10" s="287"/>
      <c r="U10" s="288"/>
      <c r="V10" s="268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260" t="s">
        <v>31</v>
      </c>
      <c r="E12" s="26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260" t="s">
        <v>31</v>
      </c>
      <c r="M12" s="26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260" t="s">
        <v>31</v>
      </c>
      <c r="U12" s="261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262" t="s">
        <v>30</v>
      </c>
      <c r="E13" s="26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262" t="s">
        <v>30</v>
      </c>
      <c r="M13" s="26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262" t="s">
        <v>30</v>
      </c>
      <c r="U13" s="263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264">
        <f>47.6596*100</f>
        <v>4765.96</v>
      </c>
      <c r="E14" s="26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264">
        <f>47.6596*100</f>
        <v>4765.96</v>
      </c>
      <c r="M14" s="265"/>
      <c r="N14" s="73">
        <v>1105733.3899999999</v>
      </c>
      <c r="Q14" s="70">
        <v>11</v>
      </c>
      <c r="R14" s="71" t="s">
        <v>17</v>
      </c>
      <c r="S14" s="72" t="s">
        <v>20</v>
      </c>
      <c r="T14" s="264">
        <f>47.6596*100</f>
        <v>4765.96</v>
      </c>
      <c r="U14" s="265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M12" sqref="M12:M14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9.7109375" style="35" customWidth="1"/>
    <col min="15" max="15" width="10" style="35" bestFit="1" customWidth="1"/>
  </cols>
  <sheetData>
    <row r="1" spans="1:23" ht="38.25" customHeight="1" thickBot="1" x14ac:dyDescent="0.3">
      <c r="F1" s="249" t="s">
        <v>143</v>
      </c>
      <c r="G1" s="105"/>
      <c r="M1" s="249" t="s">
        <v>144</v>
      </c>
      <c r="N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273" t="s">
        <v>21</v>
      </c>
      <c r="E2" s="274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273" t="s">
        <v>21</v>
      </c>
      <c r="L2" s="274"/>
      <c r="M2" s="57" t="s">
        <v>32</v>
      </c>
      <c r="N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275">
        <f>404.352+9.256</f>
        <v>413.60799999999995</v>
      </c>
      <c r="E3" s="276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298">
        <v>292.42</v>
      </c>
      <c r="L3" s="299"/>
      <c r="M3" s="253">
        <f>37762102.01-N3</f>
        <v>7165777.4999999963</v>
      </c>
      <c r="N3" s="36">
        <v>30596324.510000002</v>
      </c>
      <c r="O3" s="36">
        <f>D3-K3</f>
        <v>121.18799999999993</v>
      </c>
    </row>
    <row r="4" spans="1:23" ht="30" x14ac:dyDescent="0.25">
      <c r="A4" s="82">
        <v>2</v>
      </c>
      <c r="B4" s="87" t="s">
        <v>25</v>
      </c>
      <c r="C4" s="88" t="s">
        <v>19</v>
      </c>
      <c r="D4" s="275">
        <f>676.624</f>
        <v>676.62400000000002</v>
      </c>
      <c r="E4" s="276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294">
        <v>941.29</v>
      </c>
      <c r="L4" s="295"/>
      <c r="M4" s="253">
        <f>89009547.99-N4</f>
        <v>39932164.779999994</v>
      </c>
      <c r="N4" s="36">
        <v>49077383.210000001</v>
      </c>
      <c r="O4" s="252">
        <f t="shared" ref="O4:O5" si="0">D4-K4</f>
        <v>-264.66599999999994</v>
      </c>
      <c r="Q4" s="25"/>
    </row>
    <row r="5" spans="1:23" x14ac:dyDescent="0.25">
      <c r="A5" s="82">
        <v>3</v>
      </c>
      <c r="B5" s="87" t="s">
        <v>26</v>
      </c>
      <c r="C5" s="88" t="s">
        <v>19</v>
      </c>
      <c r="D5" s="269">
        <v>295.15199999999999</v>
      </c>
      <c r="E5" s="270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298">
        <v>53.14</v>
      </c>
      <c r="L5" s="299"/>
      <c r="M5" s="253">
        <f>25076874.41-N5</f>
        <v>2234339.1099999994</v>
      </c>
      <c r="N5" s="36">
        <v>22842535.300000001</v>
      </c>
      <c r="O5" s="252">
        <f t="shared" si="0"/>
        <v>242.012</v>
      </c>
    </row>
    <row r="6" spans="1:23" ht="30" x14ac:dyDescent="0.25">
      <c r="A6" s="82">
        <v>4</v>
      </c>
      <c r="B6" s="87" t="s">
        <v>8</v>
      </c>
      <c r="C6" s="88" t="s">
        <v>19</v>
      </c>
      <c r="D6" s="269">
        <v>284.85599999999999</v>
      </c>
      <c r="E6" s="270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294">
        <v>213.17</v>
      </c>
      <c r="L6" s="295"/>
      <c r="M6" s="254">
        <f>46837060.14-N6</f>
        <v>22336213.16</v>
      </c>
      <c r="N6" s="36">
        <v>24500846.98</v>
      </c>
      <c r="O6" s="36">
        <f>D6-K6</f>
        <v>71.686000000000007</v>
      </c>
    </row>
    <row r="7" spans="1:23" x14ac:dyDescent="0.25">
      <c r="A7" s="82">
        <v>5</v>
      </c>
      <c r="B7" s="87" t="s">
        <v>1</v>
      </c>
      <c r="C7" s="88" t="s">
        <v>19</v>
      </c>
      <c r="D7" s="269">
        <v>103.27200000000001</v>
      </c>
      <c r="E7" s="270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294">
        <v>61.69</v>
      </c>
      <c r="L7" s="295"/>
      <c r="M7" s="254">
        <f>12077264.9-N7</f>
        <v>3714903.1500000004</v>
      </c>
      <c r="N7" s="36">
        <v>8362361.75</v>
      </c>
      <c r="O7" s="36">
        <f>D7-K7</f>
        <v>41.582000000000008</v>
      </c>
    </row>
    <row r="8" spans="1:23" ht="30" x14ac:dyDescent="0.25">
      <c r="A8" s="82">
        <v>6</v>
      </c>
      <c r="B8" s="87" t="s">
        <v>2</v>
      </c>
      <c r="C8" s="88" t="s">
        <v>19</v>
      </c>
      <c r="D8" s="269">
        <v>66.872</v>
      </c>
      <c r="E8" s="270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294">
        <v>41.95</v>
      </c>
      <c r="L8" s="295"/>
      <c r="M8" s="254">
        <f>7627692.25-N8</f>
        <v>2839000</v>
      </c>
      <c r="N8" s="36">
        <v>4788692.25</v>
      </c>
      <c r="O8" s="36">
        <f>D8-K8</f>
        <v>24.921999999999997</v>
      </c>
    </row>
    <row r="9" spans="1:23" x14ac:dyDescent="0.25">
      <c r="A9" s="82">
        <v>7</v>
      </c>
      <c r="B9" s="87" t="s">
        <v>3</v>
      </c>
      <c r="C9" s="88" t="s">
        <v>19</v>
      </c>
      <c r="D9" s="269">
        <v>233.27199999999999</v>
      </c>
      <c r="E9" s="270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296">
        <v>182.95</v>
      </c>
      <c r="L9" s="297"/>
      <c r="M9" s="254">
        <f>30709409.94-N9</f>
        <v>13647239.470000003</v>
      </c>
      <c r="N9" s="36">
        <v>17062170.469999999</v>
      </c>
      <c r="O9" s="36">
        <f t="shared" ref="O9:O10" si="1">D9-K9</f>
        <v>50.322000000000003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271">
        <v>4.3680000000000003</v>
      </c>
      <c r="E10" s="272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271">
        <v>5.08</v>
      </c>
      <c r="L10" s="272"/>
      <c r="M10" s="255">
        <f>1160321.19-N10</f>
        <v>831105.78</v>
      </c>
      <c r="N10" s="36">
        <v>329215.40999999997</v>
      </c>
      <c r="O10" s="36">
        <f t="shared" si="1"/>
        <v>-0.71199999999999974</v>
      </c>
    </row>
    <row r="11" spans="1:23" ht="2.25" customHeight="1" thickTop="1" x14ac:dyDescent="0.25">
      <c r="A11" s="95"/>
      <c r="B11" s="96"/>
      <c r="C11" s="97"/>
      <c r="D11" s="240"/>
      <c r="E11" s="241"/>
      <c r="F11" s="100"/>
      <c r="G11" s="36"/>
      <c r="H11" s="95"/>
      <c r="I11" s="96"/>
      <c r="J11" s="97"/>
      <c r="K11" s="240"/>
      <c r="L11" s="241"/>
      <c r="M11" s="256"/>
      <c r="N11" s="36"/>
    </row>
    <row r="12" spans="1:23" ht="26.25" x14ac:dyDescent="0.25">
      <c r="A12" s="53">
        <v>9</v>
      </c>
      <c r="B12" s="50" t="s">
        <v>142</v>
      </c>
      <c r="C12" s="42" t="s">
        <v>29</v>
      </c>
      <c r="D12" s="260" t="s">
        <v>145</v>
      </c>
      <c r="E12" s="261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289" t="s">
        <v>147</v>
      </c>
      <c r="L12" s="290"/>
      <c r="M12" s="257">
        <f>3419291.82+388055.63</f>
        <v>3807347.4499999997</v>
      </c>
      <c r="N12" s="252">
        <v>5678876.6900000004</v>
      </c>
      <c r="Q12" s="25"/>
    </row>
    <row r="13" spans="1:23" x14ac:dyDescent="0.25">
      <c r="A13" s="52">
        <v>10</v>
      </c>
      <c r="B13" s="51" t="s">
        <v>28</v>
      </c>
      <c r="C13" s="40" t="s">
        <v>29</v>
      </c>
      <c r="D13" s="262" t="s">
        <v>148</v>
      </c>
      <c r="E13" s="263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292" t="s">
        <v>146</v>
      </c>
      <c r="L13" s="293"/>
      <c r="M13" s="258">
        <f>13237387.5+493072.33+437764.01</f>
        <v>14168223.84</v>
      </c>
      <c r="N13" s="36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264">
        <f>47.6596*100</f>
        <v>4765.96</v>
      </c>
      <c r="E14" s="265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264">
        <f>47.6596*100</f>
        <v>4765.96</v>
      </c>
      <c r="L14" s="265"/>
      <c r="M14" s="259">
        <v>1105733.3899999999</v>
      </c>
      <c r="N14" s="36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6">
        <f>SUM(N3:N13)</f>
        <v>169887495.12</v>
      </c>
      <c r="O16" s="244">
        <f>D16-K16</f>
        <v>286.33399999999961</v>
      </c>
      <c r="P16" s="248" t="s">
        <v>141</v>
      </c>
      <c r="Q16" s="247"/>
      <c r="R16" s="247"/>
      <c r="S16" s="247"/>
      <c r="T16" s="247"/>
      <c r="U16" s="247"/>
      <c r="V16" s="247"/>
      <c r="W16" s="247"/>
    </row>
    <row r="17" spans="1:14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</row>
    <row r="18" spans="1:14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</row>
    <row r="19" spans="1:14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</row>
    <row r="20" spans="1:14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</row>
    <row r="21" spans="1:14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</row>
    <row r="22" spans="1:14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5">
        <f>M22-F22</f>
        <v>-26522683.13199994</v>
      </c>
    </row>
    <row r="23" spans="1:14" x14ac:dyDescent="0.25">
      <c r="C23"/>
      <c r="G23" s="39"/>
      <c r="J23"/>
      <c r="N23" s="39"/>
    </row>
    <row r="24" spans="1:14" ht="35.25" customHeight="1" x14ac:dyDescent="0.25">
      <c r="B24" s="291" t="s">
        <v>53</v>
      </c>
      <c r="C24" s="291"/>
      <c r="D24" s="291"/>
      <c r="E24" s="79"/>
      <c r="F24" s="93">
        <f>(F3+F4+F5+F6+F7+F8+F9+F10)*G19*1.2/D16</f>
        <v>75700.428816399144</v>
      </c>
      <c r="G24" s="39"/>
      <c r="I24" s="291" t="s">
        <v>53</v>
      </c>
      <c r="J24" s="291"/>
      <c r="K24" s="291"/>
      <c r="L24" s="79"/>
      <c r="M24" s="93">
        <f>(M3+M4+M5+M6+M7+M8+M9+M10)*N19*1.2/K16</f>
        <v>74204.915168345775</v>
      </c>
      <c r="N24" s="39"/>
    </row>
    <row r="25" spans="1:14" ht="30.75" customHeight="1" x14ac:dyDescent="0.25">
      <c r="B25" s="291" t="s">
        <v>54</v>
      </c>
      <c r="C25" s="291"/>
      <c r="D25" s="291"/>
      <c r="E25" s="79"/>
      <c r="F25" s="93">
        <f>F16*G19*1.2/D16</f>
        <v>89541.292052319011</v>
      </c>
      <c r="G25" s="39"/>
      <c r="I25" s="291" t="s">
        <v>54</v>
      </c>
      <c r="J25" s="291"/>
      <c r="K25" s="291"/>
      <c r="L25" s="79"/>
      <c r="M25" s="93">
        <f>M16*N19*1.2/K16</f>
        <v>89479.081804145753</v>
      </c>
      <c r="N25" s="39"/>
    </row>
    <row r="26" spans="1:14" ht="37.5" customHeight="1" x14ac:dyDescent="0.25">
      <c r="B26" s="291" t="s">
        <v>55</v>
      </c>
      <c r="C26" s="291"/>
      <c r="D26" s="291"/>
      <c r="E26" s="79"/>
      <c r="F26" s="93">
        <f>F22/D16</f>
        <v>92227.530813888574</v>
      </c>
      <c r="G26" s="39"/>
      <c r="I26" s="291" t="s">
        <v>55</v>
      </c>
      <c r="J26" s="291"/>
      <c r="K26" s="291"/>
      <c r="L26" s="79"/>
      <c r="M26" s="93">
        <f>M22/K16</f>
        <v>92163.45425827014</v>
      </c>
      <c r="N26" s="39"/>
    </row>
  </sheetData>
  <mergeCells count="30"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K9:L9"/>
    <mergeCell ref="D10:E10"/>
    <mergeCell ref="K10:L10"/>
    <mergeCell ref="K8:L8"/>
    <mergeCell ref="D9:E9"/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2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2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2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2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2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2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2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2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3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S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F1" s="249" t="s">
        <v>143</v>
      </c>
      <c r="G1" s="105"/>
      <c r="H1" s="106"/>
      <c r="I1" s="106"/>
      <c r="J1" s="105"/>
      <c r="K1" s="106"/>
      <c r="L1" s="106"/>
      <c r="M1" s="104" t="s">
        <v>50</v>
      </c>
      <c r="N1" s="139"/>
      <c r="O1" s="106"/>
      <c r="P1" s="106"/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273" t="s">
        <v>21</v>
      </c>
      <c r="E2" s="274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273" t="s">
        <v>21</v>
      </c>
      <c r="L2" s="274"/>
      <c r="M2" s="57" t="s">
        <v>32</v>
      </c>
      <c r="O2" s="54" t="s">
        <v>58</v>
      </c>
      <c r="P2" s="55" t="s">
        <v>73</v>
      </c>
      <c r="Q2" s="56" t="s">
        <v>18</v>
      </c>
      <c r="R2" s="273" t="s">
        <v>21</v>
      </c>
      <c r="S2" s="274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275">
        <f>404.352+9.256</f>
        <v>413.60799999999995</v>
      </c>
      <c r="E3" s="276"/>
      <c r="F3" s="86">
        <f>40619316.42-G3</f>
        <v>10022991.91</v>
      </c>
      <c r="G3" s="36">
        <v>30596324.510000002</v>
      </c>
      <c r="H3" s="81">
        <v>1</v>
      </c>
      <c r="I3" s="277" t="s">
        <v>47</v>
      </c>
      <c r="J3" s="85" t="s">
        <v>19</v>
      </c>
      <c r="K3" s="275">
        <f>404.352+9.256</f>
        <v>413.60799999999995</v>
      </c>
      <c r="L3" s="276"/>
      <c r="M3" s="266">
        <v>164516389.53999999</v>
      </c>
      <c r="O3" s="81">
        <v>1</v>
      </c>
      <c r="P3" s="277" t="s">
        <v>47</v>
      </c>
      <c r="Q3" s="280" t="s">
        <v>19</v>
      </c>
      <c r="R3" s="283">
        <f>'!расчет (2 сценария)'!K16</f>
        <v>1791.6900000000003</v>
      </c>
      <c r="S3" s="284"/>
      <c r="T3" s="266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275">
        <f>676.624</f>
        <v>676.62400000000002</v>
      </c>
      <c r="E4" s="276"/>
      <c r="F4" s="89">
        <f>77526903.96-G4</f>
        <v>28449520.749999993</v>
      </c>
      <c r="G4" s="36">
        <v>49077383.210000001</v>
      </c>
      <c r="H4" s="82">
        <v>2</v>
      </c>
      <c r="I4" s="278"/>
      <c r="J4" s="88" t="s">
        <v>19</v>
      </c>
      <c r="K4" s="269">
        <f>676.624</f>
        <v>676.62400000000002</v>
      </c>
      <c r="L4" s="270"/>
      <c r="M4" s="267"/>
      <c r="O4" s="82">
        <v>2</v>
      </c>
      <c r="P4" s="278"/>
      <c r="Q4" s="281"/>
      <c r="R4" s="285"/>
      <c r="S4" s="286"/>
      <c r="T4" s="267"/>
    </row>
    <row r="5" spans="1:20" x14ac:dyDescent="0.25">
      <c r="A5" s="82">
        <v>3</v>
      </c>
      <c r="B5" s="87" t="s">
        <v>26</v>
      </c>
      <c r="C5" s="88" t="s">
        <v>19</v>
      </c>
      <c r="D5" s="269">
        <v>295.15199999999999</v>
      </c>
      <c r="E5" s="270"/>
      <c r="F5" s="89">
        <f>35252578.16-G5</f>
        <v>12410042.859999996</v>
      </c>
      <c r="G5" s="36">
        <v>22842535.300000001</v>
      </c>
      <c r="H5" s="82">
        <v>3</v>
      </c>
      <c r="I5" s="278"/>
      <c r="J5" s="88" t="s">
        <v>19</v>
      </c>
      <c r="K5" s="269">
        <v>295.15199999999999</v>
      </c>
      <c r="L5" s="270"/>
      <c r="M5" s="267"/>
      <c r="O5" s="82">
        <v>3</v>
      </c>
      <c r="P5" s="278"/>
      <c r="Q5" s="281"/>
      <c r="R5" s="285"/>
      <c r="S5" s="286"/>
      <c r="T5" s="267"/>
    </row>
    <row r="6" spans="1:20" ht="30" x14ac:dyDescent="0.25">
      <c r="A6" s="82">
        <v>4</v>
      </c>
      <c r="B6" s="87" t="s">
        <v>8</v>
      </c>
      <c r="C6" s="88" t="s">
        <v>19</v>
      </c>
      <c r="D6" s="269">
        <v>284.85599999999999</v>
      </c>
      <c r="E6" s="270"/>
      <c r="F6" s="89">
        <f>54348406.96-G6</f>
        <v>29847559.98</v>
      </c>
      <c r="G6" s="36">
        <v>24500846.98</v>
      </c>
      <c r="H6" s="82">
        <v>4</v>
      </c>
      <c r="I6" s="278"/>
      <c r="J6" s="88" t="s">
        <v>19</v>
      </c>
      <c r="K6" s="269">
        <v>284.85599999999999</v>
      </c>
      <c r="L6" s="270"/>
      <c r="M6" s="267"/>
      <c r="O6" s="82">
        <v>4</v>
      </c>
      <c r="P6" s="278"/>
      <c r="Q6" s="281"/>
      <c r="R6" s="285"/>
      <c r="S6" s="286"/>
      <c r="T6" s="267"/>
    </row>
    <row r="7" spans="1:20" x14ac:dyDescent="0.25">
      <c r="A7" s="82">
        <v>5</v>
      </c>
      <c r="B7" s="87" t="s">
        <v>1</v>
      </c>
      <c r="C7" s="88" t="s">
        <v>19</v>
      </c>
      <c r="D7" s="269">
        <v>103.27200000000001</v>
      </c>
      <c r="E7" s="270"/>
      <c r="F7" s="89">
        <f>14658524.85-G7</f>
        <v>6218924.8699999992</v>
      </c>
      <c r="G7" s="36">
        <v>8439599.9800000004</v>
      </c>
      <c r="H7" s="82">
        <v>5</v>
      </c>
      <c r="I7" s="278"/>
      <c r="J7" s="88" t="s">
        <v>19</v>
      </c>
      <c r="K7" s="269">
        <v>103.27200000000001</v>
      </c>
      <c r="L7" s="270"/>
      <c r="M7" s="267"/>
      <c r="O7" s="82">
        <v>5</v>
      </c>
      <c r="P7" s="278"/>
      <c r="Q7" s="281"/>
      <c r="R7" s="285"/>
      <c r="S7" s="286"/>
      <c r="T7" s="267"/>
    </row>
    <row r="8" spans="1:20" ht="30" x14ac:dyDescent="0.25">
      <c r="A8" s="82">
        <v>6</v>
      </c>
      <c r="B8" s="87" t="s">
        <v>2</v>
      </c>
      <c r="C8" s="88" t="s">
        <v>19</v>
      </c>
      <c r="D8" s="269">
        <v>66.872</v>
      </c>
      <c r="E8" s="270"/>
      <c r="F8" s="89">
        <f>9352168.79-G8</f>
        <v>4525782.0099999988</v>
      </c>
      <c r="G8" s="36">
        <v>4826386.78</v>
      </c>
      <c r="H8" s="82">
        <v>6</v>
      </c>
      <c r="I8" s="278"/>
      <c r="J8" s="88" t="s">
        <v>19</v>
      </c>
      <c r="K8" s="269">
        <v>66.872</v>
      </c>
      <c r="L8" s="270"/>
      <c r="M8" s="267"/>
      <c r="O8" s="82">
        <v>6</v>
      </c>
      <c r="P8" s="278"/>
      <c r="Q8" s="281"/>
      <c r="R8" s="285"/>
      <c r="S8" s="286"/>
      <c r="T8" s="267"/>
    </row>
    <row r="9" spans="1:20" x14ac:dyDescent="0.25">
      <c r="A9" s="82">
        <v>7</v>
      </c>
      <c r="B9" s="87" t="s">
        <v>3</v>
      </c>
      <c r="C9" s="88" t="s">
        <v>19</v>
      </c>
      <c r="D9" s="269">
        <v>233.27199999999999</v>
      </c>
      <c r="E9" s="270"/>
      <c r="F9" s="89">
        <f>34523672.98-G9</f>
        <v>17401032.069999997</v>
      </c>
      <c r="G9" s="36">
        <v>17122640.91</v>
      </c>
      <c r="H9" s="82">
        <v>7</v>
      </c>
      <c r="I9" s="278"/>
      <c r="J9" s="88" t="s">
        <v>19</v>
      </c>
      <c r="K9" s="269">
        <v>233.27199999999999</v>
      </c>
      <c r="L9" s="270"/>
      <c r="M9" s="267"/>
      <c r="O9" s="82">
        <v>7</v>
      </c>
      <c r="P9" s="278"/>
      <c r="Q9" s="281"/>
      <c r="R9" s="285"/>
      <c r="S9" s="286"/>
      <c r="T9" s="267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271">
        <v>4.3680000000000003</v>
      </c>
      <c r="E10" s="272"/>
      <c r="F10" s="92">
        <f>1043243.99-G10</f>
        <v>714028.58000000007</v>
      </c>
      <c r="G10" s="36">
        <v>329215.40999999997</v>
      </c>
      <c r="H10" s="83">
        <v>8</v>
      </c>
      <c r="I10" s="279"/>
      <c r="J10" s="91" t="s">
        <v>19</v>
      </c>
      <c r="K10" s="271">
        <v>4.3680000000000003</v>
      </c>
      <c r="L10" s="272"/>
      <c r="M10" s="268"/>
      <c r="O10" s="83">
        <v>8</v>
      </c>
      <c r="P10" s="279"/>
      <c r="Q10" s="282"/>
      <c r="R10" s="287"/>
      <c r="S10" s="288"/>
      <c r="T10" s="268"/>
    </row>
    <row r="11" spans="1:20" ht="2.25" customHeight="1" thickTop="1" x14ac:dyDescent="0.25">
      <c r="A11" s="95"/>
      <c r="B11" s="96"/>
      <c r="C11" s="97"/>
      <c r="D11" s="250"/>
      <c r="E11" s="251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142</v>
      </c>
      <c r="C12" s="42" t="s">
        <v>29</v>
      </c>
      <c r="D12" s="260" t="s">
        <v>145</v>
      </c>
      <c r="E12" s="261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260" t="s">
        <v>31</v>
      </c>
      <c r="L12" s="261"/>
      <c r="M12" s="43">
        <v>3704032.4099999992</v>
      </c>
      <c r="O12" s="53">
        <v>9</v>
      </c>
      <c r="P12" s="50" t="s">
        <v>27</v>
      </c>
      <c r="Q12" s="42" t="s">
        <v>29</v>
      </c>
      <c r="R12" s="260" t="s">
        <v>31</v>
      </c>
      <c r="S12" s="261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262" t="s">
        <v>148</v>
      </c>
      <c r="E13" s="263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262" t="s">
        <v>30</v>
      </c>
      <c r="L13" s="263"/>
      <c r="M13" s="29">
        <v>15227354.290000003</v>
      </c>
      <c r="O13" s="52">
        <v>10</v>
      </c>
      <c r="P13" s="51" t="s">
        <v>28</v>
      </c>
      <c r="Q13" s="40" t="s">
        <v>29</v>
      </c>
      <c r="R13" s="262" t="s">
        <v>30</v>
      </c>
      <c r="S13" s="263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264">
        <f>47.6596*100</f>
        <v>4765.96</v>
      </c>
      <c r="E14" s="265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264">
        <f>47.6596*100</f>
        <v>4765.96</v>
      </c>
      <c r="L14" s="265"/>
      <c r="M14" s="73">
        <v>1105733.3899999999</v>
      </c>
      <c r="O14" s="70">
        <v>11</v>
      </c>
      <c r="P14" s="71" t="s">
        <v>17</v>
      </c>
      <c r="Q14" s="72" t="s">
        <v>20</v>
      </c>
      <c r="R14" s="264">
        <f>47.6596*100</f>
        <v>4765.96</v>
      </c>
      <c r="S14" s="265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149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291" t="s">
        <v>53</v>
      </c>
      <c r="C24" s="291"/>
      <c r="D24" s="291"/>
      <c r="E24" s="79"/>
      <c r="F24" s="93">
        <f>(F3+F4+F5+F6+F7+F8+F9+F10)*G19*1.2/D16</f>
        <v>75700.428816399144</v>
      </c>
      <c r="G24" s="39"/>
      <c r="I24" s="291" t="s">
        <v>53</v>
      </c>
      <c r="J24" s="291"/>
      <c r="K24" s="291"/>
      <c r="L24" s="79"/>
      <c r="M24" s="93">
        <f>(M3+M4+M5+M6+M7+M8+M9+M10)*N19*1.2/K16</f>
        <v>79819.723360137839</v>
      </c>
      <c r="P24" s="291" t="s">
        <v>53</v>
      </c>
      <c r="Q24" s="291"/>
      <c r="R24" s="291"/>
      <c r="S24" s="79"/>
      <c r="T24" s="93">
        <f>(T3+T4+T5+T6+T7+T8+T9+T10)*U19*1.2/R16</f>
        <v>91383.505768779811</v>
      </c>
    </row>
    <row r="25" spans="1:21" ht="30.75" customHeight="1" x14ac:dyDescent="0.25">
      <c r="B25" s="291" t="s">
        <v>54</v>
      </c>
      <c r="C25" s="291"/>
      <c r="D25" s="291"/>
      <c r="E25" s="79"/>
      <c r="F25" s="93">
        <f>F16*G19*1.2/D16</f>
        <v>89541.292052319011</v>
      </c>
      <c r="G25" s="39"/>
      <c r="I25" s="291" t="s">
        <v>54</v>
      </c>
      <c r="J25" s="291"/>
      <c r="K25" s="291"/>
      <c r="L25" s="79"/>
      <c r="M25" s="93">
        <f>M16*N19*1.2/K16</f>
        <v>89541.2920560567</v>
      </c>
      <c r="P25" s="291" t="s">
        <v>54</v>
      </c>
      <c r="Q25" s="291"/>
      <c r="R25" s="291"/>
      <c r="S25" s="79"/>
      <c r="T25" s="93">
        <f>T16*U19*1.2/R16</f>
        <v>103851.08689214451</v>
      </c>
    </row>
    <row r="26" spans="1:21" ht="37.5" customHeight="1" x14ac:dyDescent="0.25">
      <c r="B26" s="291" t="s">
        <v>55</v>
      </c>
      <c r="C26" s="291"/>
      <c r="D26" s="291"/>
      <c r="E26" s="79"/>
      <c r="F26" s="93">
        <f>F22/D16</f>
        <v>92227.530813888574</v>
      </c>
      <c r="G26" s="39"/>
      <c r="I26" s="291" t="s">
        <v>55</v>
      </c>
      <c r="J26" s="291"/>
      <c r="K26" s="291"/>
      <c r="L26" s="79"/>
      <c r="M26" s="93">
        <f>M22/K16</f>
        <v>92227.530812926154</v>
      </c>
      <c r="P26" s="291" t="s">
        <v>55</v>
      </c>
      <c r="Q26" s="291"/>
      <c r="R26" s="291"/>
      <c r="S26" s="79"/>
      <c r="T26" s="93">
        <f>T22/R16</f>
        <v>106966.61949890884</v>
      </c>
    </row>
  </sheetData>
  <mergeCells count="43"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T3:T10"/>
    <mergeCell ref="K12:L12"/>
    <mergeCell ref="K13:L13"/>
    <mergeCell ref="K14:L14"/>
    <mergeCell ref="M3:M10"/>
    <mergeCell ref="B24:D24"/>
    <mergeCell ref="B25:D25"/>
    <mergeCell ref="B26:D26"/>
    <mergeCell ref="I24:K24"/>
    <mergeCell ref="I25:K25"/>
    <mergeCell ref="I26:K26"/>
    <mergeCell ref="P25:R25"/>
    <mergeCell ref="P26:R26"/>
    <mergeCell ref="R14:S14"/>
    <mergeCell ref="Q3:Q10"/>
    <mergeCell ref="R3:S10"/>
    <mergeCell ref="P24:R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4"/>
  <sheetViews>
    <sheetView tabSelected="1" topLeftCell="O23" workbookViewId="0">
      <selection activeCell="Y36" sqref="Y36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">
        <v>74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273" t="s">
        <v>21</v>
      </c>
      <c r="E2" s="274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273" t="s">
        <v>21</v>
      </c>
      <c r="M2" s="274"/>
      <c r="N2" s="57" t="s">
        <v>32</v>
      </c>
      <c r="Q2" s="54" t="s">
        <v>58</v>
      </c>
      <c r="R2" s="55" t="s">
        <v>73</v>
      </c>
      <c r="S2" s="56" t="s">
        <v>18</v>
      </c>
      <c r="T2" s="273" t="s">
        <v>21</v>
      </c>
      <c r="U2" s="274"/>
      <c r="V2" s="57" t="s">
        <v>32</v>
      </c>
      <c r="X2" s="54" t="s">
        <v>58</v>
      </c>
      <c r="Y2" s="55" t="s">
        <v>73</v>
      </c>
      <c r="Z2" s="56" t="s">
        <v>18</v>
      </c>
      <c r="AA2" s="273" t="s">
        <v>21</v>
      </c>
      <c r="AB2" s="274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275">
        <f>404.352+9.256</f>
        <v>413.60799999999995</v>
      </c>
      <c r="E3" s="276"/>
      <c r="F3" s="86">
        <f>40619316.42-G3</f>
        <v>10022991.91</v>
      </c>
      <c r="G3" s="36">
        <v>30596324.510000002</v>
      </c>
      <c r="H3" s="36"/>
      <c r="I3" s="81">
        <v>1</v>
      </c>
      <c r="J3" s="277" t="s">
        <v>47</v>
      </c>
      <c r="K3" s="85" t="s">
        <v>19</v>
      </c>
      <c r="L3" s="275">
        <f>404.352+9.256</f>
        <v>413.60799999999995</v>
      </c>
      <c r="M3" s="276"/>
      <c r="N3" s="266">
        <v>164516389.53999999</v>
      </c>
      <c r="Q3" s="81">
        <v>1</v>
      </c>
      <c r="R3" s="277" t="s">
        <v>47</v>
      </c>
      <c r="S3" s="280" t="s">
        <v>19</v>
      </c>
      <c r="T3" s="283">
        <v>1791.6900000000003</v>
      </c>
      <c r="U3" s="284"/>
      <c r="V3" s="266">
        <v>139860049.75999999</v>
      </c>
      <c r="X3" s="81">
        <v>1</v>
      </c>
      <c r="Y3" s="277" t="s">
        <v>47</v>
      </c>
      <c r="Z3" s="280" t="s">
        <v>19</v>
      </c>
      <c r="AA3" s="283">
        <f>T3</f>
        <v>1791.6900000000003</v>
      </c>
      <c r="AB3" s="284"/>
      <c r="AC3" s="266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269">
        <f>676.624</f>
        <v>676.62400000000002</v>
      </c>
      <c r="E4" s="270"/>
      <c r="F4" s="89">
        <f>77526903.96-G4</f>
        <v>28449520.749999993</v>
      </c>
      <c r="G4" s="36">
        <v>49077383.210000001</v>
      </c>
      <c r="H4" s="36"/>
      <c r="I4" s="82">
        <v>2</v>
      </c>
      <c r="J4" s="278"/>
      <c r="K4" s="88" t="s">
        <v>19</v>
      </c>
      <c r="L4" s="269">
        <f>676.624</f>
        <v>676.62400000000002</v>
      </c>
      <c r="M4" s="270"/>
      <c r="N4" s="267"/>
      <c r="Q4" s="82">
        <v>2</v>
      </c>
      <c r="R4" s="278"/>
      <c r="S4" s="281"/>
      <c r="T4" s="285"/>
      <c r="U4" s="286"/>
      <c r="V4" s="267"/>
      <c r="X4" s="82">
        <v>2</v>
      </c>
      <c r="Y4" s="278"/>
      <c r="Z4" s="281"/>
      <c r="AA4" s="285"/>
      <c r="AB4" s="286"/>
      <c r="AC4" s="267"/>
    </row>
    <row r="5" spans="1:31" x14ac:dyDescent="0.25">
      <c r="A5" s="82">
        <v>3</v>
      </c>
      <c r="B5" s="87" t="s">
        <v>26</v>
      </c>
      <c r="C5" s="88" t="s">
        <v>19</v>
      </c>
      <c r="D5" s="269">
        <v>295.15199999999999</v>
      </c>
      <c r="E5" s="270"/>
      <c r="F5" s="89">
        <f>35252578.16-G5</f>
        <v>12410042.859999996</v>
      </c>
      <c r="G5" s="36">
        <v>22842535.300000001</v>
      </c>
      <c r="H5" s="36"/>
      <c r="I5" s="82">
        <v>3</v>
      </c>
      <c r="J5" s="278"/>
      <c r="K5" s="88" t="s">
        <v>19</v>
      </c>
      <c r="L5" s="269">
        <v>295.15199999999999</v>
      </c>
      <c r="M5" s="270"/>
      <c r="N5" s="267"/>
      <c r="Q5" s="82">
        <v>3</v>
      </c>
      <c r="R5" s="278"/>
      <c r="S5" s="281"/>
      <c r="T5" s="285"/>
      <c r="U5" s="286"/>
      <c r="V5" s="267"/>
      <c r="X5" s="82">
        <v>3</v>
      </c>
      <c r="Y5" s="278"/>
      <c r="Z5" s="281"/>
      <c r="AA5" s="285"/>
      <c r="AB5" s="286"/>
      <c r="AC5" s="267"/>
    </row>
    <row r="6" spans="1:31" ht="30" x14ac:dyDescent="0.25">
      <c r="A6" s="82">
        <v>4</v>
      </c>
      <c r="B6" s="87" t="s">
        <v>8</v>
      </c>
      <c r="C6" s="88" t="s">
        <v>19</v>
      </c>
      <c r="D6" s="269">
        <v>284.85599999999999</v>
      </c>
      <c r="E6" s="270"/>
      <c r="F6" s="89">
        <f>54348406.96-G6</f>
        <v>29847559.98</v>
      </c>
      <c r="G6" s="36">
        <v>24500846.98</v>
      </c>
      <c r="H6" s="36"/>
      <c r="I6" s="82">
        <v>4</v>
      </c>
      <c r="J6" s="278"/>
      <c r="K6" s="88" t="s">
        <v>19</v>
      </c>
      <c r="L6" s="269">
        <v>284.85599999999999</v>
      </c>
      <c r="M6" s="270"/>
      <c r="N6" s="267"/>
      <c r="Q6" s="82">
        <v>4</v>
      </c>
      <c r="R6" s="278"/>
      <c r="S6" s="281"/>
      <c r="T6" s="285"/>
      <c r="U6" s="286"/>
      <c r="V6" s="267"/>
      <c r="X6" s="82">
        <v>4</v>
      </c>
      <c r="Y6" s="278"/>
      <c r="Z6" s="281"/>
      <c r="AA6" s="285"/>
      <c r="AB6" s="286"/>
      <c r="AC6" s="267"/>
    </row>
    <row r="7" spans="1:31" x14ac:dyDescent="0.25">
      <c r="A7" s="82">
        <v>5</v>
      </c>
      <c r="B7" s="87" t="s">
        <v>1</v>
      </c>
      <c r="C7" s="88" t="s">
        <v>19</v>
      </c>
      <c r="D7" s="269">
        <v>103.27200000000001</v>
      </c>
      <c r="E7" s="270"/>
      <c r="F7" s="89">
        <f>14658524.85-G7</f>
        <v>6218924.8699999992</v>
      </c>
      <c r="G7" s="36">
        <v>8439599.9800000004</v>
      </c>
      <c r="H7" s="36"/>
      <c r="I7" s="82">
        <v>5</v>
      </c>
      <c r="J7" s="278"/>
      <c r="K7" s="88" t="s">
        <v>19</v>
      </c>
      <c r="L7" s="269">
        <v>103.27200000000001</v>
      </c>
      <c r="M7" s="270"/>
      <c r="N7" s="267"/>
      <c r="Q7" s="82">
        <v>5</v>
      </c>
      <c r="R7" s="278"/>
      <c r="S7" s="281"/>
      <c r="T7" s="285"/>
      <c r="U7" s="286"/>
      <c r="V7" s="267"/>
      <c r="X7" s="82">
        <v>5</v>
      </c>
      <c r="Y7" s="278"/>
      <c r="Z7" s="281"/>
      <c r="AA7" s="285"/>
      <c r="AB7" s="286"/>
      <c r="AC7" s="267"/>
    </row>
    <row r="8" spans="1:31" ht="30" x14ac:dyDescent="0.25">
      <c r="A8" s="82">
        <v>6</v>
      </c>
      <c r="B8" s="87" t="s">
        <v>2</v>
      </c>
      <c r="C8" s="88" t="s">
        <v>19</v>
      </c>
      <c r="D8" s="269">
        <v>66.872</v>
      </c>
      <c r="E8" s="270"/>
      <c r="F8" s="89">
        <f>9352168.79-G8</f>
        <v>4525782.0099999988</v>
      </c>
      <c r="G8" s="36">
        <v>4826386.78</v>
      </c>
      <c r="H8" s="36"/>
      <c r="I8" s="82">
        <v>6</v>
      </c>
      <c r="J8" s="278"/>
      <c r="K8" s="88" t="s">
        <v>19</v>
      </c>
      <c r="L8" s="269">
        <v>66.872</v>
      </c>
      <c r="M8" s="270"/>
      <c r="N8" s="267"/>
      <c r="Q8" s="82">
        <v>6</v>
      </c>
      <c r="R8" s="278"/>
      <c r="S8" s="281"/>
      <c r="T8" s="285"/>
      <c r="U8" s="286"/>
      <c r="V8" s="267"/>
      <c r="X8" s="82">
        <v>6</v>
      </c>
      <c r="Y8" s="278"/>
      <c r="Z8" s="281"/>
      <c r="AA8" s="285"/>
      <c r="AB8" s="286"/>
      <c r="AC8" s="267"/>
    </row>
    <row r="9" spans="1:31" x14ac:dyDescent="0.25">
      <c r="A9" s="82">
        <v>7</v>
      </c>
      <c r="B9" s="87" t="s">
        <v>3</v>
      </c>
      <c r="C9" s="88" t="s">
        <v>19</v>
      </c>
      <c r="D9" s="269">
        <v>233.27199999999999</v>
      </c>
      <c r="E9" s="270"/>
      <c r="F9" s="89">
        <f>34523672.98-G9</f>
        <v>17401032.069999997</v>
      </c>
      <c r="G9" s="36">
        <v>17122640.91</v>
      </c>
      <c r="H9" s="36"/>
      <c r="I9" s="82">
        <v>7</v>
      </c>
      <c r="J9" s="278"/>
      <c r="K9" s="88" t="s">
        <v>19</v>
      </c>
      <c r="L9" s="269">
        <v>233.27199999999999</v>
      </c>
      <c r="M9" s="270"/>
      <c r="N9" s="267"/>
      <c r="Q9" s="82">
        <v>7</v>
      </c>
      <c r="R9" s="278"/>
      <c r="S9" s="281"/>
      <c r="T9" s="285"/>
      <c r="U9" s="286"/>
      <c r="V9" s="267"/>
      <c r="X9" s="82">
        <v>7</v>
      </c>
      <c r="Y9" s="278"/>
      <c r="Z9" s="281"/>
      <c r="AA9" s="285"/>
      <c r="AB9" s="286"/>
      <c r="AC9" s="267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271">
        <v>4.3680000000000003</v>
      </c>
      <c r="E10" s="272"/>
      <c r="F10" s="92">
        <f>1043243.99-G10</f>
        <v>714028.58000000007</v>
      </c>
      <c r="G10" s="36">
        <v>329215.40999999997</v>
      </c>
      <c r="H10" s="36"/>
      <c r="I10" s="83">
        <v>8</v>
      </c>
      <c r="J10" s="279"/>
      <c r="K10" s="91" t="s">
        <v>19</v>
      </c>
      <c r="L10" s="271">
        <v>4.3680000000000003</v>
      </c>
      <c r="M10" s="272"/>
      <c r="N10" s="268"/>
      <c r="Q10" s="83">
        <v>8</v>
      </c>
      <c r="R10" s="279"/>
      <c r="S10" s="282"/>
      <c r="T10" s="287"/>
      <c r="U10" s="288"/>
      <c r="V10" s="268"/>
      <c r="X10" s="83">
        <v>8</v>
      </c>
      <c r="Y10" s="279"/>
      <c r="Z10" s="282"/>
      <c r="AA10" s="287"/>
      <c r="AB10" s="288"/>
      <c r="AC10" s="268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50"/>
      <c r="U11" s="251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260" t="s">
        <v>31</v>
      </c>
      <c r="E12" s="26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260" t="s">
        <v>31</v>
      </c>
      <c r="M12" s="26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260" t="s">
        <v>31</v>
      </c>
      <c r="U12" s="261"/>
      <c r="V12" s="43">
        <v>3807347.4499999997</v>
      </c>
      <c r="X12" s="53">
        <v>9</v>
      </c>
      <c r="Y12" s="50" t="s">
        <v>27</v>
      </c>
      <c r="Z12" s="42" t="s">
        <v>29</v>
      </c>
      <c r="AA12" s="260" t="s">
        <v>31</v>
      </c>
      <c r="AB12" s="261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262" t="s">
        <v>30</v>
      </c>
      <c r="E13" s="26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262" t="s">
        <v>30</v>
      </c>
      <c r="M13" s="26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262" t="s">
        <v>30</v>
      </c>
      <c r="U13" s="263"/>
      <c r="V13" s="29">
        <v>14168223.84</v>
      </c>
      <c r="X13" s="52">
        <v>10</v>
      </c>
      <c r="Y13" s="51" t="s">
        <v>28</v>
      </c>
      <c r="Z13" s="40" t="s">
        <v>29</v>
      </c>
      <c r="AA13" s="262" t="s">
        <v>30</v>
      </c>
      <c r="AB13" s="263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264">
        <f>47.6596*100</f>
        <v>4765.96</v>
      </c>
      <c r="E14" s="26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264">
        <f>47.6596*100</f>
        <v>4765.96</v>
      </c>
      <c r="M14" s="265"/>
      <c r="N14" s="73">
        <v>1105733.3899999999</v>
      </c>
      <c r="Q14" s="70">
        <v>11</v>
      </c>
      <c r="R14" s="71" t="s">
        <v>17</v>
      </c>
      <c r="S14" s="72" t="s">
        <v>20</v>
      </c>
      <c r="T14" s="264">
        <f>47.6596*100</f>
        <v>4765.96</v>
      </c>
      <c r="U14" s="265"/>
      <c r="V14" s="73">
        <v>1105733.3899999999</v>
      </c>
      <c r="X14" s="70">
        <v>11</v>
      </c>
      <c r="Y14" s="71" t="s">
        <v>17</v>
      </c>
      <c r="Z14" s="72" t="s">
        <v>20</v>
      </c>
      <c r="AA14" s="264">
        <f>47.6596*100</f>
        <v>4765.96</v>
      </c>
      <c r="AB14" s="265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2" t="s">
        <v>140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169413352.53333333</v>
      </c>
      <c r="W21" s="142">
        <v>0.97689031370008761</v>
      </c>
      <c r="X21" s="67">
        <v>15</v>
      </c>
      <c r="Y21" s="58" t="s">
        <v>149</v>
      </c>
      <c r="Z21" s="41"/>
      <c r="AA21" s="45"/>
      <c r="AB21" s="46"/>
      <c r="AC21" s="47">
        <f>AC20*AD21</f>
        <v>163410955.93333337</v>
      </c>
      <c r="AD21" s="142">
        <v>0.97764524917760387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169413352.53333333</v>
      </c>
      <c r="X22" s="68">
        <v>16</v>
      </c>
      <c r="Y22" s="64" t="s">
        <v>22</v>
      </c>
      <c r="Z22" s="48"/>
      <c r="AA22" s="65"/>
      <c r="AB22" s="44"/>
      <c r="AC22" s="66">
        <f>AC21</f>
        <v>163410955.93333337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33882670.506666668</v>
      </c>
      <c r="X23" s="67">
        <v>17</v>
      </c>
      <c r="Y23" s="58" t="s">
        <v>33</v>
      </c>
      <c r="Z23" s="41"/>
      <c r="AA23" s="45"/>
      <c r="AB23" s="46"/>
      <c r="AC23" s="47">
        <f>AC22*0.2</f>
        <v>32682191.186666675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203296023.03999999</v>
      </c>
      <c r="X24" s="69">
        <v>18</v>
      </c>
      <c r="Y24" s="59" t="s">
        <v>34</v>
      </c>
      <c r="Z24" s="60"/>
      <c r="AA24" s="61"/>
      <c r="AB24" s="62"/>
      <c r="AC24" s="107">
        <f>AC22+AC23</f>
        <v>196093147.12000003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291" t="s">
        <v>53</v>
      </c>
      <c r="C26" s="291"/>
      <c r="D26" s="291"/>
      <c r="E26" s="79"/>
      <c r="F26" s="93">
        <v>75700.428816399144</v>
      </c>
      <c r="G26" s="39"/>
      <c r="H26" s="39"/>
      <c r="J26" s="291" t="s">
        <v>53</v>
      </c>
      <c r="K26" s="291"/>
      <c r="L26" s="291"/>
      <c r="M26" s="79"/>
      <c r="N26" s="93">
        <f>164516389.54/L16</f>
        <v>79169.629195812944</v>
      </c>
      <c r="R26" s="291" t="s">
        <v>53</v>
      </c>
      <c r="S26" s="291"/>
      <c r="T26" s="291"/>
      <c r="U26" s="79"/>
      <c r="V26" s="93">
        <f>V3*W21*1.2/T16</f>
        <v>91507.746016882098</v>
      </c>
      <c r="Y26" s="291" t="s">
        <v>53</v>
      </c>
      <c r="Z26" s="291"/>
      <c r="AA26" s="291"/>
      <c r="AB26" s="79"/>
      <c r="AC26" s="93">
        <f>AC3*AD21*1.2/AA16</f>
        <v>91578.462701208744</v>
      </c>
    </row>
    <row r="27" spans="1:31" ht="30.75" customHeight="1" x14ac:dyDescent="0.25">
      <c r="B27" s="291" t="s">
        <v>54</v>
      </c>
      <c r="C27" s="291"/>
      <c r="D27" s="291"/>
      <c r="E27" s="79"/>
      <c r="F27" s="93">
        <v>89541.292052319011</v>
      </c>
      <c r="G27" s="39"/>
      <c r="H27" s="39"/>
      <c r="J27" s="291" t="s">
        <v>54</v>
      </c>
      <c r="K27" s="291"/>
      <c r="L27" s="291"/>
      <c r="M27" s="79"/>
      <c r="N27" s="93">
        <f>185090075.82/L16</f>
        <v>89070.230093588907</v>
      </c>
      <c r="R27" s="291" t="s">
        <v>54</v>
      </c>
      <c r="S27" s="291"/>
      <c r="T27" s="291"/>
      <c r="U27" s="79"/>
      <c r="V27" s="93">
        <f>V18*W21*1.2/T16</f>
        <v>110161.23305397997</v>
      </c>
      <c r="Y27" s="291" t="s">
        <v>54</v>
      </c>
      <c r="Z27" s="291"/>
      <c r="AA27" s="291"/>
      <c r="AB27" s="79"/>
      <c r="AC27" s="93">
        <f>AC18*AD21*1.2/AA16</f>
        <v>106258.16755856744</v>
      </c>
    </row>
    <row r="28" spans="1:31" ht="37.5" customHeight="1" x14ac:dyDescent="0.25">
      <c r="B28" s="291" t="s">
        <v>55</v>
      </c>
      <c r="C28" s="291"/>
      <c r="D28" s="291"/>
      <c r="E28" s="79"/>
      <c r="F28" s="93">
        <f>F24/D16</f>
        <v>92227.530813888574</v>
      </c>
      <c r="G28" s="39"/>
      <c r="H28" s="39"/>
      <c r="J28" s="291" t="s">
        <v>55</v>
      </c>
      <c r="K28" s="291"/>
      <c r="L28" s="291"/>
      <c r="M28" s="79"/>
      <c r="N28" s="93">
        <f>N24/L16</f>
        <v>92227.530814851038</v>
      </c>
      <c r="R28" s="291" t="s">
        <v>55</v>
      </c>
      <c r="S28" s="291"/>
      <c r="T28" s="291"/>
      <c r="U28" s="79"/>
      <c r="V28" s="93">
        <f>V24/T16</f>
        <v>113466.07004559938</v>
      </c>
      <c r="Y28" s="291" t="s">
        <v>55</v>
      </c>
      <c r="Z28" s="291"/>
      <c r="AA28" s="291"/>
      <c r="AB28" s="79"/>
      <c r="AC28" s="93">
        <f>AC24/AA16</f>
        <v>109445.91258532448</v>
      </c>
    </row>
    <row r="29" spans="1:31" ht="50.25" customHeight="1" thickBot="1" x14ac:dyDescent="0.3">
      <c r="V29" s="104" t="s">
        <v>150</v>
      </c>
      <c r="AC29" s="104" t="s">
        <v>150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4"/>
      <c r="R30" s="235" t="s">
        <v>138</v>
      </c>
      <c r="S30" s="236"/>
      <c r="T30" s="237"/>
      <c r="U30" s="238"/>
      <c r="V30" s="239">
        <v>215782339.38999999</v>
      </c>
      <c r="X30" s="234"/>
      <c r="Y30" s="235" t="s">
        <v>138</v>
      </c>
      <c r="Z30" s="236"/>
      <c r="AA30" s="237"/>
      <c r="AB30" s="238"/>
      <c r="AC30" s="239">
        <v>208146965.97999999</v>
      </c>
    </row>
    <row r="32" spans="1:31" ht="37.5" customHeight="1" x14ac:dyDescent="0.25">
      <c r="B32" s="291" t="s">
        <v>55</v>
      </c>
      <c r="C32" s="291"/>
      <c r="D32" s="291"/>
      <c r="E32" s="79"/>
      <c r="F32" s="93" t="e">
        <f>F28/D20</f>
        <v>#DIV/0!</v>
      </c>
      <c r="G32" s="39"/>
      <c r="H32" s="39"/>
      <c r="J32" s="291" t="s">
        <v>55</v>
      </c>
      <c r="K32" s="291"/>
      <c r="L32" s="291"/>
      <c r="M32" s="79"/>
      <c r="N32" s="93" t="e">
        <f>N28/L20</f>
        <v>#DIV/0!</v>
      </c>
      <c r="R32" s="291" t="s">
        <v>55</v>
      </c>
      <c r="S32" s="291"/>
      <c r="T32" s="291"/>
      <c r="U32" s="79"/>
      <c r="V32" s="93">
        <f>V30/T16</f>
        <v>120435.08608632071</v>
      </c>
      <c r="Y32" s="291" t="s">
        <v>55</v>
      </c>
      <c r="Z32" s="291"/>
      <c r="AA32" s="291"/>
      <c r="AB32" s="79"/>
      <c r="AC32" s="93">
        <f>AC30/AA16</f>
        <v>116173.537821833</v>
      </c>
    </row>
    <row r="33" spans="18:22" ht="15.75" thickBot="1" x14ac:dyDescent="0.3"/>
    <row r="34" spans="18:22" ht="15.75" thickBot="1" x14ac:dyDescent="0.3">
      <c r="R34" s="309" t="s">
        <v>53</v>
      </c>
      <c r="S34" s="310"/>
      <c r="T34" s="310"/>
      <c r="U34" s="311"/>
      <c r="V34" s="312">
        <v>96905</v>
      </c>
    </row>
  </sheetData>
  <mergeCells count="59">
    <mergeCell ref="R34:T34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D13:E13"/>
    <mergeCell ref="L13:M13"/>
    <mergeCell ref="T13:U13"/>
    <mergeCell ref="D14:E14"/>
    <mergeCell ref="L14:M14"/>
    <mergeCell ref="T14:U14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AC3:AC10"/>
    <mergeCell ref="AA12:AB12"/>
    <mergeCell ref="AA13:AB13"/>
    <mergeCell ref="AA14:AB14"/>
    <mergeCell ref="Y26:AA26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139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273" t="s">
        <v>21</v>
      </c>
      <c r="E2" s="274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273" t="s">
        <v>21</v>
      </c>
      <c r="M2" s="274"/>
      <c r="N2" s="57" t="s">
        <v>32</v>
      </c>
      <c r="Q2" s="54" t="s">
        <v>58</v>
      </c>
      <c r="R2" s="55" t="s">
        <v>73</v>
      </c>
      <c r="S2" s="56" t="s">
        <v>18</v>
      </c>
      <c r="T2" s="273" t="s">
        <v>21</v>
      </c>
      <c r="U2" s="274"/>
      <c r="V2" s="57" t="s">
        <v>32</v>
      </c>
      <c r="X2" s="54" t="s">
        <v>58</v>
      </c>
      <c r="Y2" s="55" t="s">
        <v>73</v>
      </c>
      <c r="Z2" s="56" t="s">
        <v>18</v>
      </c>
      <c r="AA2" s="273" t="s">
        <v>21</v>
      </c>
      <c r="AB2" s="274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275">
        <f>404.352+9.256</f>
        <v>413.60799999999995</v>
      </c>
      <c r="E3" s="276"/>
      <c r="F3" s="86">
        <f>40619316.42-G3</f>
        <v>10022991.91</v>
      </c>
      <c r="G3" s="36">
        <v>30596324.510000002</v>
      </c>
      <c r="H3" s="36"/>
      <c r="I3" s="81">
        <v>1</v>
      </c>
      <c r="J3" s="277" t="s">
        <v>47</v>
      </c>
      <c r="K3" s="85" t="s">
        <v>19</v>
      </c>
      <c r="L3" s="275">
        <f>404.352+9.256</f>
        <v>413.60799999999995</v>
      </c>
      <c r="M3" s="276"/>
      <c r="N3" s="266">
        <v>164516389.53999999</v>
      </c>
      <c r="Q3" s="81">
        <v>1</v>
      </c>
      <c r="R3" s="277" t="s">
        <v>47</v>
      </c>
      <c r="S3" s="280" t="s">
        <v>19</v>
      </c>
      <c r="T3" s="283">
        <v>1893.4</v>
      </c>
      <c r="U3" s="284"/>
      <c r="V3" s="266">
        <v>147799573.72999999</v>
      </c>
      <c r="X3" s="81">
        <v>1</v>
      </c>
      <c r="Y3" s="277" t="s">
        <v>47</v>
      </c>
      <c r="Z3" s="280" t="s">
        <v>19</v>
      </c>
      <c r="AA3" s="283">
        <v>1893.4</v>
      </c>
      <c r="AB3" s="284"/>
      <c r="AC3" s="266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269">
        <f>676.624</f>
        <v>676.62400000000002</v>
      </c>
      <c r="E4" s="270"/>
      <c r="F4" s="89">
        <f>77526903.96-G4</f>
        <v>28449520.749999993</v>
      </c>
      <c r="G4" s="36">
        <v>49077383.210000001</v>
      </c>
      <c r="H4" s="36"/>
      <c r="I4" s="82">
        <v>2</v>
      </c>
      <c r="J4" s="278"/>
      <c r="K4" s="88" t="s">
        <v>19</v>
      </c>
      <c r="L4" s="269">
        <f>676.624</f>
        <v>676.62400000000002</v>
      </c>
      <c r="M4" s="270"/>
      <c r="N4" s="267"/>
      <c r="Q4" s="82">
        <v>2</v>
      </c>
      <c r="R4" s="278"/>
      <c r="S4" s="281"/>
      <c r="T4" s="285"/>
      <c r="U4" s="286"/>
      <c r="V4" s="267"/>
      <c r="X4" s="82">
        <v>2</v>
      </c>
      <c r="Y4" s="278"/>
      <c r="Z4" s="281"/>
      <c r="AA4" s="285"/>
      <c r="AB4" s="286"/>
      <c r="AC4" s="267"/>
    </row>
    <row r="5" spans="1:31" x14ac:dyDescent="0.25">
      <c r="A5" s="82">
        <v>3</v>
      </c>
      <c r="B5" s="87" t="s">
        <v>26</v>
      </c>
      <c r="C5" s="88" t="s">
        <v>19</v>
      </c>
      <c r="D5" s="269">
        <v>295.15199999999999</v>
      </c>
      <c r="E5" s="270"/>
      <c r="F5" s="89">
        <f>35252578.16-G5</f>
        <v>12410042.859999996</v>
      </c>
      <c r="G5" s="36">
        <v>22842535.300000001</v>
      </c>
      <c r="H5" s="36"/>
      <c r="I5" s="82">
        <v>3</v>
      </c>
      <c r="J5" s="278"/>
      <c r="K5" s="88" t="s">
        <v>19</v>
      </c>
      <c r="L5" s="269">
        <v>295.15199999999999</v>
      </c>
      <c r="M5" s="270"/>
      <c r="N5" s="267"/>
      <c r="Q5" s="82">
        <v>3</v>
      </c>
      <c r="R5" s="278"/>
      <c r="S5" s="281"/>
      <c r="T5" s="285"/>
      <c r="U5" s="286"/>
      <c r="V5" s="267"/>
      <c r="X5" s="82">
        <v>3</v>
      </c>
      <c r="Y5" s="278"/>
      <c r="Z5" s="281"/>
      <c r="AA5" s="285"/>
      <c r="AB5" s="286"/>
      <c r="AC5" s="267"/>
    </row>
    <row r="6" spans="1:31" ht="30" x14ac:dyDescent="0.25">
      <c r="A6" s="82">
        <v>4</v>
      </c>
      <c r="B6" s="87" t="s">
        <v>8</v>
      </c>
      <c r="C6" s="88" t="s">
        <v>19</v>
      </c>
      <c r="D6" s="269">
        <v>284.85599999999999</v>
      </c>
      <c r="E6" s="270"/>
      <c r="F6" s="89">
        <f>54348406.96-G6</f>
        <v>29847559.98</v>
      </c>
      <c r="G6" s="36">
        <v>24500846.98</v>
      </c>
      <c r="H6" s="36"/>
      <c r="I6" s="82">
        <v>4</v>
      </c>
      <c r="J6" s="278"/>
      <c r="K6" s="88" t="s">
        <v>19</v>
      </c>
      <c r="L6" s="269">
        <v>284.85599999999999</v>
      </c>
      <c r="M6" s="270"/>
      <c r="N6" s="267"/>
      <c r="Q6" s="82">
        <v>4</v>
      </c>
      <c r="R6" s="278"/>
      <c r="S6" s="281"/>
      <c r="T6" s="285"/>
      <c r="U6" s="286"/>
      <c r="V6" s="267"/>
      <c r="X6" s="82">
        <v>4</v>
      </c>
      <c r="Y6" s="278"/>
      <c r="Z6" s="281"/>
      <c r="AA6" s="285"/>
      <c r="AB6" s="286"/>
      <c r="AC6" s="267"/>
    </row>
    <row r="7" spans="1:31" x14ac:dyDescent="0.25">
      <c r="A7" s="82">
        <v>5</v>
      </c>
      <c r="B7" s="87" t="s">
        <v>1</v>
      </c>
      <c r="C7" s="88" t="s">
        <v>19</v>
      </c>
      <c r="D7" s="269">
        <v>103.27200000000001</v>
      </c>
      <c r="E7" s="270"/>
      <c r="F7" s="89">
        <f>14658524.85-G7</f>
        <v>6218924.8699999992</v>
      </c>
      <c r="G7" s="36">
        <v>8439599.9800000004</v>
      </c>
      <c r="H7" s="36"/>
      <c r="I7" s="82">
        <v>5</v>
      </c>
      <c r="J7" s="278"/>
      <c r="K7" s="88" t="s">
        <v>19</v>
      </c>
      <c r="L7" s="269">
        <v>103.27200000000001</v>
      </c>
      <c r="M7" s="270"/>
      <c r="N7" s="267"/>
      <c r="Q7" s="82">
        <v>5</v>
      </c>
      <c r="R7" s="278"/>
      <c r="S7" s="281"/>
      <c r="T7" s="285"/>
      <c r="U7" s="286"/>
      <c r="V7" s="267"/>
      <c r="X7" s="82">
        <v>5</v>
      </c>
      <c r="Y7" s="278"/>
      <c r="Z7" s="281"/>
      <c r="AA7" s="285"/>
      <c r="AB7" s="286"/>
      <c r="AC7" s="267"/>
    </row>
    <row r="8" spans="1:31" ht="30" x14ac:dyDescent="0.25">
      <c r="A8" s="82">
        <v>6</v>
      </c>
      <c r="B8" s="87" t="s">
        <v>2</v>
      </c>
      <c r="C8" s="88" t="s">
        <v>19</v>
      </c>
      <c r="D8" s="269">
        <v>66.872</v>
      </c>
      <c r="E8" s="270"/>
      <c r="F8" s="89">
        <f>9352168.79-G8</f>
        <v>4525782.0099999988</v>
      </c>
      <c r="G8" s="36">
        <v>4826386.78</v>
      </c>
      <c r="H8" s="36"/>
      <c r="I8" s="82">
        <v>6</v>
      </c>
      <c r="J8" s="278"/>
      <c r="K8" s="88" t="s">
        <v>19</v>
      </c>
      <c r="L8" s="269">
        <v>66.872</v>
      </c>
      <c r="M8" s="270"/>
      <c r="N8" s="267"/>
      <c r="Q8" s="82">
        <v>6</v>
      </c>
      <c r="R8" s="278"/>
      <c r="S8" s="281"/>
      <c r="T8" s="285"/>
      <c r="U8" s="286"/>
      <c r="V8" s="267"/>
      <c r="X8" s="82">
        <v>6</v>
      </c>
      <c r="Y8" s="278"/>
      <c r="Z8" s="281"/>
      <c r="AA8" s="285"/>
      <c r="AB8" s="286"/>
      <c r="AC8" s="267"/>
    </row>
    <row r="9" spans="1:31" x14ac:dyDescent="0.25">
      <c r="A9" s="82">
        <v>7</v>
      </c>
      <c r="B9" s="87" t="s">
        <v>3</v>
      </c>
      <c r="C9" s="88" t="s">
        <v>19</v>
      </c>
      <c r="D9" s="269">
        <v>233.27199999999999</v>
      </c>
      <c r="E9" s="270"/>
      <c r="F9" s="89">
        <f>34523672.98-G9</f>
        <v>17401032.069999997</v>
      </c>
      <c r="G9" s="36">
        <v>17122640.91</v>
      </c>
      <c r="H9" s="36"/>
      <c r="I9" s="82">
        <v>7</v>
      </c>
      <c r="J9" s="278"/>
      <c r="K9" s="88" t="s">
        <v>19</v>
      </c>
      <c r="L9" s="269">
        <v>233.27199999999999</v>
      </c>
      <c r="M9" s="270"/>
      <c r="N9" s="267"/>
      <c r="Q9" s="82">
        <v>7</v>
      </c>
      <c r="R9" s="278"/>
      <c r="S9" s="281"/>
      <c r="T9" s="285"/>
      <c r="U9" s="286"/>
      <c r="V9" s="267"/>
      <c r="X9" s="82">
        <v>7</v>
      </c>
      <c r="Y9" s="278"/>
      <c r="Z9" s="281"/>
      <c r="AA9" s="285"/>
      <c r="AB9" s="286"/>
      <c r="AC9" s="267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271">
        <v>4.3680000000000003</v>
      </c>
      <c r="E10" s="272"/>
      <c r="F10" s="92">
        <f>1043243.99-G10</f>
        <v>714028.58000000007</v>
      </c>
      <c r="G10" s="36">
        <v>329215.40999999997</v>
      </c>
      <c r="H10" s="36"/>
      <c r="I10" s="83">
        <v>8</v>
      </c>
      <c r="J10" s="279"/>
      <c r="K10" s="91" t="s">
        <v>19</v>
      </c>
      <c r="L10" s="271">
        <v>4.3680000000000003</v>
      </c>
      <c r="M10" s="272"/>
      <c r="N10" s="268"/>
      <c r="Q10" s="83">
        <v>8</v>
      </c>
      <c r="R10" s="279"/>
      <c r="S10" s="282"/>
      <c r="T10" s="287"/>
      <c r="U10" s="288"/>
      <c r="V10" s="268"/>
      <c r="X10" s="83">
        <v>8</v>
      </c>
      <c r="Y10" s="279"/>
      <c r="Z10" s="282"/>
      <c r="AA10" s="287"/>
      <c r="AB10" s="288"/>
      <c r="AC10" s="268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260" t="s">
        <v>31</v>
      </c>
      <c r="E12" s="26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260" t="s">
        <v>31</v>
      </c>
      <c r="M12" s="26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260" t="s">
        <v>31</v>
      </c>
      <c r="U12" s="261"/>
      <c r="V12" s="43">
        <v>3704032.4099999992</v>
      </c>
      <c r="X12" s="53">
        <v>9</v>
      </c>
      <c r="Y12" s="50" t="s">
        <v>27</v>
      </c>
      <c r="Z12" s="42" t="s">
        <v>29</v>
      </c>
      <c r="AA12" s="260" t="s">
        <v>31</v>
      </c>
      <c r="AB12" s="261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262" t="s">
        <v>30</v>
      </c>
      <c r="E13" s="26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262" t="s">
        <v>30</v>
      </c>
      <c r="M13" s="26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262" t="s">
        <v>30</v>
      </c>
      <c r="U13" s="263"/>
      <c r="V13" s="29">
        <v>15227354.290000003</v>
      </c>
      <c r="X13" s="52">
        <v>10</v>
      </c>
      <c r="Y13" s="51" t="s">
        <v>28</v>
      </c>
      <c r="Z13" s="40" t="s">
        <v>29</v>
      </c>
      <c r="AA13" s="262" t="s">
        <v>30</v>
      </c>
      <c r="AB13" s="263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264">
        <f>47.6596*100</f>
        <v>4765.96</v>
      </c>
      <c r="E14" s="26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264">
        <f>47.6596*100</f>
        <v>4765.96</v>
      </c>
      <c r="M14" s="265"/>
      <c r="N14" s="73">
        <v>1105733.3899999999</v>
      </c>
      <c r="Q14" s="70">
        <v>11</v>
      </c>
      <c r="R14" s="71" t="s">
        <v>17</v>
      </c>
      <c r="S14" s="72" t="s">
        <v>20</v>
      </c>
      <c r="T14" s="264">
        <f>47.6596*100</f>
        <v>4765.96</v>
      </c>
      <c r="U14" s="265"/>
      <c r="V14" s="73">
        <v>1105733.3899999999</v>
      </c>
      <c r="X14" s="70">
        <v>11</v>
      </c>
      <c r="Y14" s="71" t="s">
        <v>17</v>
      </c>
      <c r="Z14" s="72" t="s">
        <v>20</v>
      </c>
      <c r="AA14" s="264">
        <f>47.6596*100</f>
        <v>4765.96</v>
      </c>
      <c r="AB14" s="265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9" t="s">
        <v>36</v>
      </c>
      <c r="S20" s="230"/>
      <c r="T20" s="231"/>
      <c r="U20" s="232"/>
      <c r="V20" s="233">
        <f>V18+V19</f>
        <v>183111854.16569996</v>
      </c>
      <c r="X20" s="221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4"/>
      <c r="R21" s="235" t="s">
        <v>138</v>
      </c>
      <c r="S21" s="236"/>
      <c r="T21" s="237"/>
      <c r="U21" s="238"/>
      <c r="V21" s="239">
        <f>V20*0.06</f>
        <v>10986711.249941997</v>
      </c>
      <c r="X21" s="223"/>
      <c r="Y21" s="224" t="s">
        <v>138</v>
      </c>
      <c r="Z21" s="225"/>
      <c r="AA21" s="226"/>
      <c r="AB21" s="227"/>
      <c r="AC21" s="228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291" t="s">
        <v>53</v>
      </c>
      <c r="C28" s="291"/>
      <c r="D28" s="291"/>
      <c r="E28" s="79"/>
      <c r="F28" s="93">
        <v>75700.428816399144</v>
      </c>
      <c r="G28" s="39"/>
      <c r="H28" s="39"/>
      <c r="J28" s="291" t="s">
        <v>53</v>
      </c>
      <c r="K28" s="291"/>
      <c r="L28" s="291"/>
      <c r="M28" s="79"/>
      <c r="N28" s="93">
        <f>164516389.54/L16</f>
        <v>79169.629195812944</v>
      </c>
      <c r="R28" s="291" t="s">
        <v>53</v>
      </c>
      <c r="S28" s="291"/>
      <c r="T28" s="291"/>
      <c r="U28" s="79"/>
      <c r="V28" s="93">
        <v>98736.12</v>
      </c>
      <c r="Y28" s="291" t="s">
        <v>53</v>
      </c>
      <c r="Z28" s="291"/>
      <c r="AA28" s="291"/>
      <c r="AB28" s="79"/>
      <c r="AC28" s="93">
        <v>94190.720000000001</v>
      </c>
    </row>
    <row r="29" spans="1:31" ht="30.75" customHeight="1" x14ac:dyDescent="0.25">
      <c r="B29" s="291" t="s">
        <v>54</v>
      </c>
      <c r="C29" s="291"/>
      <c r="D29" s="291"/>
      <c r="E29" s="79"/>
      <c r="F29" s="93">
        <v>89541.292052319011</v>
      </c>
      <c r="G29" s="39"/>
      <c r="H29" s="39"/>
      <c r="J29" s="291" t="s">
        <v>54</v>
      </c>
      <c r="K29" s="291"/>
      <c r="L29" s="291"/>
      <c r="M29" s="79"/>
      <c r="N29" s="93">
        <f>185090075.82/L16</f>
        <v>89070.230093588907</v>
      </c>
      <c r="R29" s="291" t="s">
        <v>54</v>
      </c>
      <c r="S29" s="291"/>
      <c r="T29" s="291"/>
      <c r="U29" s="79"/>
      <c r="V29" s="93">
        <v>111278</v>
      </c>
      <c r="Y29" s="291" t="s">
        <v>54</v>
      </c>
      <c r="Z29" s="291"/>
      <c r="AA29" s="291"/>
      <c r="AB29" s="79"/>
      <c r="AC29" s="93">
        <v>106960.11</v>
      </c>
    </row>
    <row r="30" spans="1:31" ht="37.5" customHeight="1" x14ac:dyDescent="0.25">
      <c r="B30" s="291" t="s">
        <v>55</v>
      </c>
      <c r="C30" s="291"/>
      <c r="D30" s="291"/>
      <c r="E30" s="79"/>
      <c r="F30" s="93">
        <f>F26/D16</f>
        <v>92227.530813888574</v>
      </c>
      <c r="G30" s="39"/>
      <c r="H30" s="39"/>
      <c r="J30" s="291" t="s">
        <v>55</v>
      </c>
      <c r="K30" s="291"/>
      <c r="L30" s="291"/>
      <c r="M30" s="79"/>
      <c r="N30" s="93">
        <f>N26/L16</f>
        <v>92227.530814851038</v>
      </c>
      <c r="R30" s="291" t="s">
        <v>55</v>
      </c>
      <c r="S30" s="291"/>
      <c r="T30" s="291"/>
      <c r="U30" s="79"/>
      <c r="V30" s="93">
        <f>V26/T16</f>
        <v>114616.43807964509</v>
      </c>
      <c r="Y30" s="291" t="s">
        <v>55</v>
      </c>
      <c r="Z30" s="291"/>
      <c r="AA30" s="291"/>
      <c r="AB30" s="79"/>
      <c r="AC30" s="93">
        <f>AC26/AA16</f>
        <v>110168.91603464665</v>
      </c>
    </row>
  </sheetData>
  <mergeCells count="54"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L12:M12"/>
    <mergeCell ref="T12:U12"/>
    <mergeCell ref="D13:E13"/>
    <mergeCell ref="L13:M13"/>
    <mergeCell ref="T13:U13"/>
    <mergeCell ref="AA13:AB13"/>
    <mergeCell ref="D14:E14"/>
    <mergeCell ref="L14:M14"/>
    <mergeCell ref="T14:U14"/>
    <mergeCell ref="AA14:AB14"/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E17" sqref="E17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300" t="s">
        <v>69</v>
      </c>
      <c r="B1" s="300"/>
      <c r="C1" s="300"/>
      <c r="D1" s="300"/>
      <c r="E1" s="138" t="s">
        <v>70</v>
      </c>
      <c r="F1" s="108"/>
      <c r="G1" s="108"/>
    </row>
    <row r="2" spans="1:14" s="109" customFormat="1" x14ac:dyDescent="0.2"/>
    <row r="3" spans="1:14" s="111" customFormat="1" ht="63.75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x14ac:dyDescent="0.2">
      <c r="A5" s="112" t="s">
        <v>63</v>
      </c>
      <c r="B5" s="113">
        <v>163307831.25</v>
      </c>
      <c r="C5" s="114">
        <f>D17</f>
        <v>1.06</v>
      </c>
      <c r="D5" s="115">
        <f>B5*C5</f>
        <v>173106301.125</v>
      </c>
    </row>
    <row r="6" spans="1:14" s="109" customFormat="1" x14ac:dyDescent="0.2">
      <c r="A6" s="116" t="s">
        <v>64</v>
      </c>
      <c r="B6" s="113">
        <f>SUM(B5:B5)</f>
        <v>163307831.25</v>
      </c>
      <c r="C6" s="113"/>
      <c r="D6" s="113">
        <f>SUM(D5:D5)</f>
        <v>173106301.125</v>
      </c>
    </row>
    <row r="7" spans="1:14" s="109" customFormat="1" x14ac:dyDescent="0.2">
      <c r="A7" s="117" t="s">
        <v>65</v>
      </c>
      <c r="B7" s="113">
        <f>B6*0.2</f>
        <v>32661566.25</v>
      </c>
      <c r="C7" s="113"/>
      <c r="D7" s="113">
        <f>D6*0.2</f>
        <v>34621260.225000001</v>
      </c>
    </row>
    <row r="8" spans="1:14" s="121" customFormat="1" x14ac:dyDescent="0.2">
      <c r="A8" s="116" t="s">
        <v>66</v>
      </c>
      <c r="B8" s="118">
        <f>B6+B7</f>
        <v>195969397.5</v>
      </c>
      <c r="C8" s="118"/>
      <c r="D8" s="119">
        <f>D6+D7</f>
        <v>207727561.34999999</v>
      </c>
      <c r="E8" s="120">
        <f>'[6]расчет дефлятора 3кв_4кв 25г.'!D8</f>
        <v>208859301.65000001</v>
      </c>
      <c r="F8" s="120">
        <f>E8-D8</f>
        <v>1131740.3000000119</v>
      </c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135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301" t="s">
        <v>78</v>
      </c>
      <c r="D15" s="301"/>
      <c r="E15" s="301"/>
      <c r="F15" s="301"/>
      <c r="G15" s="125"/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77</v>
      </c>
      <c r="B17" s="132"/>
      <c r="C17" s="133" t="s">
        <v>136</v>
      </c>
      <c r="D17" s="145">
        <v>1.06</v>
      </c>
      <c r="E17" s="134" t="s">
        <v>137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6" customWidth="1"/>
    <col min="2" max="6" width="16.140625" style="146" customWidth="1"/>
    <col min="7" max="16384" width="8.85546875" style="146"/>
  </cols>
  <sheetData>
    <row r="1" spans="1:6" x14ac:dyDescent="0.25">
      <c r="A1" s="302" t="s">
        <v>79</v>
      </c>
      <c r="B1" s="302"/>
      <c r="C1" s="302"/>
      <c r="D1" s="302"/>
      <c r="E1" s="302"/>
      <c r="F1" s="302"/>
    </row>
    <row r="2" spans="1:6" ht="45" customHeight="1" x14ac:dyDescent="0.25">
      <c r="A2" s="302"/>
      <c r="B2" s="302"/>
      <c r="C2" s="302"/>
      <c r="D2" s="302"/>
      <c r="E2" s="302"/>
      <c r="F2" s="302"/>
    </row>
    <row r="3" spans="1:6" ht="52.5" customHeight="1" x14ac:dyDescent="0.25">
      <c r="A3" s="303" t="s">
        <v>80</v>
      </c>
      <c r="B3" s="303"/>
      <c r="C3" s="303"/>
      <c r="D3" s="303"/>
      <c r="E3" s="303"/>
      <c r="F3" s="303"/>
    </row>
    <row r="4" spans="1:6" s="147" customFormat="1" ht="19.5" customHeight="1" thickBot="1" x14ac:dyDescent="0.35">
      <c r="A4" s="304" t="s">
        <v>81</v>
      </c>
      <c r="B4" s="304"/>
      <c r="C4" s="304"/>
      <c r="D4" s="304"/>
      <c r="E4" s="304"/>
      <c r="F4" s="304"/>
    </row>
    <row r="5" spans="1:6" ht="19.5" customHeight="1" x14ac:dyDescent="0.25">
      <c r="A5" s="148"/>
      <c r="B5" s="149">
        <v>2024</v>
      </c>
      <c r="C5" s="150">
        <v>2025</v>
      </c>
      <c r="D5" s="150">
        <v>2026</v>
      </c>
      <c r="E5" s="150">
        <v>2027</v>
      </c>
      <c r="F5" s="151">
        <v>2028</v>
      </c>
    </row>
    <row r="6" spans="1:6" ht="19.5" customHeight="1" thickBot="1" x14ac:dyDescent="0.3">
      <c r="A6" s="152"/>
      <c r="B6" s="153" t="s">
        <v>82</v>
      </c>
      <c r="C6" s="154" t="s">
        <v>83</v>
      </c>
      <c r="D6" s="305" t="s">
        <v>84</v>
      </c>
      <c r="E6" s="305"/>
      <c r="F6" s="306"/>
    </row>
    <row r="7" spans="1:6" ht="15.75" customHeight="1" x14ac:dyDescent="0.25">
      <c r="A7" s="155" t="s">
        <v>85</v>
      </c>
      <c r="B7" s="156"/>
      <c r="C7" s="157"/>
      <c r="D7" s="157"/>
      <c r="E7" s="157"/>
      <c r="F7" s="158"/>
    </row>
    <row r="8" spans="1:6" ht="20.100000000000001" customHeight="1" x14ac:dyDescent="0.25">
      <c r="A8" s="159" t="s">
        <v>86</v>
      </c>
      <c r="B8" s="160">
        <v>110.66</v>
      </c>
      <c r="C8" s="161">
        <v>102.8</v>
      </c>
      <c r="D8" s="161">
        <v>106.1</v>
      </c>
      <c r="E8" s="161">
        <v>104.93</v>
      </c>
      <c r="F8" s="162">
        <v>104.28</v>
      </c>
    </row>
    <row r="9" spans="1:6" ht="20.100000000000001" customHeight="1" x14ac:dyDescent="0.25">
      <c r="A9" s="163" t="s">
        <v>87</v>
      </c>
      <c r="B9" s="164">
        <v>112.07</v>
      </c>
      <c r="C9" s="165">
        <v>103.02</v>
      </c>
      <c r="D9" s="165">
        <v>106.1</v>
      </c>
      <c r="E9" s="165">
        <v>105.11</v>
      </c>
      <c r="F9" s="166">
        <v>104.28</v>
      </c>
    </row>
    <row r="10" spans="1:6" ht="20.100000000000001" customHeight="1" x14ac:dyDescent="0.25">
      <c r="A10" s="167" t="s">
        <v>88</v>
      </c>
      <c r="B10" s="164">
        <v>110.43</v>
      </c>
      <c r="C10" s="165">
        <v>106.25</v>
      </c>
      <c r="D10" s="165">
        <v>104.9</v>
      </c>
      <c r="E10" s="165">
        <v>104.39</v>
      </c>
      <c r="F10" s="166">
        <v>104.12</v>
      </c>
    </row>
    <row r="11" spans="1:6" ht="20.100000000000001" customHeight="1" x14ac:dyDescent="0.25">
      <c r="A11" s="168" t="s">
        <v>89</v>
      </c>
      <c r="B11" s="169"/>
      <c r="C11" s="170"/>
      <c r="D11" s="170"/>
      <c r="E11" s="170"/>
      <c r="F11" s="171"/>
    </row>
    <row r="12" spans="1:6" ht="20.100000000000001" customHeight="1" x14ac:dyDescent="0.25">
      <c r="A12" s="159" t="s">
        <v>86</v>
      </c>
      <c r="B12" s="160">
        <v>116.59</v>
      </c>
      <c r="C12" s="161">
        <v>89.94</v>
      </c>
      <c r="D12" s="161">
        <v>107.78</v>
      </c>
      <c r="E12" s="161">
        <v>105.6</v>
      </c>
      <c r="F12" s="162">
        <v>104.59</v>
      </c>
    </row>
    <row r="13" spans="1:6" s="173" customFormat="1" ht="20.100000000000001" customHeight="1" x14ac:dyDescent="0.25">
      <c r="A13" s="172" t="s">
        <v>87</v>
      </c>
      <c r="B13" s="164">
        <v>117.68</v>
      </c>
      <c r="C13" s="165">
        <v>93.35</v>
      </c>
      <c r="D13" s="165">
        <v>107.24</v>
      </c>
      <c r="E13" s="165">
        <v>106.04</v>
      </c>
      <c r="F13" s="166">
        <v>104.7</v>
      </c>
    </row>
    <row r="14" spans="1:6" ht="20.100000000000001" customHeight="1" x14ac:dyDescent="0.25">
      <c r="A14" s="168" t="s">
        <v>90</v>
      </c>
      <c r="B14" s="169"/>
      <c r="C14" s="170"/>
      <c r="D14" s="170"/>
      <c r="E14" s="170"/>
      <c r="F14" s="171"/>
    </row>
    <row r="15" spans="1:6" ht="20.100000000000001" customHeight="1" x14ac:dyDescent="0.25">
      <c r="A15" s="159" t="s">
        <v>86</v>
      </c>
      <c r="B15" s="160">
        <v>115.66</v>
      </c>
      <c r="C15" s="161">
        <v>87.47</v>
      </c>
      <c r="D15" s="161">
        <v>108.31</v>
      </c>
      <c r="E15" s="161">
        <v>105.84</v>
      </c>
      <c r="F15" s="162">
        <v>104.67</v>
      </c>
    </row>
    <row r="16" spans="1:6" s="173" customFormat="1" ht="20.100000000000001" customHeight="1" x14ac:dyDescent="0.25">
      <c r="A16" s="174" t="s">
        <v>87</v>
      </c>
      <c r="B16" s="164">
        <v>117.51</v>
      </c>
      <c r="C16" s="165">
        <v>91.4</v>
      </c>
      <c r="D16" s="165">
        <v>107.68</v>
      </c>
      <c r="E16" s="165">
        <v>106.3</v>
      </c>
      <c r="F16" s="166">
        <v>104.78</v>
      </c>
    </row>
    <row r="17" spans="1:6" ht="20.100000000000001" customHeight="1" x14ac:dyDescent="0.25">
      <c r="A17" s="168" t="s">
        <v>91</v>
      </c>
      <c r="B17" s="169"/>
      <c r="C17" s="170"/>
      <c r="D17" s="170"/>
      <c r="E17" s="170"/>
      <c r="F17" s="171"/>
    </row>
    <row r="18" spans="1:6" ht="20.100000000000001" customHeight="1" x14ac:dyDescent="0.25">
      <c r="A18" s="159" t="s">
        <v>86</v>
      </c>
      <c r="B18" s="160">
        <v>83.1</v>
      </c>
      <c r="C18" s="161">
        <v>81.06</v>
      </c>
      <c r="D18" s="161">
        <v>101.91</v>
      </c>
      <c r="E18" s="161">
        <v>105.35</v>
      </c>
      <c r="F18" s="162">
        <v>103.41</v>
      </c>
    </row>
    <row r="19" spans="1:6" ht="20.100000000000001" customHeight="1" x14ac:dyDescent="0.25">
      <c r="A19" s="163" t="s">
        <v>87</v>
      </c>
      <c r="B19" s="164">
        <v>99.65</v>
      </c>
      <c r="C19" s="165">
        <v>88.11</v>
      </c>
      <c r="D19" s="165">
        <v>100.43</v>
      </c>
      <c r="E19" s="165">
        <v>105.55</v>
      </c>
      <c r="F19" s="166">
        <v>103.51</v>
      </c>
    </row>
    <row r="20" spans="1:6" ht="20.100000000000001" customHeight="1" x14ac:dyDescent="0.25">
      <c r="A20" s="167" t="s">
        <v>92</v>
      </c>
      <c r="B20" s="164"/>
      <c r="C20" s="165"/>
      <c r="D20" s="165"/>
      <c r="E20" s="165"/>
      <c r="F20" s="166"/>
    </row>
    <row r="21" spans="1:6" ht="20.100000000000001" customHeight="1" x14ac:dyDescent="0.25">
      <c r="A21" s="163" t="s">
        <v>87</v>
      </c>
      <c r="B21" s="164">
        <v>99.56</v>
      </c>
      <c r="C21" s="175">
        <v>103.19</v>
      </c>
      <c r="D21" s="175">
        <v>101.49</v>
      </c>
      <c r="E21" s="175">
        <v>104.35</v>
      </c>
      <c r="F21" s="176">
        <v>102.68</v>
      </c>
    </row>
    <row r="22" spans="1:6" ht="20.100000000000001" customHeight="1" x14ac:dyDescent="0.25">
      <c r="A22" s="168" t="s">
        <v>93</v>
      </c>
      <c r="B22" s="169"/>
      <c r="C22" s="170"/>
      <c r="D22" s="170"/>
      <c r="E22" s="170"/>
      <c r="F22" s="171"/>
    </row>
    <row r="23" spans="1:6" ht="20.100000000000001" customHeight="1" x14ac:dyDescent="0.25">
      <c r="A23" s="159" t="s">
        <v>86</v>
      </c>
      <c r="B23" s="160">
        <v>119.17</v>
      </c>
      <c r="C23" s="161">
        <v>87.91</v>
      </c>
      <c r="D23" s="161">
        <v>108.72</v>
      </c>
      <c r="E23" s="161">
        <v>105.87</v>
      </c>
      <c r="F23" s="162">
        <v>104.76</v>
      </c>
    </row>
    <row r="24" spans="1:6" s="173" customFormat="1" ht="20.100000000000001" customHeight="1" x14ac:dyDescent="0.25">
      <c r="A24" s="172" t="s">
        <v>87</v>
      </c>
      <c r="B24" s="177">
        <v>118.33</v>
      </c>
      <c r="C24" s="175">
        <v>91.62</v>
      </c>
      <c r="D24" s="175">
        <v>108.13</v>
      </c>
      <c r="E24" s="175">
        <v>106.34</v>
      </c>
      <c r="F24" s="176">
        <v>104.86</v>
      </c>
    </row>
    <row r="25" spans="1:6" ht="20.100000000000001" customHeight="1" x14ac:dyDescent="0.25">
      <c r="A25" s="178" t="s">
        <v>94</v>
      </c>
      <c r="B25" s="179"/>
      <c r="C25" s="180"/>
      <c r="D25" s="180"/>
      <c r="E25" s="180"/>
      <c r="F25" s="181"/>
    </row>
    <row r="26" spans="1:6" ht="20.100000000000001" customHeight="1" x14ac:dyDescent="0.25">
      <c r="A26" s="159" t="s">
        <v>86</v>
      </c>
      <c r="B26" s="160">
        <v>121.48</v>
      </c>
      <c r="C26" s="161">
        <v>105.37</v>
      </c>
      <c r="D26" s="161">
        <v>104.38</v>
      </c>
      <c r="E26" s="161">
        <v>104.08</v>
      </c>
      <c r="F26" s="162">
        <v>104.06</v>
      </c>
    </row>
    <row r="27" spans="1:6" ht="20.100000000000001" customHeight="1" x14ac:dyDescent="0.25">
      <c r="A27" s="163" t="s">
        <v>87</v>
      </c>
      <c r="B27" s="177">
        <v>119.31</v>
      </c>
      <c r="C27" s="175">
        <v>108.14</v>
      </c>
      <c r="D27" s="175">
        <v>104.38</v>
      </c>
      <c r="E27" s="175">
        <v>104.19</v>
      </c>
      <c r="F27" s="176">
        <v>104.07</v>
      </c>
    </row>
    <row r="28" spans="1:6" ht="20.100000000000001" customHeight="1" x14ac:dyDescent="0.25">
      <c r="A28" s="182" t="s">
        <v>95</v>
      </c>
      <c r="B28" s="169"/>
      <c r="C28" s="170"/>
      <c r="D28" s="170"/>
      <c r="E28" s="170"/>
      <c r="F28" s="183"/>
    </row>
    <row r="29" spans="1:6" ht="20.100000000000001" customHeight="1" x14ac:dyDescent="0.25">
      <c r="A29" s="159" t="s">
        <v>86</v>
      </c>
      <c r="B29" s="160">
        <v>132.13999999999999</v>
      </c>
      <c r="C29" s="161">
        <v>105.63</v>
      </c>
      <c r="D29" s="161">
        <v>104.49</v>
      </c>
      <c r="E29" s="161">
        <v>104.14</v>
      </c>
      <c r="F29" s="162">
        <v>104.13</v>
      </c>
    </row>
    <row r="30" spans="1:6" ht="20.100000000000001" customHeight="1" thickBot="1" x14ac:dyDescent="0.3">
      <c r="A30" s="184" t="s">
        <v>87</v>
      </c>
      <c r="B30" s="185">
        <v>125.72</v>
      </c>
      <c r="C30" s="186">
        <v>107.68</v>
      </c>
      <c r="D30" s="186">
        <v>104.34</v>
      </c>
      <c r="E30" s="186">
        <v>104.21</v>
      </c>
      <c r="F30" s="187">
        <v>104.12</v>
      </c>
    </row>
    <row r="31" spans="1:6" ht="20.100000000000001" customHeight="1" x14ac:dyDescent="0.25">
      <c r="A31" s="188" t="s">
        <v>96</v>
      </c>
      <c r="B31" s="189"/>
      <c r="C31" s="190"/>
      <c r="D31" s="190"/>
      <c r="E31" s="190"/>
      <c r="F31" s="191"/>
    </row>
    <row r="32" spans="1:6" ht="20.100000000000001" customHeight="1" x14ac:dyDescent="0.25">
      <c r="A32" s="159" t="s">
        <v>86</v>
      </c>
      <c r="B32" s="160">
        <v>97.25</v>
      </c>
      <c r="C32" s="161">
        <v>104.58</v>
      </c>
      <c r="D32" s="161">
        <v>104.06</v>
      </c>
      <c r="E32" s="161">
        <v>103.89</v>
      </c>
      <c r="F32" s="162">
        <v>103.84</v>
      </c>
    </row>
    <row r="33" spans="1:6" ht="20.100000000000001" customHeight="1" x14ac:dyDescent="0.25">
      <c r="A33" s="192" t="s">
        <v>87</v>
      </c>
      <c r="B33" s="177">
        <v>104.29</v>
      </c>
      <c r="C33" s="175">
        <v>109.5</v>
      </c>
      <c r="D33" s="175">
        <v>104.21</v>
      </c>
      <c r="E33" s="175">
        <v>104.04</v>
      </c>
      <c r="F33" s="176">
        <v>103.94</v>
      </c>
    </row>
    <row r="34" spans="1:6" ht="20.100000000000001" customHeight="1" x14ac:dyDescent="0.25">
      <c r="A34" s="178" t="s">
        <v>97</v>
      </c>
      <c r="B34" s="193"/>
      <c r="C34" s="194"/>
      <c r="D34" s="194"/>
      <c r="E34" s="194"/>
      <c r="F34" s="181"/>
    </row>
    <row r="35" spans="1:6" ht="20.100000000000001" customHeight="1" x14ac:dyDescent="0.25">
      <c r="A35" s="159" t="s">
        <v>86</v>
      </c>
      <c r="B35" s="160">
        <v>107.25</v>
      </c>
      <c r="C35" s="161">
        <v>105.41</v>
      </c>
      <c r="D35" s="161">
        <v>104.849</v>
      </c>
      <c r="E35" s="161">
        <v>104.28</v>
      </c>
      <c r="F35" s="162">
        <v>104.12</v>
      </c>
    </row>
    <row r="36" spans="1:6" ht="20.100000000000001" customHeight="1" x14ac:dyDescent="0.25">
      <c r="A36" s="163" t="s">
        <v>87</v>
      </c>
      <c r="B36" s="177">
        <v>111.22</v>
      </c>
      <c r="C36" s="175">
        <v>104.63</v>
      </c>
      <c r="D36" s="175">
        <v>104.88</v>
      </c>
      <c r="E36" s="175">
        <v>104.38</v>
      </c>
      <c r="F36" s="176">
        <v>104.08</v>
      </c>
    </row>
    <row r="37" spans="1:6" ht="30" x14ac:dyDescent="0.25">
      <c r="A37" s="182" t="s">
        <v>98</v>
      </c>
      <c r="B37" s="169"/>
      <c r="C37" s="170"/>
      <c r="D37" s="170"/>
      <c r="E37" s="170"/>
      <c r="F37" s="183"/>
    </row>
    <row r="38" spans="1:6" ht="20.100000000000001" customHeight="1" x14ac:dyDescent="0.25">
      <c r="A38" s="159" t="s">
        <v>86</v>
      </c>
      <c r="B38" s="160">
        <v>110.07</v>
      </c>
      <c r="C38" s="161">
        <v>112.16</v>
      </c>
      <c r="D38" s="161">
        <v>104.56</v>
      </c>
      <c r="E38" s="161">
        <v>104.06</v>
      </c>
      <c r="F38" s="162">
        <v>103.88</v>
      </c>
    </row>
    <row r="39" spans="1:6" ht="20.100000000000001" customHeight="1" x14ac:dyDescent="0.25">
      <c r="A39" s="163" t="s">
        <v>87</v>
      </c>
      <c r="B39" s="177">
        <v>109.05</v>
      </c>
      <c r="C39" s="175">
        <v>111.13</v>
      </c>
      <c r="D39" s="175">
        <v>104.76</v>
      </c>
      <c r="E39" s="175">
        <v>104.14</v>
      </c>
      <c r="F39" s="176">
        <v>103.89</v>
      </c>
    </row>
    <row r="40" spans="1:6" ht="30" x14ac:dyDescent="0.25">
      <c r="A40" s="182" t="s">
        <v>99</v>
      </c>
      <c r="B40" s="169"/>
      <c r="C40" s="170"/>
      <c r="D40" s="170"/>
      <c r="E40" s="170"/>
      <c r="F40" s="183"/>
    </row>
    <row r="41" spans="1:6" ht="20.100000000000001" customHeight="1" x14ac:dyDescent="0.25">
      <c r="A41" s="159" t="s">
        <v>86</v>
      </c>
      <c r="B41" s="160">
        <v>111.16</v>
      </c>
      <c r="C41" s="161">
        <v>109.2</v>
      </c>
      <c r="D41" s="161">
        <v>104.43</v>
      </c>
      <c r="E41" s="161">
        <v>104.13</v>
      </c>
      <c r="F41" s="162">
        <v>103.85</v>
      </c>
    </row>
    <row r="42" spans="1:6" ht="20.100000000000001" customHeight="1" x14ac:dyDescent="0.25">
      <c r="A42" s="192" t="s">
        <v>87</v>
      </c>
      <c r="B42" s="177">
        <v>108.13</v>
      </c>
      <c r="C42" s="175">
        <v>106.06</v>
      </c>
      <c r="D42" s="175">
        <v>104.17</v>
      </c>
      <c r="E42" s="175">
        <v>104</v>
      </c>
      <c r="F42" s="176">
        <v>103.85</v>
      </c>
    </row>
    <row r="43" spans="1:6" ht="30" x14ac:dyDescent="0.25">
      <c r="A43" s="182" t="s">
        <v>100</v>
      </c>
      <c r="B43" s="169"/>
      <c r="C43" s="170"/>
      <c r="D43" s="170"/>
      <c r="E43" s="170"/>
      <c r="F43" s="183"/>
    </row>
    <row r="44" spans="1:6" ht="20.100000000000001" customHeight="1" x14ac:dyDescent="0.25">
      <c r="A44" s="159" t="s">
        <v>86</v>
      </c>
      <c r="B44" s="160">
        <v>114.3</v>
      </c>
      <c r="C44" s="161">
        <v>104.31</v>
      </c>
      <c r="D44" s="161">
        <v>104.64</v>
      </c>
      <c r="E44" s="161">
        <v>104.08</v>
      </c>
      <c r="F44" s="162">
        <v>103.87</v>
      </c>
    </row>
    <row r="45" spans="1:6" ht="20.100000000000001" customHeight="1" x14ac:dyDescent="0.25">
      <c r="A45" s="192" t="s">
        <v>87</v>
      </c>
      <c r="B45" s="177">
        <v>115.88</v>
      </c>
      <c r="C45" s="175">
        <v>103.74</v>
      </c>
      <c r="D45" s="175">
        <v>104.78</v>
      </c>
      <c r="E45" s="175">
        <v>103.95</v>
      </c>
      <c r="F45" s="176">
        <v>103.91</v>
      </c>
    </row>
    <row r="46" spans="1:6" ht="20.100000000000001" customHeight="1" x14ac:dyDescent="0.25">
      <c r="A46" s="195" t="s">
        <v>101</v>
      </c>
      <c r="B46" s="179"/>
      <c r="C46" s="180"/>
      <c r="D46" s="180"/>
      <c r="E46" s="180"/>
      <c r="F46" s="196"/>
    </row>
    <row r="47" spans="1:6" ht="20.100000000000001" customHeight="1" x14ac:dyDescent="0.25">
      <c r="A47" s="159" t="s">
        <v>86</v>
      </c>
      <c r="B47" s="160">
        <v>113.7</v>
      </c>
      <c r="C47" s="161">
        <v>103.62</v>
      </c>
      <c r="D47" s="161">
        <v>104.04</v>
      </c>
      <c r="E47" s="161">
        <v>104</v>
      </c>
      <c r="F47" s="162">
        <v>104.02</v>
      </c>
    </row>
    <row r="48" spans="1:6" ht="20.100000000000001" customHeight="1" x14ac:dyDescent="0.25">
      <c r="A48" s="163" t="s">
        <v>87</v>
      </c>
      <c r="B48" s="177">
        <v>115.17</v>
      </c>
      <c r="C48" s="175">
        <v>101.18</v>
      </c>
      <c r="D48" s="175">
        <v>103.98</v>
      </c>
      <c r="E48" s="175">
        <v>103.9</v>
      </c>
      <c r="F48" s="176">
        <v>103.86</v>
      </c>
    </row>
    <row r="49" spans="1:6" ht="20.100000000000001" customHeight="1" x14ac:dyDescent="0.25">
      <c r="A49" s="182" t="s">
        <v>102</v>
      </c>
      <c r="B49" s="169"/>
      <c r="C49" s="170"/>
      <c r="D49" s="170"/>
      <c r="E49" s="170"/>
      <c r="F49" s="183"/>
    </row>
    <row r="50" spans="1:6" ht="20.100000000000001" customHeight="1" x14ac:dyDescent="0.25">
      <c r="A50" s="159" t="s">
        <v>86</v>
      </c>
      <c r="B50" s="160">
        <v>112.64</v>
      </c>
      <c r="C50" s="161">
        <v>94.68</v>
      </c>
      <c r="D50" s="161">
        <v>104.19</v>
      </c>
      <c r="E50" s="161">
        <v>103.9</v>
      </c>
      <c r="F50" s="162">
        <v>103.78</v>
      </c>
    </row>
    <row r="51" spans="1:6" ht="20.100000000000001" customHeight="1" x14ac:dyDescent="0.25">
      <c r="A51" s="192" t="s">
        <v>87</v>
      </c>
      <c r="B51" s="177">
        <v>116.42</v>
      </c>
      <c r="C51" s="175">
        <v>95.847999999999999</v>
      </c>
      <c r="D51" s="175">
        <v>104.649</v>
      </c>
      <c r="E51" s="175">
        <v>104.13</v>
      </c>
      <c r="F51" s="176">
        <v>103.8</v>
      </c>
    </row>
    <row r="52" spans="1:6" ht="45" x14ac:dyDescent="0.25">
      <c r="A52" s="182" t="s">
        <v>103</v>
      </c>
      <c r="B52" s="169"/>
      <c r="C52" s="170"/>
      <c r="D52" s="170"/>
      <c r="E52" s="170"/>
      <c r="F52" s="183"/>
    </row>
    <row r="53" spans="1:6" ht="20.100000000000001" customHeight="1" x14ac:dyDescent="0.25">
      <c r="A53" s="159" t="s">
        <v>86</v>
      </c>
      <c r="B53" s="160">
        <v>107.88</v>
      </c>
      <c r="C53" s="161">
        <v>107.42</v>
      </c>
      <c r="D53" s="161">
        <v>104.62</v>
      </c>
      <c r="E53" s="161">
        <v>104.349</v>
      </c>
      <c r="F53" s="162">
        <v>104.146</v>
      </c>
    </row>
    <row r="54" spans="1:6" ht="20.100000000000001" customHeight="1" thickBot="1" x14ac:dyDescent="0.3">
      <c r="A54" s="184" t="s">
        <v>87</v>
      </c>
      <c r="B54" s="185">
        <v>105.88</v>
      </c>
      <c r="C54" s="186">
        <v>104.15</v>
      </c>
      <c r="D54" s="186">
        <v>104.01</v>
      </c>
      <c r="E54" s="186">
        <v>103.92</v>
      </c>
      <c r="F54" s="187">
        <v>103.75</v>
      </c>
    </row>
    <row r="55" spans="1:6" ht="17.25" customHeight="1" x14ac:dyDescent="0.25">
      <c r="A55" s="188" t="s">
        <v>104</v>
      </c>
      <c r="B55" s="189"/>
      <c r="C55" s="190"/>
      <c r="D55" s="190"/>
      <c r="E55" s="190"/>
      <c r="F55" s="191"/>
    </row>
    <row r="56" spans="1:6" ht="20.100000000000001" customHeight="1" x14ac:dyDescent="0.25">
      <c r="A56" s="159" t="s">
        <v>86</v>
      </c>
      <c r="B56" s="160">
        <v>108.8</v>
      </c>
      <c r="C56" s="161">
        <v>109.72</v>
      </c>
      <c r="D56" s="161">
        <v>104.5</v>
      </c>
      <c r="E56" s="161">
        <v>104.21</v>
      </c>
      <c r="F56" s="162">
        <v>103.92</v>
      </c>
    </row>
    <row r="57" spans="1:6" ht="20.100000000000001" customHeight="1" x14ac:dyDescent="0.25">
      <c r="A57" s="163" t="s">
        <v>87</v>
      </c>
      <c r="B57" s="177">
        <v>112.64</v>
      </c>
      <c r="C57" s="175">
        <v>108.08</v>
      </c>
      <c r="D57" s="175">
        <v>104.28</v>
      </c>
      <c r="E57" s="175">
        <v>104.21</v>
      </c>
      <c r="F57" s="176">
        <v>104.02</v>
      </c>
    </row>
    <row r="58" spans="1:6" ht="15.75" x14ac:dyDescent="0.25">
      <c r="A58" s="182" t="s">
        <v>105</v>
      </c>
      <c r="B58" s="169"/>
      <c r="C58" s="170"/>
      <c r="D58" s="170"/>
      <c r="E58" s="170"/>
      <c r="F58" s="183"/>
    </row>
    <row r="59" spans="1:6" ht="20.100000000000001" customHeight="1" x14ac:dyDescent="0.25">
      <c r="A59" s="159" t="s">
        <v>86</v>
      </c>
      <c r="B59" s="160">
        <v>107.92</v>
      </c>
      <c r="C59" s="161">
        <v>94.72</v>
      </c>
      <c r="D59" s="161">
        <v>105.24</v>
      </c>
      <c r="E59" s="161">
        <v>104.88</v>
      </c>
      <c r="F59" s="162">
        <v>104.91</v>
      </c>
    </row>
    <row r="60" spans="1:6" ht="20.100000000000001" customHeight="1" x14ac:dyDescent="0.25">
      <c r="A60" s="192" t="s">
        <v>87</v>
      </c>
      <c r="B60" s="177">
        <v>108.17</v>
      </c>
      <c r="C60" s="175">
        <v>94.14</v>
      </c>
      <c r="D60" s="175">
        <v>104.88</v>
      </c>
      <c r="E60" s="175">
        <v>105.21</v>
      </c>
      <c r="F60" s="176">
        <v>104.88</v>
      </c>
    </row>
    <row r="61" spans="1:6" ht="30" x14ac:dyDescent="0.25">
      <c r="A61" s="195" t="s">
        <v>106</v>
      </c>
      <c r="B61" s="179"/>
      <c r="C61" s="180"/>
      <c r="D61" s="180"/>
      <c r="E61" s="180"/>
      <c r="F61" s="196"/>
    </row>
    <row r="62" spans="1:6" ht="20.100000000000001" customHeight="1" x14ac:dyDescent="0.25">
      <c r="A62" s="159" t="s">
        <v>86</v>
      </c>
      <c r="B62" s="160">
        <v>106.09</v>
      </c>
      <c r="C62" s="161">
        <v>116.32</v>
      </c>
      <c r="D62" s="161">
        <v>104.06</v>
      </c>
      <c r="E62" s="161">
        <v>104.2</v>
      </c>
      <c r="F62" s="162">
        <v>104.27</v>
      </c>
    </row>
    <row r="63" spans="1:6" ht="20.100000000000001" customHeight="1" x14ac:dyDescent="0.25">
      <c r="A63" s="163" t="s">
        <v>87</v>
      </c>
      <c r="B63" s="177">
        <v>111.44</v>
      </c>
      <c r="C63" s="175">
        <v>120.04900000000001</v>
      </c>
      <c r="D63" s="175">
        <v>102.98</v>
      </c>
      <c r="E63" s="175">
        <v>104.28</v>
      </c>
      <c r="F63" s="176">
        <v>103.94</v>
      </c>
    </row>
    <row r="64" spans="1:6" ht="15.75" x14ac:dyDescent="0.25">
      <c r="A64" s="182" t="s">
        <v>107</v>
      </c>
      <c r="B64" s="169"/>
      <c r="C64" s="170"/>
      <c r="D64" s="170"/>
      <c r="E64" s="170"/>
      <c r="F64" s="183"/>
    </row>
    <row r="65" spans="1:6" ht="20.100000000000001" customHeight="1" x14ac:dyDescent="0.25">
      <c r="A65" s="159" t="s">
        <v>86</v>
      </c>
      <c r="B65" s="160">
        <v>103.62</v>
      </c>
      <c r="C65" s="161">
        <v>101.84</v>
      </c>
      <c r="D65" s="161">
        <v>105.66</v>
      </c>
      <c r="E65" s="161">
        <v>104.44</v>
      </c>
      <c r="F65" s="162">
        <v>103.93</v>
      </c>
    </row>
    <row r="66" spans="1:6" ht="20.100000000000001" customHeight="1" x14ac:dyDescent="0.25">
      <c r="A66" s="192" t="s">
        <v>87</v>
      </c>
      <c r="B66" s="177">
        <v>114.25</v>
      </c>
      <c r="C66" s="175">
        <v>102.69</v>
      </c>
      <c r="D66" s="175">
        <v>105.44</v>
      </c>
      <c r="E66" s="175">
        <v>104.22</v>
      </c>
      <c r="F66" s="176">
        <v>103.86</v>
      </c>
    </row>
    <row r="67" spans="1:6" ht="20.100000000000001" customHeight="1" x14ac:dyDescent="0.25">
      <c r="A67" s="195" t="s">
        <v>108</v>
      </c>
      <c r="B67" s="179"/>
      <c r="C67" s="180"/>
      <c r="D67" s="180"/>
      <c r="E67" s="180"/>
      <c r="F67" s="196"/>
    </row>
    <row r="68" spans="1:6" ht="20.100000000000001" customHeight="1" x14ac:dyDescent="0.25">
      <c r="A68" s="159" t="s">
        <v>86</v>
      </c>
      <c r="B68" s="160">
        <v>109.75</v>
      </c>
      <c r="C68" s="161">
        <v>106.8</v>
      </c>
      <c r="D68" s="161">
        <v>105.67</v>
      </c>
      <c r="E68" s="161">
        <v>104.54</v>
      </c>
      <c r="F68" s="162">
        <v>104.39</v>
      </c>
    </row>
    <row r="69" spans="1:6" ht="20.100000000000001" customHeight="1" x14ac:dyDescent="0.25">
      <c r="A69" s="163" t="s">
        <v>87</v>
      </c>
      <c r="B69" s="177">
        <v>109.56</v>
      </c>
      <c r="C69" s="175">
        <v>106.81</v>
      </c>
      <c r="D69" s="175">
        <v>106.3</v>
      </c>
      <c r="E69" s="175">
        <v>104.89</v>
      </c>
      <c r="F69" s="176">
        <v>104.56</v>
      </c>
    </row>
    <row r="70" spans="1:6" ht="20.100000000000001" customHeight="1" x14ac:dyDescent="0.25">
      <c r="A70" s="182" t="s">
        <v>109</v>
      </c>
      <c r="B70" s="169"/>
      <c r="C70" s="170"/>
      <c r="D70" s="170"/>
      <c r="E70" s="170"/>
      <c r="F70" s="183"/>
    </row>
    <row r="71" spans="1:6" ht="20.100000000000001" customHeight="1" x14ac:dyDescent="0.25">
      <c r="A71" s="159" t="s">
        <v>86</v>
      </c>
      <c r="B71" s="160">
        <v>109.41</v>
      </c>
      <c r="C71" s="161">
        <v>105.63</v>
      </c>
      <c r="D71" s="161">
        <v>103.98</v>
      </c>
      <c r="E71" s="197">
        <v>103.95</v>
      </c>
      <c r="F71" s="198">
        <v>103.89</v>
      </c>
    </row>
    <row r="72" spans="1:6" ht="31.5" x14ac:dyDescent="0.25">
      <c r="A72" s="168" t="s">
        <v>110</v>
      </c>
      <c r="B72" s="199"/>
      <c r="C72" s="200"/>
      <c r="D72" s="200"/>
      <c r="E72" s="200"/>
      <c r="F72" s="171"/>
    </row>
    <row r="73" spans="1:6" ht="20.100000000000001" customHeight="1" x14ac:dyDescent="0.25">
      <c r="A73" s="159" t="s">
        <v>86</v>
      </c>
      <c r="B73" s="160">
        <v>108.22</v>
      </c>
      <c r="C73" s="161">
        <v>115.27</v>
      </c>
      <c r="D73" s="161">
        <v>113.2</v>
      </c>
      <c r="E73" s="161">
        <v>109.15</v>
      </c>
      <c r="F73" s="162">
        <v>104.946</v>
      </c>
    </row>
    <row r="74" spans="1:6" ht="20.100000000000001" customHeight="1" x14ac:dyDescent="0.25">
      <c r="A74" s="163" t="s">
        <v>87</v>
      </c>
      <c r="B74" s="177">
        <v>105.947</v>
      </c>
      <c r="C74" s="175">
        <v>114.37</v>
      </c>
      <c r="D74" s="175">
        <v>113.16</v>
      </c>
      <c r="E74" s="175">
        <v>109.06</v>
      </c>
      <c r="F74" s="176">
        <v>104.93</v>
      </c>
    </row>
    <row r="75" spans="1:6" ht="31.5" x14ac:dyDescent="0.25">
      <c r="A75" s="168" t="s">
        <v>111</v>
      </c>
      <c r="B75" s="199"/>
      <c r="C75" s="200"/>
      <c r="D75" s="200"/>
      <c r="E75" s="200"/>
      <c r="F75" s="171"/>
    </row>
    <row r="76" spans="1:6" ht="20.100000000000001" customHeight="1" x14ac:dyDescent="0.25">
      <c r="A76" s="159" t="s">
        <v>86</v>
      </c>
      <c r="B76" s="160">
        <v>108.02</v>
      </c>
      <c r="C76" s="161">
        <v>106.27</v>
      </c>
      <c r="D76" s="161">
        <v>104.36</v>
      </c>
      <c r="E76" s="161">
        <v>104.09</v>
      </c>
      <c r="F76" s="162">
        <v>104.04</v>
      </c>
    </row>
    <row r="77" spans="1:6" ht="20.100000000000001" customHeight="1" thickBot="1" x14ac:dyDescent="0.3">
      <c r="A77" s="184" t="s">
        <v>87</v>
      </c>
      <c r="B77" s="185">
        <v>104.89</v>
      </c>
      <c r="C77" s="186">
        <v>104.79</v>
      </c>
      <c r="D77" s="186">
        <v>104.2</v>
      </c>
      <c r="E77" s="186">
        <v>104.148</v>
      </c>
      <c r="F77" s="187">
        <v>104.04</v>
      </c>
    </row>
    <row r="78" spans="1:6" ht="20.100000000000001" customHeight="1" x14ac:dyDescent="0.25">
      <c r="A78" s="155" t="s">
        <v>112</v>
      </c>
      <c r="B78" s="201"/>
      <c r="C78" s="202"/>
      <c r="D78" s="202"/>
      <c r="E78" s="202"/>
      <c r="F78" s="203"/>
    </row>
    <row r="79" spans="1:6" ht="20.100000000000001" customHeight="1" x14ac:dyDescent="0.25">
      <c r="A79" s="159" t="s">
        <v>86</v>
      </c>
      <c r="B79" s="160">
        <v>108.28</v>
      </c>
      <c r="C79" s="161">
        <v>109.53</v>
      </c>
      <c r="D79" s="161">
        <v>104.92</v>
      </c>
      <c r="E79" s="161">
        <v>104.44</v>
      </c>
      <c r="F79" s="162">
        <v>104.44</v>
      </c>
    </row>
    <row r="80" spans="1:6" ht="20.100000000000001" customHeight="1" x14ac:dyDescent="0.25">
      <c r="A80" s="168" t="s">
        <v>113</v>
      </c>
      <c r="B80" s="199"/>
      <c r="C80" s="200"/>
      <c r="D80" s="200"/>
      <c r="E80" s="200"/>
      <c r="F80" s="171"/>
    </row>
    <row r="81" spans="1:6" ht="20.100000000000001" customHeight="1" x14ac:dyDescent="0.25">
      <c r="A81" s="159" t="s">
        <v>86</v>
      </c>
      <c r="B81" s="204">
        <v>106.9</v>
      </c>
      <c r="C81" s="161">
        <v>110.96</v>
      </c>
      <c r="D81" s="161">
        <v>104.58</v>
      </c>
      <c r="E81" s="161">
        <v>104.48</v>
      </c>
      <c r="F81" s="162">
        <v>104.33</v>
      </c>
    </row>
    <row r="82" spans="1:6" ht="20.100000000000001" customHeight="1" x14ac:dyDescent="0.25">
      <c r="A82" s="168" t="s">
        <v>114</v>
      </c>
      <c r="B82" s="199"/>
      <c r="C82" s="200"/>
      <c r="D82" s="200"/>
      <c r="E82" s="200"/>
      <c r="F82" s="171"/>
    </row>
    <row r="83" spans="1:6" ht="20.100000000000001" customHeight="1" x14ac:dyDescent="0.25">
      <c r="A83" s="159" t="s">
        <v>86</v>
      </c>
      <c r="B83" s="204">
        <v>109.89</v>
      </c>
      <c r="C83" s="161">
        <v>107.72</v>
      </c>
      <c r="D83" s="161">
        <v>105.36</v>
      </c>
      <c r="E83" s="161">
        <v>104.4</v>
      </c>
      <c r="F83" s="162">
        <v>104.58</v>
      </c>
    </row>
    <row r="84" spans="1:6" ht="20.100000000000001" customHeight="1" x14ac:dyDescent="0.25">
      <c r="A84" s="205" t="s">
        <v>115</v>
      </c>
      <c r="B84" s="177">
        <v>109.33</v>
      </c>
      <c r="C84" s="175">
        <v>107.79</v>
      </c>
      <c r="D84" s="175">
        <v>105.08</v>
      </c>
      <c r="E84" s="175">
        <v>104.4</v>
      </c>
      <c r="F84" s="176">
        <v>104.48</v>
      </c>
    </row>
    <row r="85" spans="1:6" ht="16.5" customHeight="1" x14ac:dyDescent="0.25">
      <c r="A85" s="168" t="s">
        <v>116</v>
      </c>
      <c r="B85" s="206"/>
      <c r="C85" s="207"/>
      <c r="D85" s="207"/>
      <c r="E85" s="207"/>
      <c r="F85" s="208"/>
    </row>
    <row r="86" spans="1:6" ht="20.100000000000001" customHeight="1" x14ac:dyDescent="0.25">
      <c r="A86" s="159" t="s">
        <v>117</v>
      </c>
      <c r="B86" s="204">
        <v>113.86</v>
      </c>
      <c r="C86" s="161">
        <v>108.8</v>
      </c>
      <c r="D86" s="161">
        <v>105.54</v>
      </c>
      <c r="E86" s="161">
        <v>105.2</v>
      </c>
      <c r="F86" s="162">
        <v>104.65</v>
      </c>
    </row>
    <row r="87" spans="1:6" ht="20.100000000000001" customHeight="1" x14ac:dyDescent="0.25">
      <c r="A87" s="209" t="s">
        <v>118</v>
      </c>
      <c r="B87" s="164">
        <v>113.46</v>
      </c>
      <c r="C87" s="165">
        <v>104.55</v>
      </c>
      <c r="D87" s="165">
        <v>105.69</v>
      </c>
      <c r="E87" s="165">
        <v>104.87</v>
      </c>
      <c r="F87" s="166">
        <v>104.79</v>
      </c>
    </row>
    <row r="88" spans="1:6" ht="20.100000000000001" customHeight="1" x14ac:dyDescent="0.25">
      <c r="A88" s="210" t="s">
        <v>119</v>
      </c>
      <c r="B88" s="177">
        <v>121.23</v>
      </c>
      <c r="C88" s="175">
        <v>109.28</v>
      </c>
      <c r="D88" s="175">
        <v>107.04</v>
      </c>
      <c r="E88" s="175">
        <v>105.44</v>
      </c>
      <c r="F88" s="176">
        <v>105.38</v>
      </c>
    </row>
    <row r="89" spans="1:6" ht="20.100000000000001" customHeight="1" x14ac:dyDescent="0.25">
      <c r="A89" s="178" t="s">
        <v>120</v>
      </c>
      <c r="B89" s="211"/>
      <c r="C89" s="212"/>
      <c r="D89" s="212"/>
      <c r="E89" s="212"/>
      <c r="F89" s="213"/>
    </row>
    <row r="90" spans="1:6" ht="20.100000000000001" customHeight="1" x14ac:dyDescent="0.25">
      <c r="A90" s="159" t="s">
        <v>86</v>
      </c>
      <c r="B90" s="160">
        <v>108.14</v>
      </c>
      <c r="C90" s="161">
        <v>107.4</v>
      </c>
      <c r="D90" s="161">
        <v>105.5</v>
      </c>
      <c r="E90" s="161">
        <v>104.1</v>
      </c>
      <c r="F90" s="162">
        <v>104.1</v>
      </c>
    </row>
    <row r="91" spans="1:6" ht="20.100000000000001" customHeight="1" x14ac:dyDescent="0.25">
      <c r="A91" s="192" t="s">
        <v>121</v>
      </c>
      <c r="B91" s="177">
        <v>108.22</v>
      </c>
      <c r="C91" s="175"/>
      <c r="D91" s="175"/>
      <c r="E91" s="175"/>
      <c r="F91" s="176"/>
    </row>
    <row r="92" spans="1:6" ht="20.100000000000001" customHeight="1" x14ac:dyDescent="0.25">
      <c r="A92" s="178" t="s">
        <v>122</v>
      </c>
      <c r="B92" s="211"/>
      <c r="C92" s="212"/>
      <c r="D92" s="212"/>
      <c r="E92" s="212"/>
      <c r="F92" s="213"/>
    </row>
    <row r="93" spans="1:6" ht="20.100000000000001" customHeight="1" x14ac:dyDescent="0.25">
      <c r="A93" s="159" t="s">
        <v>86</v>
      </c>
      <c r="B93" s="204">
        <v>107.81</v>
      </c>
      <c r="C93" s="220">
        <v>108.06</v>
      </c>
      <c r="D93" s="161">
        <v>105.41</v>
      </c>
      <c r="E93" s="161">
        <v>104.54</v>
      </c>
      <c r="F93" s="162">
        <v>104.28</v>
      </c>
    </row>
    <row r="94" spans="1:6" ht="20.100000000000001" customHeight="1" x14ac:dyDescent="0.25">
      <c r="A94" s="192" t="s">
        <v>87</v>
      </c>
      <c r="B94" s="177">
        <v>107.87</v>
      </c>
      <c r="C94" s="175">
        <v>107.87</v>
      </c>
      <c r="D94" s="175">
        <v>105.42</v>
      </c>
      <c r="E94" s="175">
        <v>104.44</v>
      </c>
      <c r="F94" s="176">
        <v>104.28</v>
      </c>
    </row>
    <row r="95" spans="1:6" ht="20.100000000000001" customHeight="1" x14ac:dyDescent="0.25">
      <c r="A95" s="168" t="s">
        <v>123</v>
      </c>
      <c r="B95" s="206"/>
      <c r="C95" s="207"/>
      <c r="D95" s="207"/>
      <c r="E95" s="207"/>
      <c r="F95" s="208"/>
    </row>
    <row r="96" spans="1:6" ht="20.100000000000001" customHeight="1" x14ac:dyDescent="0.25">
      <c r="A96" s="159" t="s">
        <v>124</v>
      </c>
      <c r="B96" s="160">
        <v>107.57</v>
      </c>
      <c r="C96" s="161">
        <v>108.01</v>
      </c>
      <c r="D96" s="161">
        <v>104.64</v>
      </c>
      <c r="E96" s="161">
        <v>104</v>
      </c>
      <c r="F96" s="162">
        <v>104</v>
      </c>
    </row>
    <row r="97" spans="1:6" ht="20.100000000000001" customHeight="1" x14ac:dyDescent="0.25">
      <c r="A97" s="163" t="s">
        <v>125</v>
      </c>
      <c r="B97" s="164">
        <v>107.85</v>
      </c>
      <c r="C97" s="165">
        <v>107.81</v>
      </c>
      <c r="D97" s="165">
        <v>104.42</v>
      </c>
      <c r="E97" s="165">
        <v>103.64</v>
      </c>
      <c r="F97" s="166">
        <v>103.74</v>
      </c>
    </row>
    <row r="98" spans="1:6" ht="20.100000000000001" customHeight="1" x14ac:dyDescent="0.25">
      <c r="A98" s="159" t="s">
        <v>126</v>
      </c>
      <c r="B98" s="160">
        <v>110.24</v>
      </c>
      <c r="C98" s="161">
        <v>112.03</v>
      </c>
      <c r="D98" s="161">
        <v>106.94</v>
      </c>
      <c r="E98" s="161">
        <v>104.81</v>
      </c>
      <c r="F98" s="162">
        <v>104</v>
      </c>
    </row>
    <row r="99" spans="1:6" ht="20.100000000000001" customHeight="1" thickBot="1" x14ac:dyDescent="0.3">
      <c r="A99" s="184" t="s">
        <v>127</v>
      </c>
      <c r="B99" s="185">
        <v>109.97</v>
      </c>
      <c r="C99" s="186">
        <v>112.03</v>
      </c>
      <c r="D99" s="186">
        <v>106.94</v>
      </c>
      <c r="E99" s="186">
        <v>104.95</v>
      </c>
      <c r="F99" s="187">
        <v>104.61</v>
      </c>
    </row>
    <row r="100" spans="1:6" ht="15" customHeight="1" x14ac:dyDescent="0.25">
      <c r="A100" s="214" t="s">
        <v>128</v>
      </c>
      <c r="B100" s="215"/>
      <c r="C100" s="215"/>
      <c r="D100" s="215"/>
      <c r="E100" s="215"/>
      <c r="F100" s="215"/>
    </row>
    <row r="101" spans="1:6" ht="14.25" customHeight="1" x14ac:dyDescent="0.25">
      <c r="A101" s="216" t="s">
        <v>129</v>
      </c>
      <c r="B101" s="217"/>
      <c r="C101" s="217"/>
      <c r="D101" s="217"/>
      <c r="E101" s="217"/>
      <c r="F101" s="217"/>
    </row>
    <row r="102" spans="1:6" ht="27" customHeight="1" x14ac:dyDescent="0.25">
      <c r="A102" s="307" t="s">
        <v>130</v>
      </c>
      <c r="B102" s="308"/>
      <c r="C102" s="308"/>
      <c r="D102" s="308"/>
      <c r="E102" s="308"/>
      <c r="F102" s="308"/>
    </row>
    <row r="103" spans="1:6" ht="15.75" x14ac:dyDescent="0.25">
      <c r="A103" s="214" t="s">
        <v>131</v>
      </c>
      <c r="B103" s="218"/>
      <c r="C103" s="218"/>
      <c r="D103" s="218"/>
      <c r="E103" s="218"/>
      <c r="F103" s="218"/>
    </row>
    <row r="104" spans="1:6" ht="15.75" x14ac:dyDescent="0.25">
      <c r="A104" s="214" t="s">
        <v>132</v>
      </c>
      <c r="B104" s="218"/>
      <c r="C104" s="218"/>
      <c r="D104" s="218"/>
      <c r="E104" s="218"/>
      <c r="F104" s="218"/>
    </row>
    <row r="105" spans="1:6" ht="15.75" x14ac:dyDescent="0.25">
      <c r="A105" s="214" t="s">
        <v>133</v>
      </c>
      <c r="B105" s="219"/>
      <c r="C105" s="219"/>
      <c r="D105" s="219"/>
      <c r="E105" s="219"/>
      <c r="F105" s="219"/>
    </row>
    <row r="106" spans="1:6" ht="15" customHeight="1" x14ac:dyDescent="0.25">
      <c r="A106" s="214" t="s">
        <v>134</v>
      </c>
      <c r="B106" s="217"/>
      <c r="C106" s="217"/>
      <c r="D106" s="217"/>
      <c r="E106" s="217"/>
      <c r="F106" s="217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273" t="s">
        <v>21</v>
      </c>
      <c r="E2" s="274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275">
        <f>404.352+9.256</f>
        <v>413.60799999999995</v>
      </c>
      <c r="E3" s="276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269">
        <f>676.624</f>
        <v>676.62400000000002</v>
      </c>
      <c r="E4" s="270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269">
        <v>295.15199999999999</v>
      </c>
      <c r="E5" s="270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269">
        <v>284.85599999999999</v>
      </c>
      <c r="E6" s="270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269">
        <v>103.27200000000001</v>
      </c>
      <c r="E7" s="270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269">
        <v>66.872</v>
      </c>
      <c r="E8" s="270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269">
        <v>233.27199999999999</v>
      </c>
      <c r="E9" s="270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271">
        <v>4.3680000000000003</v>
      </c>
      <c r="E10" s="272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260" t="s">
        <v>31</v>
      </c>
      <c r="E11" s="261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262" t="s">
        <v>30</v>
      </c>
      <c r="E12" s="263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264">
        <f>47.6596*100</f>
        <v>4765.96</v>
      </c>
      <c r="E13" s="265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7:E7"/>
    <mergeCell ref="D8:E8"/>
    <mergeCell ref="D5:E5"/>
    <mergeCell ref="D2:E2"/>
    <mergeCell ref="D3:E3"/>
    <mergeCell ref="D4:E4"/>
    <mergeCell ref="D6:E6"/>
    <mergeCell ref="D9:E9"/>
    <mergeCell ref="D10:E10"/>
    <mergeCell ref="D11:E11"/>
    <mergeCell ref="D12:E12"/>
    <mergeCell ref="D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!расчет по разделам (3)</vt:lpstr>
      <vt:lpstr>!расчет (2 сценария)</vt:lpstr>
      <vt:lpstr>без настила</vt:lpstr>
      <vt:lpstr>!расчет по разделам</vt:lpstr>
      <vt:lpstr>+ЗУ+дефлятор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Ivanov Andrey</cp:lastModifiedBy>
  <dcterms:created xsi:type="dcterms:W3CDTF">2025-10-05T16:42:12Z</dcterms:created>
  <dcterms:modified xsi:type="dcterms:W3CDTF">2025-10-09T06:57:32Z</dcterms:modified>
</cp:coreProperties>
</file>