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7F5AF587-5B32-4FC7-894C-287E6E9D52AF}" xr6:coauthVersionLast="47" xr6:coauthVersionMax="47" xr10:uidLastSave="{00000000-0000-0000-0000-000000000000}"/>
  <bookViews>
    <workbookView xWindow="-120" yWindow="-120" windowWidth="51840" windowHeight="21120" tabRatio="733" firstSheet="1" activeTab="2" xr2:uid="{FFA86EE9-2D57-4644-A65B-22E051DF5F38}"/>
  </bookViews>
  <sheets>
    <sheet name="!расчет по разделам (3)" sheetId="6" state="hidden" r:id="rId1"/>
    <sheet name="свод-компенс без НДС " sheetId="17" r:id="rId2"/>
    <sheet name="коммерческий расчёт" sheetId="18" r:id="rId3"/>
    <sheet name="свод-компенс с НДС" sheetId="16" state="hidden" r:id="rId4"/>
    <sheet name="свод " sheetId="14" r:id="rId5"/>
    <sheet name="свод по ст" sheetId="13" state="hidden" r:id="rId6"/>
    <sheet name="!расчет (2 сценария)" sheetId="12" state="hidden" r:id="rId7"/>
    <sheet name="без настила" sheetId="1" state="hidden" r:id="rId8"/>
    <sheet name="+ЗУ+дефлятор" sheetId="8" state="hidden" r:id="rId9"/>
    <sheet name="!расчет по разделам" sheetId="4" state="hidden" r:id="rId10"/>
    <sheet name="+ЗУ + коэф.инфляции" sheetId="11" state="hidden" r:id="rId11"/>
    <sheet name="расчет дефлятора 2кв_1кв 26г." sheetId="7" r:id="rId12"/>
    <sheet name="Дефл год Базовый Сайт" sheetId="10" state="hidden" r:id="rId13"/>
    <sheet name="расчет по разделам" sheetId="3" state="hidden" r:id="rId14"/>
    <sheet name="с настилом" sheetId="2" state="hidden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2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2" hidden="1">'Дефл год Базовый Сайт'!$A$5:$A$106</definedName>
    <definedName name="Z_0ED5301B_3B9B_4028_A009_D402EF13F98D_.wvu.FilterData" localSheetId="12" hidden="1">'Дефл год Базовый Сайт'!$A$5:$A$100</definedName>
    <definedName name="Z_13B89219_28C6_4883_87AC_E0D1795AD51D_.wvu.FilterData" localSheetId="12" hidden="1">'Дефл год Базовый Сайт'!$A$5:$A$100</definedName>
    <definedName name="Z_268023C0_9BC0_40EB_A535_38BF110897FA_.wvu.FilterData" localSheetId="12" hidden="1">'Дефл год Базовый Сайт'!$A$5:$A$100</definedName>
    <definedName name="Z_3DEEBB3D_1270_47DE_834F_86032DB959D9_.wvu.FilterData" localSheetId="12" hidden="1">'Дефл год Базовый Сайт'!$A$5:$A$100</definedName>
    <definedName name="Z_4E2D07F0_76DB_4630_BC1D_F4D5A502B378_.wvu.FilterData" localSheetId="12" hidden="1">'Дефл год Базовый Сайт'!$A$5:$A$100</definedName>
    <definedName name="Z_572ABAB9_340C_418A_A9AD_B19F14213DA2_.wvu.FilterData" localSheetId="12" hidden="1">'Дефл год Базовый Сайт'!$A$5:$A$100</definedName>
    <definedName name="Z_ABD7BA35_04E1_43E0_AC75_033C3CA6FF3C_.wvu.Cols" localSheetId="12" hidden="1">'Дефл год Базовый Сайт'!#REF!,'Дефл год Базовый Сайт'!#REF!</definedName>
    <definedName name="Z_ABD7BA35_04E1_43E0_AC75_033C3CA6FF3C_.wvu.FilterData" localSheetId="12" hidden="1">'Дефл год Базовый Сайт'!$A$5:$A$100</definedName>
    <definedName name="Z_ABD7BA35_04E1_43E0_AC75_033C3CA6FF3C_.wvu.PrintArea" localSheetId="12" hidden="1">'Дефл год Базовый Сайт'!$A$5:$F$100</definedName>
    <definedName name="Z_C73CA27E_77B2_422A_A773_B235904BACA3_.wvu.Cols" localSheetId="12" hidden="1">'Дефл год Базовый Сайт'!#REF!,'Дефл год Базовый Сайт'!#REF!</definedName>
    <definedName name="Z_C73CA27E_77B2_422A_A773_B235904BACA3_.wvu.FilterData" localSheetId="12" hidden="1">'Дефл год Базовый Сайт'!$A$5:$A$100</definedName>
    <definedName name="Z_C73CA27E_77B2_422A_A773_B235904BACA3_.wvu.PrintArea" localSheetId="12" hidden="1">'Дефл год Базовый Сайт'!$A$5:$F$100</definedName>
    <definedName name="Z_D49940EF_113F_4789_B6E7_8353B816853A_.wvu.Cols" localSheetId="12" hidden="1">'Дефл год Базовый Сайт'!#REF!,'Дефл год Базовый Сайт'!#REF!</definedName>
    <definedName name="Z_D49940EF_113F_4789_B6E7_8353B816853A_.wvu.FilterData" localSheetId="12" hidden="1">'Дефл год Базовый Сайт'!$A$5:$A$100</definedName>
    <definedName name="Z_D49940EF_113F_4789_B6E7_8353B816853A_.wvu.PrintArea" localSheetId="12" hidden="1">'Дефл год Базовый Сайт'!$A$5:$F$100</definedName>
    <definedName name="Z_DCC68DFC_E4AF_484C_822A_D560C6D52926_.wvu.FilterData" localSheetId="12" hidden="1">'Дефл год Базовый Сайт'!$A$5:$A$100</definedName>
    <definedName name="Z_E55F6B6A_DBD3_4117_B149_A082390B8D13_.wvu.Cols" localSheetId="12" hidden="1">'Дефл год Базовый Сайт'!#REF!,'Дефл год Базовый Сайт'!#REF!</definedName>
    <definedName name="Z_E55F6B6A_DBD3_4117_B149_A082390B8D13_.wvu.FilterData" localSheetId="12" hidden="1">'Дефл год Базовый Сайт'!$A$5:$A$100</definedName>
    <definedName name="Z_E55F6B6A_DBD3_4117_B149_A082390B8D13_.wvu.PrintArea" localSheetId="12" hidden="1">'Дефл год Базовый Сайт'!$A$5:$F$100</definedName>
    <definedName name="Z_E9547856_3045_49CA_B3C7_618D2DA21087_.wvu.FilterData" localSheetId="12" hidden="1">'Дефл год Базовый Сайт'!$A$5:$A$100</definedName>
    <definedName name="Z_E9D4ABE5_580B_4EA1_8057_CB16EE65A5F9_.wvu.FilterData" localSheetId="12" hidden="1">'Дефл год Базовый Сайт'!$A$5:$A$100</definedName>
    <definedName name="Z_F49A5623_9435_4BAA_98DE_EAAB0061DE16_.wvu.FilterData" localSheetId="12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2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2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18" l="1"/>
  <c r="G31" i="18"/>
  <c r="U26" i="17"/>
  <c r="M26" i="17"/>
  <c r="G39" i="18"/>
  <c r="G37" i="18"/>
  <c r="G23" i="18" l="1"/>
  <c r="G24" i="18" s="1"/>
  <c r="G25" i="18" s="1"/>
  <c r="M16" i="17"/>
  <c r="M19" i="17"/>
  <c r="M17" i="17"/>
  <c r="G14" i="18"/>
  <c r="G18" i="18" s="1"/>
  <c r="G7" i="18"/>
  <c r="G8" i="18" s="1"/>
  <c r="G20" i="18" s="1"/>
  <c r="U20" i="17"/>
  <c r="W13" i="17"/>
  <c r="G27" i="18" l="1"/>
  <c r="G19" i="18"/>
  <c r="G28" i="18" l="1"/>
  <c r="G29" i="18" s="1"/>
  <c r="M15" i="17" l="1"/>
  <c r="F27" i="14"/>
  <c r="F20" i="17"/>
  <c r="F21" i="17" s="1"/>
  <c r="D12" i="17"/>
  <c r="F4" i="17"/>
  <c r="F13" i="17" s="1"/>
  <c r="F16" i="17" s="1"/>
  <c r="F17" i="17" s="1"/>
  <c r="D4" i="17"/>
  <c r="D3" i="17"/>
  <c r="D13" i="17" s="1"/>
  <c r="F27" i="17" l="1"/>
  <c r="F18" i="17"/>
  <c r="U15" i="17"/>
  <c r="U21" i="17"/>
  <c r="U28" i="17" s="1"/>
  <c r="W28" i="17" s="1"/>
  <c r="W29" i="17" s="1"/>
  <c r="M21" i="17"/>
  <c r="M22" i="17" s="1"/>
  <c r="K12" i="17"/>
  <c r="U13" i="17"/>
  <c r="M4" i="17"/>
  <c r="M13" i="17" s="1"/>
  <c r="K4" i="17"/>
  <c r="K3" i="17"/>
  <c r="N4" i="16"/>
  <c r="L4" i="16"/>
  <c r="L3" i="16"/>
  <c r="U16" i="17" l="1"/>
  <c r="K13" i="17"/>
  <c r="M28" i="17" s="1"/>
  <c r="U17" i="17" l="1"/>
  <c r="U18" i="17" s="1"/>
  <c r="U19" i="17" s="1"/>
  <c r="M18" i="17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U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<sst xmlns="http://schemas.openxmlformats.org/spreadsheetml/2006/main" count="1438" uniqueCount="239">
  <si>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</si>
  <si>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</si>
  <si>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</si>
  <si>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</si>
  <si>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</si>
  <si>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</si>
  <si>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</si>
  <si>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</si>
  <si>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</si>
  <si>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</si>
  <si>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</si>
  <si>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</si>
  <si>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</si>
  <si>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</si>
  <si>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</si>
  <si>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</si>
  <si>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</si>
  <si>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</si>
  <si>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</si>
  <si>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</si>
  <si>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</si>
  <si>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</si>
  <si>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</si>
  <si>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</si>
  <si>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</si>
  <si>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</si>
  <si>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</si>
  <si>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</si>
  <si>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</si>
  <si>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</si>
  <si>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</si>
  <si>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</si>
  <si>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</si>
  <si>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</si>
  <si>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</si>
  <si>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</si>
  <si>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</si>
  <si>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</si>
  <si>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</si>
  <si>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</si>
  <si>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</si>
  <si>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</si>
  <si>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</si>
  <si>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</si>
  <si>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</si>
  <si>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</si>
  <si>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</si>
  <si>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</si>
  <si>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</si>
  <si>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</si>
  <si>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</si>
  <si>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</si>
  <si>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</si>
  <si>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</si>
  <si>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</si>
  <si>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</si>
  <si>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</si>
  <si>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</si>
  <si>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</si>
  <si>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</si>
  <si>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</si>
  <si>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</si>
  <si>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</si>
  <si>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</si>
  <si>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</si>
  <si>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</si>
  <si>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</si>
  <si>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</si>
  <si>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</si>
  <si>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</si>
  <si>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</si>
  <si>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</si>
  <si>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</si>
  <si>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</si>
  <si>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</si>
  <si>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</si>
  <si>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</si>
  <si>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</si>
  <si>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</si>
  <si>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</si>
  <si>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</si>
  <si>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</si>
  <si>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</si>
  <si>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</si>
  <si>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</si>
  <si>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</si>
  <si>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</si>
  <si>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</si>
  <si>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</si>
  <si>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</si>
  <si>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</si>
  <si>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</si>
  <si>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</si>
  <si>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</si>
  <si>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</si>
  <si>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</si>
  <si>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</si>
  <si>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</si>
  <si>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</si>
  <si>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</si>
  <si>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</si>
  <si>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</si>
  <si>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</si>
  <si>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</si>
  <si>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</si>
  <si>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</si>
  <si>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</si>
  <si>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</si>
  <si>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</si>
  <si>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</si>
  <si>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</si>
  <si>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</si>
  <si>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</si>
  <si>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</si>
  <si>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</si>
  <si>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</si>
  <si>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</si>
  <si>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</si>
  <si>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</si>
  <si>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</si>
  <si>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</si>
  <si>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</si>
  <si>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</si>
  <si>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</si>
  <si>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</si>
  <si>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</si>
  <si>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</si>
  <si>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</si>
  <si>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</si>
  <si>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</si>
  <si>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</si>
  <si>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</si>
  <si>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</si>
  <si>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</si>
  <si>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</si>
  <si>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</si>
  <si>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</si>
  <si>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</si>
  <si>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</si>
  <si>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</si>
  <si>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</si>
  <si>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</si>
  <si>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</si>
  <si>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</si>
  <si>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</si>
  <si>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</si>
  <si>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</si>
  <si>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</si>
  <si>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</si>
  <si>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</si>
  <si>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</si>
  <si>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</si>
  <si>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</si>
  <si>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</si>
  <si>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</si>
  <si>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</si>
  <si>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</si>
  <si>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</si>
  <si>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</si>
  <si>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</si>
  <si>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</si>
  <si>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</si>
  <si>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</si>
  <si>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</si>
  <si>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</si>
  <si>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</si>
  <si>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</si>
  <si>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</si>
  <si>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</si>
  <si>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</si>
  <si>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</si>
  <si>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</si>
  <si>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</si>
  <si>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</si>
  <si>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</si>
  <si>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</si>
  <si>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</si>
  <si>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</si>
  <si>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</si>
  <si>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</si>
  <si>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</si>
  <si>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</si>
  <si>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</si>
  <si>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</si>
  <si>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</si>
  <si>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</si>
  <si>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</si>
  <si>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</si>
  <si>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</si>
  <si>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</si>
  <si>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</si>
  <si>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</si>
  <si>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</si>
  <si>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</si>
  <si>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</si>
  <si>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</si>
  <si>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</si>
  <si>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</si>
  <si>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</si>
  <si>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</si>
  <si>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</si>
  <si>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</si>
  <si>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</si>
  <si>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</si>
  <si>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</si>
  <si>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</si>
  <si>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</si>
  <si>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Сварка, тн (с непредвиденными и НДС)</t>
  </si>
  <si>
    <t>УЗК, м. шва (с непредвиденными и НДС)</t>
  </si>
  <si>
    <t>Доп.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</si>
  <si>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новым</t>
    </r>
  </si>
  <si>
    <t>1.Смета к Договору  по КМ (подписано)</t>
  </si>
  <si>
    <t>1.Смета к Договору по КМ (подписано), +ЗУ 2,1%,  + компенсация простоя, +3% непредвиденных, + 3,3% инфляции</t>
  </si>
  <si>
    <t>3.Смета с ЕДИНОЙ расценкой  (Монтаж пролетных строений галерей)  по КМ (подписано), давальческий одной строчкой, +ЗУ 2,1%,  + компенсация простоя, +3% непредвиденных, + 3,3% инфляции</t>
  </si>
  <si>
    <t>Затраты на содержание строительной площадки и персонала (2 220 749,32 / 20% НДС руб.*4мес)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</si>
  <si>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</si>
  <si>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</si>
  <si>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</si>
  <si>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Наименование работ</t>
  </si>
  <si>
    <t>Стоимость работ без НДС 20%</t>
  </si>
  <si>
    <t>Общий вес металлоконструкций по КМ</t>
  </si>
  <si>
    <t>Монтаж профлиста (5 270м2+6 567,57м2) 11 837,52м2</t>
  </si>
  <si>
    <t>Подкраска сварных мест 4765,96 м2</t>
  </si>
  <si>
    <t>Стоимость монтажа 1 т. с профлистом и покраской</t>
  </si>
  <si>
    <t>Стоимость монтажа 1 т. и покраска</t>
  </si>
  <si>
    <t>Итого с зимним и содержанием</t>
  </si>
  <si>
    <t>Непредвиденные 3%</t>
  </si>
  <si>
    <t>Итого с зимними, непредвиденными и содержанием</t>
  </si>
  <si>
    <t>Общий тоннаж металла с профлистом</t>
  </si>
  <si>
    <t xml:space="preserve">Коммерческое предложение </t>
  </si>
  <si>
    <t>Объемы работ по ТЗ и смете</t>
  </si>
  <si>
    <t>Расчёт обновленной стоимости работ</t>
  </si>
  <si>
    <t>Итого с НДС 20%</t>
  </si>
  <si>
    <t>Стоимость работ за единицу согласно КП</t>
  </si>
  <si>
    <t>Дополнительные работы по укрупненной сборке</t>
  </si>
  <si>
    <t>Зимнее удорожание работ 2,1 без учета ухода за материалом</t>
  </si>
  <si>
    <t>Наварка надколонников 121т с НДС 20%</t>
  </si>
  <si>
    <t>УЗК сварных швов 53,09 п.м. с НДС 20%</t>
  </si>
  <si>
    <t>Итого новая сумма договора 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</si>
</sst>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67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  <xf numFmtId="4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4" fontId="63" fillId="0" borderId="0" xfId="0" applyNumberFormat="1" applyFont="1" applyFill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8" xfId="0" applyBorder="1"/>
    <xf numFmtId="4" fontId="0" fillId="0" borderId="36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4" fontId="0" fillId="0" borderId="36" xfId="0" applyNumberFormat="1" applyBorder="1"/>
    <xf numFmtId="0" fontId="0" fillId="0" borderId="7" xfId="0" applyBorder="1"/>
    <xf numFmtId="4" fontId="0" fillId="0" borderId="8" xfId="0" applyNumberFormat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9" borderId="69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52" t="s">
        <v>21</v>
      </c>
      <c r="M2" s="353"/>
      <c r="N2" s="57" t="s">
        <v>32</v>
      </c>
      <c r="Q2" s="54" t="s">
        <v>37</v>
      </c>
      <c r="R2" s="55" t="s">
        <v>38</v>
      </c>
      <c r="S2" s="56" t="s">
        <v>18</v>
      </c>
      <c r="T2" s="352" t="s">
        <v>21</v>
      </c>
      <c r="U2" s="353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36"/>
      <c r="I3" s="81">
        <v>1</v>
      </c>
      <c r="J3" s="356" t="s">
        <v>47</v>
      </c>
      <c r="K3" s="85" t="s">
        <v>19</v>
      </c>
      <c r="L3" s="354">
        <f>404.352+9.256</f>
        <v>413.60799999999995</v>
      </c>
      <c r="M3" s="355"/>
      <c r="N3" s="345">
        <v>164516389.53999999</v>
      </c>
      <c r="Q3" s="81">
        <v>1</v>
      </c>
      <c r="R3" s="356" t="s">
        <v>47</v>
      </c>
      <c r="S3" s="359" t="s">
        <v>19</v>
      </c>
      <c r="T3" s="362">
        <v>1893.4</v>
      </c>
      <c r="U3" s="363"/>
      <c r="V3" s="345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48">
        <f>676.624</f>
        <v>676.62400000000002</v>
      </c>
      <c r="E4" s="349"/>
      <c r="F4" s="89">
        <f>77526903.96-G4</f>
        <v>28449520.749999993</v>
      </c>
      <c r="G4" s="36">
        <v>49077383.210000001</v>
      </c>
      <c r="H4" s="36"/>
      <c r="I4" s="82">
        <v>2</v>
      </c>
      <c r="J4" s="357"/>
      <c r="K4" s="88" t="s">
        <v>19</v>
      </c>
      <c r="L4" s="348">
        <f>676.624</f>
        <v>676.62400000000002</v>
      </c>
      <c r="M4" s="349"/>
      <c r="N4" s="346"/>
      <c r="Q4" s="82">
        <v>2</v>
      </c>
      <c r="R4" s="357"/>
      <c r="S4" s="360"/>
      <c r="T4" s="364"/>
      <c r="U4" s="365"/>
      <c r="V4" s="346"/>
    </row>
    <row r="5" spans="1:22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36"/>
      <c r="I5" s="82">
        <v>3</v>
      </c>
      <c r="J5" s="357"/>
      <c r="K5" s="88" t="s">
        <v>19</v>
      </c>
      <c r="L5" s="348">
        <v>295.15199999999999</v>
      </c>
      <c r="M5" s="349"/>
      <c r="N5" s="346"/>
      <c r="Q5" s="82">
        <v>3</v>
      </c>
      <c r="R5" s="357"/>
      <c r="S5" s="360"/>
      <c r="T5" s="364"/>
      <c r="U5" s="365"/>
      <c r="V5" s="346"/>
    </row>
    <row r="6" spans="1:22" ht="30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36"/>
      <c r="I6" s="82">
        <v>4</v>
      </c>
      <c r="J6" s="357"/>
      <c r="K6" s="88" t="s">
        <v>19</v>
      </c>
      <c r="L6" s="348">
        <v>284.85599999999999</v>
      </c>
      <c r="M6" s="349"/>
      <c r="N6" s="346"/>
      <c r="Q6" s="82">
        <v>4</v>
      </c>
      <c r="R6" s="357"/>
      <c r="S6" s="360"/>
      <c r="T6" s="364"/>
      <c r="U6" s="365"/>
      <c r="V6" s="346"/>
    </row>
    <row r="7" spans="1:22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36"/>
      <c r="I7" s="82">
        <v>5</v>
      </c>
      <c r="J7" s="357"/>
      <c r="K7" s="88" t="s">
        <v>19</v>
      </c>
      <c r="L7" s="348">
        <v>103.27200000000001</v>
      </c>
      <c r="M7" s="349"/>
      <c r="N7" s="346"/>
      <c r="Q7" s="82">
        <v>5</v>
      </c>
      <c r="R7" s="357"/>
      <c r="S7" s="360"/>
      <c r="T7" s="364"/>
      <c r="U7" s="365"/>
      <c r="V7" s="346"/>
    </row>
    <row r="8" spans="1:22" ht="30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36"/>
      <c r="I8" s="82">
        <v>6</v>
      </c>
      <c r="J8" s="357"/>
      <c r="K8" s="88" t="s">
        <v>19</v>
      </c>
      <c r="L8" s="348">
        <v>66.872</v>
      </c>
      <c r="M8" s="349"/>
      <c r="N8" s="346"/>
      <c r="Q8" s="82">
        <v>6</v>
      </c>
      <c r="R8" s="357"/>
      <c r="S8" s="360"/>
      <c r="T8" s="364"/>
      <c r="U8" s="365"/>
      <c r="V8" s="346"/>
    </row>
    <row r="9" spans="1:22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36"/>
      <c r="I9" s="82">
        <v>7</v>
      </c>
      <c r="J9" s="357"/>
      <c r="K9" s="88" t="s">
        <v>19</v>
      </c>
      <c r="L9" s="348">
        <v>233.27199999999999</v>
      </c>
      <c r="M9" s="349"/>
      <c r="N9" s="346"/>
      <c r="Q9" s="82">
        <v>7</v>
      </c>
      <c r="R9" s="357"/>
      <c r="S9" s="360"/>
      <c r="T9" s="364"/>
      <c r="U9" s="365"/>
      <c r="V9" s="346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36"/>
      <c r="I10" s="83">
        <v>8</v>
      </c>
      <c r="J10" s="358"/>
      <c r="K10" s="91" t="s">
        <v>19</v>
      </c>
      <c r="L10" s="350">
        <v>4.3680000000000003</v>
      </c>
      <c r="M10" s="351"/>
      <c r="N10" s="347"/>
      <c r="Q10" s="83">
        <v>8</v>
      </c>
      <c r="R10" s="358"/>
      <c r="S10" s="361"/>
      <c r="T10" s="366"/>
      <c r="U10" s="367"/>
      <c r="V10" s="347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339" t="s">
        <v>31</v>
      </c>
      <c r="E12" s="34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39" t="s">
        <v>31</v>
      </c>
      <c r="M12" s="34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39" t="s">
        <v>31</v>
      </c>
      <c r="U12" s="340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341" t="s">
        <v>30</v>
      </c>
      <c r="E13" s="34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1" t="s">
        <v>30</v>
      </c>
      <c r="M13" s="34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1" t="s">
        <v>30</v>
      </c>
      <c r="U13" s="342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343">
        <f>47.6596*100</f>
        <v>4765.96</v>
      </c>
      <c r="E14" s="34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3">
        <f>47.6596*100</f>
        <v>4765.96</v>
      </c>
      <c r="M14" s="344"/>
      <c r="N14" s="73">
        <v>1105733.3899999999</v>
      </c>
      <c r="Q14" s="70">
        <v>11</v>
      </c>
      <c r="R14" s="71" t="s">
        <v>17</v>
      </c>
      <c r="S14" s="72" t="s">
        <v>20</v>
      </c>
      <c r="T14" s="343">
        <f>47.6596*100</f>
        <v>4765.96</v>
      </c>
      <c r="U14" s="344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52" t="s">
        <v>21</v>
      </c>
      <c r="L2" s="353"/>
      <c r="M2" s="57" t="s">
        <v>32</v>
      </c>
      <c r="O2" s="54" t="s">
        <v>58</v>
      </c>
      <c r="P2" s="55" t="s">
        <v>73</v>
      </c>
      <c r="Q2" s="56" t="s">
        <v>18</v>
      </c>
      <c r="R2" s="352" t="s">
        <v>21</v>
      </c>
      <c r="S2" s="353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81">
        <v>1</v>
      </c>
      <c r="I3" s="356" t="s">
        <v>47</v>
      </c>
      <c r="J3" s="85" t="s">
        <v>19</v>
      </c>
      <c r="K3" s="354">
        <f>404.352+9.256</f>
        <v>413.60799999999995</v>
      </c>
      <c r="L3" s="355"/>
      <c r="M3" s="345">
        <v>164516389.53999999</v>
      </c>
      <c r="O3" s="81">
        <v>1</v>
      </c>
      <c r="P3" s="356" t="s">
        <v>47</v>
      </c>
      <c r="Q3" s="359" t="s">
        <v>19</v>
      </c>
      <c r="R3" s="362">
        <f>'!расчет (2 сценария)'!K16</f>
        <v>1791.6900000000003</v>
      </c>
      <c r="S3" s="363"/>
      <c r="T3" s="345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54">
        <f>676.624</f>
        <v>676.62400000000002</v>
      </c>
      <c r="E4" s="355"/>
      <c r="F4" s="89">
        <f>77526903.96-G4</f>
        <v>28449520.749999993</v>
      </c>
      <c r="G4" s="36">
        <v>49077383.210000001</v>
      </c>
      <c r="H4" s="82">
        <v>2</v>
      </c>
      <c r="I4" s="357"/>
      <c r="J4" s="88" t="s">
        <v>19</v>
      </c>
      <c r="K4" s="348">
        <f>676.624</f>
        <v>676.62400000000002</v>
      </c>
      <c r="L4" s="349"/>
      <c r="M4" s="346"/>
      <c r="O4" s="82">
        <v>2</v>
      </c>
      <c r="P4" s="357"/>
      <c r="Q4" s="360"/>
      <c r="R4" s="364"/>
      <c r="S4" s="365"/>
      <c r="T4" s="346"/>
    </row>
    <row r="5" spans="1:20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82">
        <v>3</v>
      </c>
      <c r="I5" s="357"/>
      <c r="J5" s="88" t="s">
        <v>19</v>
      </c>
      <c r="K5" s="348">
        <v>295.15199999999999</v>
      </c>
      <c r="L5" s="349"/>
      <c r="M5" s="346"/>
      <c r="O5" s="82">
        <v>3</v>
      </c>
      <c r="P5" s="357"/>
      <c r="Q5" s="360"/>
      <c r="R5" s="364"/>
      <c r="S5" s="365"/>
      <c r="T5" s="346"/>
    </row>
    <row r="6" spans="1:20" ht="30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82">
        <v>4</v>
      </c>
      <c r="I6" s="357"/>
      <c r="J6" s="88" t="s">
        <v>19</v>
      </c>
      <c r="K6" s="348">
        <v>284.85599999999999</v>
      </c>
      <c r="L6" s="349"/>
      <c r="M6" s="346"/>
      <c r="O6" s="82">
        <v>4</v>
      </c>
      <c r="P6" s="357"/>
      <c r="Q6" s="360"/>
      <c r="R6" s="364"/>
      <c r="S6" s="365"/>
      <c r="T6" s="346"/>
    </row>
    <row r="7" spans="1:20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82">
        <v>5</v>
      </c>
      <c r="I7" s="357"/>
      <c r="J7" s="88" t="s">
        <v>19</v>
      </c>
      <c r="K7" s="348">
        <v>103.27200000000001</v>
      </c>
      <c r="L7" s="349"/>
      <c r="M7" s="346"/>
      <c r="O7" s="82">
        <v>5</v>
      </c>
      <c r="P7" s="357"/>
      <c r="Q7" s="360"/>
      <c r="R7" s="364"/>
      <c r="S7" s="365"/>
      <c r="T7" s="346"/>
    </row>
    <row r="8" spans="1:20" ht="30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82">
        <v>6</v>
      </c>
      <c r="I8" s="357"/>
      <c r="J8" s="88" t="s">
        <v>19</v>
      </c>
      <c r="K8" s="348">
        <v>66.872</v>
      </c>
      <c r="L8" s="349"/>
      <c r="M8" s="346"/>
      <c r="O8" s="82">
        <v>6</v>
      </c>
      <c r="P8" s="357"/>
      <c r="Q8" s="360"/>
      <c r="R8" s="364"/>
      <c r="S8" s="365"/>
      <c r="T8" s="346"/>
    </row>
    <row r="9" spans="1:20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82">
        <v>7</v>
      </c>
      <c r="I9" s="357"/>
      <c r="J9" s="88" t="s">
        <v>19</v>
      </c>
      <c r="K9" s="348">
        <v>233.27199999999999</v>
      </c>
      <c r="L9" s="349"/>
      <c r="M9" s="346"/>
      <c r="O9" s="82">
        <v>7</v>
      </c>
      <c r="P9" s="357"/>
      <c r="Q9" s="360"/>
      <c r="R9" s="364"/>
      <c r="S9" s="365"/>
      <c r="T9" s="346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83">
        <v>8</v>
      </c>
      <c r="I10" s="358"/>
      <c r="J10" s="91" t="s">
        <v>19</v>
      </c>
      <c r="K10" s="350">
        <v>4.3680000000000003</v>
      </c>
      <c r="L10" s="351"/>
      <c r="M10" s="347"/>
      <c r="O10" s="83">
        <v>8</v>
      </c>
      <c r="P10" s="358"/>
      <c r="Q10" s="361"/>
      <c r="R10" s="366"/>
      <c r="S10" s="367"/>
      <c r="T10" s="347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339" t="s">
        <v>139</v>
      </c>
      <c r="E12" s="340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339" t="s">
        <v>31</v>
      </c>
      <c r="L12" s="340"/>
      <c r="M12" s="43">
        <v>3704032.4099999992</v>
      </c>
      <c r="O12" s="53">
        <v>9</v>
      </c>
      <c r="P12" s="50" t="s">
        <v>27</v>
      </c>
      <c r="Q12" s="42" t="s">
        <v>29</v>
      </c>
      <c r="R12" s="339" t="s">
        <v>31</v>
      </c>
      <c r="S12" s="340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341" t="s">
        <v>142</v>
      </c>
      <c r="E13" s="342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341" t="s">
        <v>30</v>
      </c>
      <c r="L13" s="342"/>
      <c r="M13" s="29">
        <v>15227354.290000003</v>
      </c>
      <c r="O13" s="52">
        <v>10</v>
      </c>
      <c r="P13" s="51" t="s">
        <v>28</v>
      </c>
      <c r="Q13" s="40" t="s">
        <v>29</v>
      </c>
      <c r="R13" s="341" t="s">
        <v>30</v>
      </c>
      <c r="S13" s="342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343">
        <f>47.6596*100</f>
        <v>4765.96</v>
      </c>
      <c r="E14" s="344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43">
        <f>47.6596*100</f>
        <v>4765.96</v>
      </c>
      <c r="L14" s="344"/>
      <c r="M14" s="73">
        <v>1105733.3899999999</v>
      </c>
      <c r="O14" s="70">
        <v>11</v>
      </c>
      <c r="P14" s="71" t="s">
        <v>17</v>
      </c>
      <c r="Q14" s="72" t="s">
        <v>20</v>
      </c>
      <c r="R14" s="343">
        <f>47.6596*100</f>
        <v>4765.96</v>
      </c>
      <c r="S14" s="344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16" t="s">
        <v>53</v>
      </c>
      <c r="C24" s="416"/>
      <c r="D24" s="416"/>
      <c r="E24" s="79"/>
      <c r="F24" s="93">
        <f>(F3+F4+F5+F6+F7+F8+F9+F10)*G19*1.2/D16</f>
        <v>75700.428816399144</v>
      </c>
      <c r="G24" s="39"/>
      <c r="I24" s="416" t="s">
        <v>53</v>
      </c>
      <c r="J24" s="416"/>
      <c r="K24" s="416"/>
      <c r="L24" s="79"/>
      <c r="M24" s="93">
        <f>(M3+M4+M5+M6+M7+M8+M9+M10)*N19*1.2/K16</f>
        <v>79819.723360137839</v>
      </c>
      <c r="P24" s="416" t="s">
        <v>53</v>
      </c>
      <c r="Q24" s="416"/>
      <c r="R24" s="416"/>
      <c r="S24" s="79"/>
      <c r="T24" s="93">
        <f>(T3+T4+T5+T6+T7+T8+T9+T10)*U19*1.2/R16</f>
        <v>91383.505768779811</v>
      </c>
    </row>
    <row r="25" spans="1:21" ht="30.75" customHeight="1" x14ac:dyDescent="0.25">
      <c r="B25" s="416" t="s">
        <v>54</v>
      </c>
      <c r="C25" s="416"/>
      <c r="D25" s="416"/>
      <c r="E25" s="79"/>
      <c r="F25" s="93">
        <f>F16*G19*1.2/D16</f>
        <v>89541.292052319011</v>
      </c>
      <c r="G25" s="39"/>
      <c r="I25" s="416" t="s">
        <v>54</v>
      </c>
      <c r="J25" s="416"/>
      <c r="K25" s="416"/>
      <c r="L25" s="79"/>
      <c r="M25" s="93">
        <f>M16*N19*1.2/K16</f>
        <v>89541.2920560567</v>
      </c>
      <c r="P25" s="416" t="s">
        <v>54</v>
      </c>
      <c r="Q25" s="416"/>
      <c r="R25" s="416"/>
      <c r="S25" s="79"/>
      <c r="T25" s="93">
        <f>T16*U19*1.2/R16</f>
        <v>103851.08689214451</v>
      </c>
    </row>
    <row r="26" spans="1:21" ht="37.5" customHeight="1" x14ac:dyDescent="0.25">
      <c r="B26" s="416" t="s">
        <v>55</v>
      </c>
      <c r="C26" s="416"/>
      <c r="D26" s="416"/>
      <c r="E26" s="79"/>
      <c r="F26" s="93">
        <f>F22/D16</f>
        <v>92227.530813888574</v>
      </c>
      <c r="G26" s="39"/>
      <c r="I26" s="416" t="s">
        <v>55</v>
      </c>
      <c r="J26" s="416"/>
      <c r="K26" s="416"/>
      <c r="L26" s="79"/>
      <c r="M26" s="93">
        <f>M22/K16</f>
        <v>92227.530812926154</v>
      </c>
      <c r="P26" s="416" t="s">
        <v>55</v>
      </c>
      <c r="Q26" s="416"/>
      <c r="R26" s="416"/>
      <c r="S26" s="79"/>
      <c r="T26" s="93">
        <f>T22/R16</f>
        <v>106966.61949890884</v>
      </c>
    </row>
  </sheetData>
  <mergeCells count="43"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T3:T10"/>
    <mergeCell ref="K12:L12"/>
    <mergeCell ref="K13:L13"/>
    <mergeCell ref="K14:L14"/>
    <mergeCell ref="M3:M10"/>
    <mergeCell ref="B24:D24"/>
    <mergeCell ref="B25:D25"/>
    <mergeCell ref="B26:D26"/>
    <mergeCell ref="I24:K24"/>
    <mergeCell ref="I25:K25"/>
    <mergeCell ref="I26:K26"/>
    <mergeCell ref="P25:R25"/>
    <mergeCell ref="P26:R26"/>
    <mergeCell ref="R14:S14"/>
    <mergeCell ref="Q3:Q10"/>
    <mergeCell ref="R3:S10"/>
    <mergeCell ref="P24:R2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52" t="s">
        <v>21</v>
      </c>
      <c r="M2" s="353"/>
      <c r="N2" s="57" t="s">
        <v>32</v>
      </c>
      <c r="Q2" s="54" t="s">
        <v>58</v>
      </c>
      <c r="R2" s="55" t="s">
        <v>73</v>
      </c>
      <c r="S2" s="56" t="s">
        <v>18</v>
      </c>
      <c r="T2" s="352" t="s">
        <v>21</v>
      </c>
      <c r="U2" s="353"/>
      <c r="V2" s="57" t="s">
        <v>32</v>
      </c>
      <c r="X2" s="54" t="s">
        <v>58</v>
      </c>
      <c r="Y2" s="55" t="s">
        <v>73</v>
      </c>
      <c r="Z2" s="56" t="s">
        <v>18</v>
      </c>
      <c r="AA2" s="352" t="s">
        <v>21</v>
      </c>
      <c r="AB2" s="353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36"/>
      <c r="I3" s="81">
        <v>1</v>
      </c>
      <c r="J3" s="356" t="s">
        <v>47</v>
      </c>
      <c r="K3" s="85" t="s">
        <v>19</v>
      </c>
      <c r="L3" s="354">
        <f>404.352+9.256</f>
        <v>413.60799999999995</v>
      </c>
      <c r="M3" s="355"/>
      <c r="N3" s="345">
        <v>164516389.53999999</v>
      </c>
      <c r="Q3" s="81">
        <v>1</v>
      </c>
      <c r="R3" s="356" t="s">
        <v>47</v>
      </c>
      <c r="S3" s="359" t="s">
        <v>19</v>
      </c>
      <c r="T3" s="362">
        <v>1893.4</v>
      </c>
      <c r="U3" s="363"/>
      <c r="V3" s="345">
        <v>147799573.72999999</v>
      </c>
      <c r="X3" s="81">
        <v>1</v>
      </c>
      <c r="Y3" s="356" t="s">
        <v>47</v>
      </c>
      <c r="Z3" s="359" t="s">
        <v>19</v>
      </c>
      <c r="AA3" s="362">
        <v>1893.4</v>
      </c>
      <c r="AB3" s="363"/>
      <c r="AC3" s="345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48">
        <f>676.624</f>
        <v>676.62400000000002</v>
      </c>
      <c r="E4" s="349"/>
      <c r="F4" s="89">
        <f>77526903.96-G4</f>
        <v>28449520.749999993</v>
      </c>
      <c r="G4" s="36">
        <v>49077383.210000001</v>
      </c>
      <c r="H4" s="36"/>
      <c r="I4" s="82">
        <v>2</v>
      </c>
      <c r="J4" s="357"/>
      <c r="K4" s="88" t="s">
        <v>19</v>
      </c>
      <c r="L4" s="348">
        <f>676.624</f>
        <v>676.62400000000002</v>
      </c>
      <c r="M4" s="349"/>
      <c r="N4" s="346"/>
      <c r="Q4" s="82">
        <v>2</v>
      </c>
      <c r="R4" s="357"/>
      <c r="S4" s="360"/>
      <c r="T4" s="364"/>
      <c r="U4" s="365"/>
      <c r="V4" s="346"/>
      <c r="X4" s="82">
        <v>2</v>
      </c>
      <c r="Y4" s="357"/>
      <c r="Z4" s="360"/>
      <c r="AA4" s="364"/>
      <c r="AB4" s="365"/>
      <c r="AC4" s="346"/>
    </row>
    <row r="5" spans="1:31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36"/>
      <c r="I5" s="82">
        <v>3</v>
      </c>
      <c r="J5" s="357"/>
      <c r="K5" s="88" t="s">
        <v>19</v>
      </c>
      <c r="L5" s="348">
        <v>295.15199999999999</v>
      </c>
      <c r="M5" s="349"/>
      <c r="N5" s="346"/>
      <c r="Q5" s="82">
        <v>3</v>
      </c>
      <c r="R5" s="357"/>
      <c r="S5" s="360"/>
      <c r="T5" s="364"/>
      <c r="U5" s="365"/>
      <c r="V5" s="346"/>
      <c r="X5" s="82">
        <v>3</v>
      </c>
      <c r="Y5" s="357"/>
      <c r="Z5" s="360"/>
      <c r="AA5" s="364"/>
      <c r="AB5" s="365"/>
      <c r="AC5" s="346"/>
    </row>
    <row r="6" spans="1:31" ht="30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36"/>
      <c r="I6" s="82">
        <v>4</v>
      </c>
      <c r="J6" s="357"/>
      <c r="K6" s="88" t="s">
        <v>19</v>
      </c>
      <c r="L6" s="348">
        <v>284.85599999999999</v>
      </c>
      <c r="M6" s="349"/>
      <c r="N6" s="346"/>
      <c r="Q6" s="82">
        <v>4</v>
      </c>
      <c r="R6" s="357"/>
      <c r="S6" s="360"/>
      <c r="T6" s="364"/>
      <c r="U6" s="365"/>
      <c r="V6" s="346"/>
      <c r="X6" s="82">
        <v>4</v>
      </c>
      <c r="Y6" s="357"/>
      <c r="Z6" s="360"/>
      <c r="AA6" s="364"/>
      <c r="AB6" s="365"/>
      <c r="AC6" s="346"/>
    </row>
    <row r="7" spans="1:31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36"/>
      <c r="I7" s="82">
        <v>5</v>
      </c>
      <c r="J7" s="357"/>
      <c r="K7" s="88" t="s">
        <v>19</v>
      </c>
      <c r="L7" s="348">
        <v>103.27200000000001</v>
      </c>
      <c r="M7" s="349"/>
      <c r="N7" s="346"/>
      <c r="Q7" s="82">
        <v>5</v>
      </c>
      <c r="R7" s="357"/>
      <c r="S7" s="360"/>
      <c r="T7" s="364"/>
      <c r="U7" s="365"/>
      <c r="V7" s="346"/>
      <c r="X7" s="82">
        <v>5</v>
      </c>
      <c r="Y7" s="357"/>
      <c r="Z7" s="360"/>
      <c r="AA7" s="364"/>
      <c r="AB7" s="365"/>
      <c r="AC7" s="346"/>
    </row>
    <row r="8" spans="1:31" ht="30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36"/>
      <c r="I8" s="82">
        <v>6</v>
      </c>
      <c r="J8" s="357"/>
      <c r="K8" s="88" t="s">
        <v>19</v>
      </c>
      <c r="L8" s="348">
        <v>66.872</v>
      </c>
      <c r="M8" s="349"/>
      <c r="N8" s="346"/>
      <c r="Q8" s="82">
        <v>6</v>
      </c>
      <c r="R8" s="357"/>
      <c r="S8" s="360"/>
      <c r="T8" s="364"/>
      <c r="U8" s="365"/>
      <c r="V8" s="346"/>
      <c r="X8" s="82">
        <v>6</v>
      </c>
      <c r="Y8" s="357"/>
      <c r="Z8" s="360"/>
      <c r="AA8" s="364"/>
      <c r="AB8" s="365"/>
      <c r="AC8" s="346"/>
    </row>
    <row r="9" spans="1:31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36"/>
      <c r="I9" s="82">
        <v>7</v>
      </c>
      <c r="J9" s="357"/>
      <c r="K9" s="88" t="s">
        <v>19</v>
      </c>
      <c r="L9" s="348">
        <v>233.27199999999999</v>
      </c>
      <c r="M9" s="349"/>
      <c r="N9" s="346"/>
      <c r="Q9" s="82">
        <v>7</v>
      </c>
      <c r="R9" s="357"/>
      <c r="S9" s="360"/>
      <c r="T9" s="364"/>
      <c r="U9" s="365"/>
      <c r="V9" s="346"/>
      <c r="X9" s="82">
        <v>7</v>
      </c>
      <c r="Y9" s="357"/>
      <c r="Z9" s="360"/>
      <c r="AA9" s="364"/>
      <c r="AB9" s="365"/>
      <c r="AC9" s="34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36"/>
      <c r="I10" s="83">
        <v>8</v>
      </c>
      <c r="J10" s="358"/>
      <c r="K10" s="91" t="s">
        <v>19</v>
      </c>
      <c r="L10" s="350">
        <v>4.3680000000000003</v>
      </c>
      <c r="M10" s="351"/>
      <c r="N10" s="347"/>
      <c r="Q10" s="83">
        <v>8</v>
      </c>
      <c r="R10" s="358"/>
      <c r="S10" s="361"/>
      <c r="T10" s="366"/>
      <c r="U10" s="367"/>
      <c r="V10" s="347"/>
      <c r="X10" s="83">
        <v>8</v>
      </c>
      <c r="Y10" s="358"/>
      <c r="Z10" s="361"/>
      <c r="AA10" s="366"/>
      <c r="AB10" s="367"/>
      <c r="AC10" s="34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39" t="s">
        <v>31</v>
      </c>
      <c r="E12" s="34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39" t="s">
        <v>31</v>
      </c>
      <c r="M12" s="34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39" t="s">
        <v>31</v>
      </c>
      <c r="U12" s="340"/>
      <c r="V12" s="43">
        <v>3704032.4099999992</v>
      </c>
      <c r="X12" s="53">
        <v>9</v>
      </c>
      <c r="Y12" s="50" t="s">
        <v>27</v>
      </c>
      <c r="Z12" s="42" t="s">
        <v>29</v>
      </c>
      <c r="AA12" s="339" t="s">
        <v>31</v>
      </c>
      <c r="AB12" s="340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341" t="s">
        <v>30</v>
      </c>
      <c r="E13" s="34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1" t="s">
        <v>30</v>
      </c>
      <c r="M13" s="34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1" t="s">
        <v>30</v>
      </c>
      <c r="U13" s="342"/>
      <c r="V13" s="29">
        <v>15227354.290000003</v>
      </c>
      <c r="X13" s="52">
        <v>10</v>
      </c>
      <c r="Y13" s="51" t="s">
        <v>28</v>
      </c>
      <c r="Z13" s="40" t="s">
        <v>29</v>
      </c>
      <c r="AA13" s="341" t="s">
        <v>30</v>
      </c>
      <c r="AB13" s="342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43">
        <f>47.6596*100</f>
        <v>4765.96</v>
      </c>
      <c r="E14" s="34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3">
        <f>47.6596*100</f>
        <v>4765.96</v>
      </c>
      <c r="M14" s="344"/>
      <c r="N14" s="73">
        <v>1105733.3899999999</v>
      </c>
      <c r="Q14" s="70">
        <v>11</v>
      </c>
      <c r="R14" s="71" t="s">
        <v>17</v>
      </c>
      <c r="S14" s="72" t="s">
        <v>20</v>
      </c>
      <c r="T14" s="343">
        <f>47.6596*100</f>
        <v>4765.96</v>
      </c>
      <c r="U14" s="344"/>
      <c r="V14" s="73">
        <v>1105733.3899999999</v>
      </c>
      <c r="X14" s="70">
        <v>11</v>
      </c>
      <c r="Y14" s="71" t="s">
        <v>17</v>
      </c>
      <c r="Z14" s="72" t="s">
        <v>20</v>
      </c>
      <c r="AA14" s="343">
        <f>47.6596*100</f>
        <v>4765.96</v>
      </c>
      <c r="AB14" s="344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16" t="s">
        <v>53</v>
      </c>
      <c r="C28" s="416"/>
      <c r="D28" s="416"/>
      <c r="E28" s="79"/>
      <c r="F28" s="93">
        <v>75700.428816399144</v>
      </c>
      <c r="G28" s="39"/>
      <c r="H28" s="39"/>
      <c r="J28" s="416" t="s">
        <v>53</v>
      </c>
      <c r="K28" s="416"/>
      <c r="L28" s="416"/>
      <c r="M28" s="79"/>
      <c r="N28" s="93">
        <f>164516389.54/L16</f>
        <v>79169.629195812944</v>
      </c>
      <c r="R28" s="416" t="s">
        <v>53</v>
      </c>
      <c r="S28" s="416"/>
      <c r="T28" s="416"/>
      <c r="U28" s="79"/>
      <c r="V28" s="93">
        <v>98736.12</v>
      </c>
      <c r="Y28" s="416" t="s">
        <v>53</v>
      </c>
      <c r="Z28" s="416"/>
      <c r="AA28" s="416"/>
      <c r="AB28" s="79"/>
      <c r="AC28" s="93">
        <v>94190.720000000001</v>
      </c>
    </row>
    <row r="29" spans="1:31" ht="30.75" customHeight="1" x14ac:dyDescent="0.25">
      <c r="B29" s="416" t="s">
        <v>54</v>
      </c>
      <c r="C29" s="416"/>
      <c r="D29" s="416"/>
      <c r="E29" s="79"/>
      <c r="F29" s="93">
        <v>89541.292052319011</v>
      </c>
      <c r="G29" s="39"/>
      <c r="H29" s="39"/>
      <c r="J29" s="416" t="s">
        <v>54</v>
      </c>
      <c r="K29" s="416"/>
      <c r="L29" s="416"/>
      <c r="M29" s="79"/>
      <c r="N29" s="93">
        <f>185090075.82/L16</f>
        <v>89070.230093588907</v>
      </c>
      <c r="R29" s="416" t="s">
        <v>54</v>
      </c>
      <c r="S29" s="416"/>
      <c r="T29" s="416"/>
      <c r="U29" s="79"/>
      <c r="V29" s="93">
        <v>111278</v>
      </c>
      <c r="Y29" s="416" t="s">
        <v>54</v>
      </c>
      <c r="Z29" s="416"/>
      <c r="AA29" s="416"/>
      <c r="AB29" s="79"/>
      <c r="AC29" s="93">
        <v>106960.11</v>
      </c>
    </row>
    <row r="30" spans="1:31" ht="37.5" customHeight="1" x14ac:dyDescent="0.25">
      <c r="B30" s="416" t="s">
        <v>55</v>
      </c>
      <c r="C30" s="416"/>
      <c r="D30" s="416"/>
      <c r="E30" s="79"/>
      <c r="F30" s="93">
        <f>F26/D16</f>
        <v>92227.530813888574</v>
      </c>
      <c r="G30" s="39"/>
      <c r="H30" s="39"/>
      <c r="J30" s="416" t="s">
        <v>55</v>
      </c>
      <c r="K30" s="416"/>
      <c r="L30" s="416"/>
      <c r="M30" s="79"/>
      <c r="N30" s="93">
        <f>N26/L16</f>
        <v>92227.530814851038</v>
      </c>
      <c r="R30" s="416" t="s">
        <v>55</v>
      </c>
      <c r="S30" s="416"/>
      <c r="T30" s="416"/>
      <c r="U30" s="79"/>
      <c r="V30" s="93">
        <f>V26/T16</f>
        <v>114616.43807964509</v>
      </c>
      <c r="Y30" s="416" t="s">
        <v>55</v>
      </c>
      <c r="Z30" s="416"/>
      <c r="AA30" s="416"/>
      <c r="AB30" s="79"/>
      <c r="AC30" s="93">
        <f>AC26/AA16</f>
        <v>110168.91603464665</v>
      </c>
    </row>
  </sheetData>
  <mergeCells count="54"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L12:M12"/>
    <mergeCell ref="T12:U12"/>
    <mergeCell ref="D13:E13"/>
    <mergeCell ref="L13:M13"/>
    <mergeCell ref="T13:U13"/>
    <mergeCell ref="AA13:AB13"/>
    <mergeCell ref="D14:E14"/>
    <mergeCell ref="L14:M14"/>
    <mergeCell ref="T14:U14"/>
    <mergeCell ref="AA14:AB14"/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31" t="s">
        <v>69</v>
      </c>
      <c r="B1" s="431"/>
      <c r="C1" s="431"/>
      <c r="D1" s="431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32" t="s">
        <v>195</v>
      </c>
      <c r="D15" s="432"/>
      <c r="E15" s="432"/>
      <c r="F15" s="432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33" t="s">
        <v>77</v>
      </c>
      <c r="B1" s="433"/>
      <c r="C1" s="433"/>
      <c r="D1" s="433"/>
      <c r="E1" s="433"/>
      <c r="F1" s="433"/>
    </row>
    <row r="2" spans="1:6" ht="45" customHeight="1" x14ac:dyDescent="0.25">
      <c r="A2" s="433"/>
      <c r="B2" s="433"/>
      <c r="C2" s="433"/>
      <c r="D2" s="433"/>
      <c r="E2" s="433"/>
      <c r="F2" s="433"/>
    </row>
    <row r="3" spans="1:6" ht="52.5" customHeight="1" x14ac:dyDescent="0.25">
      <c r="A3" s="434" t="s">
        <v>78</v>
      </c>
      <c r="B3" s="434"/>
      <c r="C3" s="434"/>
      <c r="D3" s="434"/>
      <c r="E3" s="434"/>
      <c r="F3" s="434"/>
    </row>
    <row r="4" spans="1:6" s="146" customFormat="1" ht="19.5" customHeight="1" thickBot="1" x14ac:dyDescent="0.35">
      <c r="A4" s="435" t="s">
        <v>79</v>
      </c>
      <c r="B4" s="435"/>
      <c r="C4" s="435"/>
      <c r="D4" s="435"/>
      <c r="E4" s="435"/>
      <c r="F4" s="435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36" t="s">
        <v>82</v>
      </c>
      <c r="E6" s="436"/>
      <c r="F6" s="437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38" t="s">
        <v>128</v>
      </c>
      <c r="B102" s="439"/>
      <c r="C102" s="439"/>
      <c r="D102" s="439"/>
      <c r="E102" s="439"/>
      <c r="F102" s="439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48">
        <f>676.624</f>
        <v>676.62400000000002</v>
      </c>
      <c r="E4" s="349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339" t="s">
        <v>31</v>
      </c>
      <c r="E11" s="340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341" t="s">
        <v>30</v>
      </c>
      <c r="E12" s="342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343">
        <f>47.6596*100</f>
        <v>4765.96</v>
      </c>
      <c r="E13" s="344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7:E7"/>
    <mergeCell ref="D8:E8"/>
    <mergeCell ref="D5:E5"/>
    <mergeCell ref="D2:E2"/>
    <mergeCell ref="D3:E3"/>
    <mergeCell ref="D4:E4"/>
    <mergeCell ref="D6:E6"/>
    <mergeCell ref="D9:E9"/>
    <mergeCell ref="D10:E10"/>
    <mergeCell ref="D11:E11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BZ38"/>
  <sheetViews>
    <sheetView zoomScale="80" zoomScaleNormal="80" workbookViewId="0">
      <selection activeCell="I34" sqref="I34"/>
    </sheetView>
  </sheetViews>
  <sheetFormatPr defaultRowHeight="15" x14ac:dyDescent="0.25"/>
  <cols>
    <col min="1" max="1" width="7.5703125" style="307" customWidth="1"/>
    <col min="2" max="2" width="37.42578125" customWidth="1"/>
    <col min="3" max="3" width="12.42578125" bestFit="1" customWidth="1"/>
    <col min="4" max="4" width="14.85546875" bestFit="1" customWidth="1"/>
    <col min="5" max="5" width="7.85546875" customWidth="1"/>
    <col min="6" max="6" width="19.28515625" customWidth="1"/>
    <col min="8" max="8" width="7.5703125" style="307" customWidth="1"/>
    <col min="9" max="9" width="37.42578125" customWidth="1"/>
    <col min="10" max="10" width="11.5703125" customWidth="1"/>
    <col min="11" max="11" width="14.140625" customWidth="1"/>
    <col min="12" max="12" width="15.5703125" customWidth="1"/>
    <col min="13" max="13" width="19.28515625" customWidth="1"/>
    <col min="14" max="14" width="11.7109375" customWidth="1"/>
    <col min="15" max="15" width="9" customWidth="1"/>
    <col min="16" max="16" width="9.28515625" style="307" customWidth="1"/>
    <col min="17" max="17" width="37.5703125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2" max="22" width="10.85546875" bestFit="1" customWidth="1"/>
    <col min="23" max="23" width="14.85546875" bestFit="1" customWidth="1"/>
    <col min="26" max="26" width="36" customWidth="1"/>
    <col min="30" max="30" width="13.5703125" bestFit="1" customWidth="1"/>
    <col min="31" max="31" width="9.85546875" style="25" bestFit="1" customWidth="1"/>
    <col min="32" max="33" width="9.140625" style="25"/>
    <col min="34" max="34" width="12.42578125" style="25" bestFit="1" customWidth="1"/>
    <col min="35" max="35" width="9.140625" style="25"/>
  </cols>
  <sheetData>
    <row r="1" spans="1:78" ht="51.75" customHeight="1" thickBot="1" x14ac:dyDescent="0.3">
      <c r="A1" s="368" t="s">
        <v>211</v>
      </c>
      <c r="B1" s="369"/>
      <c r="C1" s="369"/>
      <c r="D1" s="369"/>
      <c r="E1" s="369"/>
      <c r="F1" s="370"/>
      <c r="H1" s="368" t="s">
        <v>212</v>
      </c>
      <c r="I1" s="369"/>
      <c r="J1" s="369"/>
      <c r="K1" s="369"/>
      <c r="L1" s="369"/>
      <c r="M1" s="370"/>
      <c r="N1" s="323"/>
      <c r="P1" s="329"/>
      <c r="Q1" s="369" t="s">
        <v>213</v>
      </c>
      <c r="R1" s="369"/>
      <c r="S1" s="369"/>
      <c r="T1" s="369"/>
      <c r="U1" s="370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52" t="s">
        <v>21</v>
      </c>
      <c r="E2" s="353"/>
      <c r="F2" s="57" t="s">
        <v>32</v>
      </c>
      <c r="H2" s="297" t="s">
        <v>58</v>
      </c>
      <c r="I2" s="55" t="s">
        <v>73</v>
      </c>
      <c r="J2" s="315" t="s">
        <v>18</v>
      </c>
      <c r="K2" s="352" t="s">
        <v>21</v>
      </c>
      <c r="L2" s="353"/>
      <c r="M2" s="57" t="s">
        <v>32</v>
      </c>
      <c r="P2" s="297" t="s">
        <v>58</v>
      </c>
      <c r="Q2" s="55" t="s">
        <v>73</v>
      </c>
      <c r="R2" s="315" t="s">
        <v>18</v>
      </c>
      <c r="S2" s="352" t="s">
        <v>21</v>
      </c>
      <c r="T2" s="353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v>10022991.91</v>
      </c>
      <c r="H3" s="298">
        <v>1</v>
      </c>
      <c r="I3" s="84" t="s">
        <v>0</v>
      </c>
      <c r="J3" s="85" t="s">
        <v>19</v>
      </c>
      <c r="K3" s="354">
        <f>404.352+9.256</f>
        <v>413.60799999999995</v>
      </c>
      <c r="L3" s="355"/>
      <c r="M3" s="86">
        <v>10022991.91</v>
      </c>
      <c r="P3" s="298">
        <v>1</v>
      </c>
      <c r="Q3" s="356" t="s">
        <v>47</v>
      </c>
      <c r="R3" s="379" t="s">
        <v>19</v>
      </c>
      <c r="S3" s="362">
        <v>2078.02</v>
      </c>
      <c r="T3" s="363"/>
      <c r="U3" s="376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54">
        <f>676.624+295.152</f>
        <v>971.77600000000007</v>
      </c>
      <c r="E4" s="355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54">
        <f>676.624+295.152</f>
        <v>971.77600000000007</v>
      </c>
      <c r="L4" s="355"/>
      <c r="M4" s="89">
        <f>28449520.75+12410042.86</f>
        <v>40859563.609999999</v>
      </c>
      <c r="P4" s="299">
        <v>2</v>
      </c>
      <c r="Q4" s="357"/>
      <c r="R4" s="380"/>
      <c r="S4" s="364"/>
      <c r="T4" s="365"/>
      <c r="U4" s="377"/>
    </row>
    <row r="5" spans="1:78" x14ac:dyDescent="0.25">
      <c r="A5" s="299">
        <v>3</v>
      </c>
      <c r="B5" s="87" t="s">
        <v>8</v>
      </c>
      <c r="C5" s="88" t="s">
        <v>19</v>
      </c>
      <c r="D5" s="348">
        <v>284.85599999999999</v>
      </c>
      <c r="E5" s="349"/>
      <c r="F5" s="89">
        <v>29847559.98</v>
      </c>
      <c r="H5" s="299">
        <v>3</v>
      </c>
      <c r="I5" s="87" t="s">
        <v>8</v>
      </c>
      <c r="J5" s="88" t="s">
        <v>19</v>
      </c>
      <c r="K5" s="348">
        <v>284.85599999999999</v>
      </c>
      <c r="L5" s="349"/>
      <c r="M5" s="89">
        <v>29847559.98</v>
      </c>
      <c r="P5" s="299">
        <v>3</v>
      </c>
      <c r="Q5" s="357"/>
      <c r="R5" s="380"/>
      <c r="S5" s="364"/>
      <c r="T5" s="365"/>
      <c r="U5" s="377"/>
      <c r="Y5" s="35"/>
      <c r="Z5" s="338"/>
      <c r="AA5" s="338"/>
      <c r="AB5" s="338"/>
      <c r="AC5" s="308"/>
      <c r="AD5" s="271"/>
      <c r="AE5" s="442"/>
    </row>
    <row r="6" spans="1:78" x14ac:dyDescent="0.25">
      <c r="A6" s="299">
        <v>4</v>
      </c>
      <c r="B6" s="87" t="s">
        <v>1</v>
      </c>
      <c r="C6" s="88" t="s">
        <v>19</v>
      </c>
      <c r="D6" s="348">
        <v>103.27200000000001</v>
      </c>
      <c r="E6" s="349"/>
      <c r="F6" s="89">
        <v>6218924.8699999992</v>
      </c>
      <c r="H6" s="299">
        <v>4</v>
      </c>
      <c r="I6" s="87" t="s">
        <v>1</v>
      </c>
      <c r="J6" s="88" t="s">
        <v>19</v>
      </c>
      <c r="K6" s="348">
        <v>103.27200000000001</v>
      </c>
      <c r="L6" s="349"/>
      <c r="M6" s="89">
        <v>6218924.8699999992</v>
      </c>
      <c r="P6" s="299">
        <v>4</v>
      </c>
      <c r="Q6" s="357"/>
      <c r="R6" s="380"/>
      <c r="S6" s="364"/>
      <c r="T6" s="365"/>
      <c r="U6" s="377"/>
      <c r="Y6" s="35"/>
      <c r="Z6" s="338"/>
      <c r="AA6" s="338"/>
      <c r="AB6" s="338"/>
      <c r="AC6" s="308"/>
      <c r="AD6" s="271"/>
      <c r="AE6" s="442"/>
    </row>
    <row r="7" spans="1:78" x14ac:dyDescent="0.25">
      <c r="A7" s="299">
        <v>5</v>
      </c>
      <c r="B7" s="87" t="s">
        <v>2</v>
      </c>
      <c r="C7" s="88" t="s">
        <v>19</v>
      </c>
      <c r="D7" s="348">
        <v>66.872</v>
      </c>
      <c r="E7" s="349"/>
      <c r="F7" s="89">
        <v>4525782.0099999988</v>
      </c>
      <c r="H7" s="299">
        <v>5</v>
      </c>
      <c r="I7" s="87" t="s">
        <v>2</v>
      </c>
      <c r="J7" s="88" t="s">
        <v>19</v>
      </c>
      <c r="K7" s="348">
        <v>66.872</v>
      </c>
      <c r="L7" s="349"/>
      <c r="M7" s="89">
        <v>4525782.0099999988</v>
      </c>
      <c r="P7" s="299">
        <v>5</v>
      </c>
      <c r="Q7" s="357"/>
      <c r="R7" s="380"/>
      <c r="S7" s="364"/>
      <c r="T7" s="365"/>
      <c r="U7" s="377"/>
    </row>
    <row r="8" spans="1:78" x14ac:dyDescent="0.25">
      <c r="A8" s="299">
        <v>6</v>
      </c>
      <c r="B8" s="87" t="s">
        <v>3</v>
      </c>
      <c r="C8" s="88" t="s">
        <v>19</v>
      </c>
      <c r="D8" s="348">
        <v>233.27199999999999</v>
      </c>
      <c r="E8" s="349"/>
      <c r="F8" s="89">
        <v>17401032.069999997</v>
      </c>
      <c r="H8" s="299">
        <v>6</v>
      </c>
      <c r="I8" s="87" t="s">
        <v>3</v>
      </c>
      <c r="J8" s="88" t="s">
        <v>19</v>
      </c>
      <c r="K8" s="348">
        <v>233.27199999999999</v>
      </c>
      <c r="L8" s="349"/>
      <c r="M8" s="89">
        <v>17401032.069999997</v>
      </c>
      <c r="P8" s="299">
        <v>6</v>
      </c>
      <c r="Q8" s="357"/>
      <c r="R8" s="380"/>
      <c r="S8" s="364"/>
      <c r="T8" s="365"/>
      <c r="U8" s="377"/>
    </row>
    <row r="9" spans="1:78" ht="15.75" thickBot="1" x14ac:dyDescent="0.3">
      <c r="A9" s="300">
        <v>7</v>
      </c>
      <c r="B9" s="90" t="s">
        <v>4</v>
      </c>
      <c r="C9" s="91" t="s">
        <v>19</v>
      </c>
      <c r="D9" s="350">
        <v>4.3680000000000003</v>
      </c>
      <c r="E9" s="351"/>
      <c r="F9" s="92">
        <v>714028.58000000007</v>
      </c>
      <c r="H9" s="300">
        <v>7</v>
      </c>
      <c r="I9" s="90" t="s">
        <v>4</v>
      </c>
      <c r="J9" s="91" t="s">
        <v>19</v>
      </c>
      <c r="K9" s="350">
        <v>4.3680000000000003</v>
      </c>
      <c r="L9" s="351"/>
      <c r="M9" s="92">
        <v>714028.58000000007</v>
      </c>
      <c r="P9" s="300">
        <v>7</v>
      </c>
      <c r="Q9" s="358"/>
      <c r="R9" s="381"/>
      <c r="S9" s="366"/>
      <c r="T9" s="367"/>
      <c r="U9" s="378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8" t="s">
        <v>162</v>
      </c>
      <c r="E10" s="389"/>
      <c r="F10" s="43">
        <v>3704032.4099999992</v>
      </c>
      <c r="H10" s="310">
        <v>8</v>
      </c>
      <c r="I10" s="311" t="s">
        <v>187</v>
      </c>
      <c r="J10" s="42" t="s">
        <v>29</v>
      </c>
      <c r="K10" s="388" t="s">
        <v>162</v>
      </c>
      <c r="L10" s="389"/>
      <c r="M10" s="43">
        <v>3704032.4099999992</v>
      </c>
      <c r="N10" s="25"/>
      <c r="P10" s="310">
        <v>8</v>
      </c>
      <c r="Q10" s="311" t="s">
        <v>187</v>
      </c>
      <c r="R10" s="42" t="s">
        <v>29</v>
      </c>
      <c r="S10" s="371" t="s">
        <v>185</v>
      </c>
      <c r="T10" s="372"/>
      <c r="U10" s="43">
        <v>3704032.4099999992</v>
      </c>
      <c r="AE10" s="442"/>
      <c r="AF10" s="442"/>
      <c r="AG10" s="442"/>
      <c r="AH10" s="442"/>
      <c r="AI10" s="442"/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382" t="s">
        <v>163</v>
      </c>
      <c r="E11" s="383"/>
      <c r="F11" s="29">
        <v>15227354.290000003</v>
      </c>
      <c r="H11" s="313">
        <v>9</v>
      </c>
      <c r="I11" s="314" t="s">
        <v>28</v>
      </c>
      <c r="J11" s="40" t="s">
        <v>29</v>
      </c>
      <c r="K11" s="382" t="s">
        <v>163</v>
      </c>
      <c r="L11" s="383"/>
      <c r="M11" s="29">
        <v>15227354.290000003</v>
      </c>
      <c r="N11"/>
      <c r="P11" s="313">
        <v>9</v>
      </c>
      <c r="Q11" s="314" t="s">
        <v>28</v>
      </c>
      <c r="R11" s="40" t="s">
        <v>29</v>
      </c>
      <c r="S11" s="384" t="s">
        <v>186</v>
      </c>
      <c r="T11" s="385"/>
      <c r="U11" s="29">
        <v>15227354.290000003</v>
      </c>
      <c r="AE11" s="442"/>
      <c r="AF11" s="442"/>
      <c r="AG11" s="442"/>
      <c r="AH11" s="442"/>
      <c r="AI11" s="442"/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6">
        <f>47.6596*100</f>
        <v>4765.96</v>
      </c>
      <c r="E12" s="387"/>
      <c r="F12" s="33">
        <v>1105733.3899999999</v>
      </c>
      <c r="H12" s="301">
        <v>10</v>
      </c>
      <c r="I12" s="289" t="s">
        <v>17</v>
      </c>
      <c r="J12" s="290" t="s">
        <v>20</v>
      </c>
      <c r="K12" s="386">
        <f>47.6596*100</f>
        <v>4765.96</v>
      </c>
      <c r="L12" s="387"/>
      <c r="M12" s="33">
        <v>1105733.3899999999</v>
      </c>
      <c r="N12"/>
      <c r="O12"/>
      <c r="P12" s="301">
        <v>10</v>
      </c>
      <c r="Q12" s="289" t="s">
        <v>17</v>
      </c>
      <c r="R12" s="290" t="s">
        <v>20</v>
      </c>
      <c r="S12" s="386">
        <v>4765.96</v>
      </c>
      <c r="T12" s="387"/>
      <c r="U12" s="33">
        <v>1105733.3899999999</v>
      </c>
      <c r="V12"/>
      <c r="W12"/>
      <c r="X12"/>
      <c r="Y12"/>
      <c r="Z12"/>
      <c r="AA12"/>
      <c r="AB12"/>
      <c r="AC12"/>
      <c r="AD12"/>
      <c r="AE12" s="25"/>
      <c r="AF12" s="25"/>
      <c r="AG12" s="25"/>
      <c r="AH12" s="25"/>
      <c r="AI12" s="25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  <c r="W13" s="25">
        <f>M13-U13</f>
        <v>-52621202.949999958</v>
      </c>
    </row>
    <row r="14" spans="1:78" ht="30.75" thickBot="1" x14ac:dyDescent="0.3">
      <c r="A14" s="303">
        <v>12</v>
      </c>
      <c r="B14" s="58"/>
      <c r="C14" s="41"/>
      <c r="D14" s="45"/>
      <c r="E14" s="46"/>
      <c r="F14" s="316">
        <v>0</v>
      </c>
      <c r="H14" s="303">
        <v>12</v>
      </c>
      <c r="I14" s="58" t="s">
        <v>204</v>
      </c>
      <c r="J14" s="41"/>
      <c r="K14" s="45"/>
      <c r="L14" s="46"/>
      <c r="M14" s="316">
        <v>2722167.09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60.75" customHeight="1" thickBot="1" x14ac:dyDescent="0.3">
      <c r="A15" s="302">
        <v>13</v>
      </c>
      <c r="B15" s="59"/>
      <c r="C15" s="60"/>
      <c r="D15" s="45"/>
      <c r="E15" s="62"/>
      <c r="F15" s="287">
        <v>0</v>
      </c>
      <c r="H15" s="302">
        <v>13</v>
      </c>
      <c r="I15" s="59" t="s">
        <v>214</v>
      </c>
      <c r="J15" s="60"/>
      <c r="K15" s="45"/>
      <c r="L15" s="62"/>
      <c r="M15" s="287">
        <f>2220749.32/1.2*4</f>
        <v>7402497.7333333334</v>
      </c>
      <c r="P15" s="302">
        <v>13</v>
      </c>
      <c r="Q15" s="59" t="s">
        <v>214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3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3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3" ht="50.25" customHeight="1" thickBot="1" x14ac:dyDescent="0.3">
      <c r="A19" s="306">
        <v>18</v>
      </c>
      <c r="B19" s="64" t="s">
        <v>198</v>
      </c>
      <c r="C19" s="48"/>
      <c r="D19" s="65"/>
      <c r="E19" s="44"/>
      <c r="F19" s="66">
        <v>159709185.41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P19" s="331">
        <v>17</v>
      </c>
      <c r="Q19" s="282" t="s">
        <v>203</v>
      </c>
      <c r="R19" s="283">
        <v>1.0329999999999999</v>
      </c>
      <c r="S19" s="330"/>
      <c r="T19" s="327"/>
      <c r="U19" s="47">
        <f>U18*1.033</f>
        <v>205858568.01862499</v>
      </c>
    </row>
    <row r="20" spans="1:23" ht="30.75" customHeight="1" thickBot="1" x14ac:dyDescent="0.3">
      <c r="A20" s="303">
        <v>19</v>
      </c>
      <c r="B20" s="58" t="s">
        <v>33</v>
      </c>
      <c r="C20" s="41"/>
      <c r="D20" s="45"/>
      <c r="E20" s="46"/>
      <c r="F20" s="47">
        <f>F19*0.2</f>
        <v>31941837.082000002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P20" s="306">
        <v>18</v>
      </c>
      <c r="Q20" s="64" t="s">
        <v>210</v>
      </c>
      <c r="R20" s="48"/>
      <c r="S20" s="373"/>
      <c r="T20" s="374"/>
      <c r="U20" s="66">
        <f>M20</f>
        <v>174949743.41</v>
      </c>
      <c r="W20" s="25"/>
    </row>
    <row r="21" spans="1:23" ht="25.5" customHeight="1" thickBot="1" x14ac:dyDescent="0.3">
      <c r="A21" s="302">
        <v>20</v>
      </c>
      <c r="B21" s="59" t="s">
        <v>34</v>
      </c>
      <c r="C21" s="60"/>
      <c r="D21" s="61"/>
      <c r="E21" s="62"/>
      <c r="F21" s="107">
        <f>F19+F20</f>
        <v>191651022.49199998</v>
      </c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P21" s="303">
        <v>19</v>
      </c>
      <c r="Q21" s="58" t="s">
        <v>33</v>
      </c>
      <c r="R21" s="41"/>
      <c r="S21" s="45"/>
      <c r="T21" s="336"/>
      <c r="U21" s="47">
        <f>U20*0.2</f>
        <v>34989948.682000004</v>
      </c>
    </row>
    <row r="22" spans="1:23" ht="15.75" thickBot="1" x14ac:dyDescent="0.3"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P22" s="302">
        <v>20</v>
      </c>
      <c r="Q22" s="59" t="s">
        <v>34</v>
      </c>
      <c r="R22" s="60"/>
      <c r="S22" s="61"/>
      <c r="T22" s="333"/>
      <c r="U22" s="107">
        <v>220000000</v>
      </c>
      <c r="V22" s="25">
        <v>220000</v>
      </c>
    </row>
    <row r="23" spans="1:23" x14ac:dyDescent="0.25">
      <c r="A23" s="35"/>
      <c r="B23" s="338"/>
      <c r="C23" s="338"/>
      <c r="D23" s="338"/>
      <c r="E23" s="308"/>
      <c r="F23" s="271"/>
    </row>
    <row r="24" spans="1:23" ht="44.25" customHeight="1" x14ac:dyDescent="0.25">
      <c r="A24" s="35"/>
      <c r="B24" s="440"/>
      <c r="C24" s="440"/>
      <c r="D24" s="440"/>
      <c r="E24" s="441"/>
      <c r="F24" s="271"/>
      <c r="H24" s="35" t="s">
        <v>209</v>
      </c>
      <c r="I24" s="338" t="s">
        <v>207</v>
      </c>
      <c r="J24" s="466">
        <v>121.3</v>
      </c>
      <c r="K24" s="466"/>
      <c r="L24" s="466"/>
      <c r="M24" s="271">
        <v>646623.74</v>
      </c>
      <c r="N24" s="271"/>
      <c r="P24" s="35" t="s">
        <v>209</v>
      </c>
      <c r="Q24" s="338" t="s">
        <v>207</v>
      </c>
      <c r="R24" s="466">
        <v>121.3</v>
      </c>
      <c r="S24" s="466"/>
      <c r="T24" s="466"/>
      <c r="U24" s="271">
        <v>646623.74</v>
      </c>
    </row>
    <row r="25" spans="1:23" ht="44.25" customHeight="1" x14ac:dyDescent="0.25">
      <c r="A25"/>
      <c r="B25" s="338"/>
      <c r="C25" s="338"/>
      <c r="D25" s="338"/>
      <c r="E25" s="308"/>
      <c r="F25" s="443"/>
      <c r="H25" s="35" t="s">
        <v>209</v>
      </c>
      <c r="I25" s="338" t="s">
        <v>208</v>
      </c>
      <c r="J25" s="466">
        <v>53.09</v>
      </c>
      <c r="K25" s="466"/>
      <c r="L25" s="466"/>
      <c r="M25" s="271">
        <v>455242.52</v>
      </c>
      <c r="N25" s="271"/>
      <c r="P25" s="35" t="s">
        <v>209</v>
      </c>
      <c r="Q25" s="338" t="s">
        <v>208</v>
      </c>
      <c r="R25" s="466">
        <v>53.09</v>
      </c>
      <c r="S25" s="466"/>
      <c r="T25" s="466"/>
      <c r="U25" s="271">
        <v>455242.52</v>
      </c>
    </row>
    <row r="26" spans="1:23" ht="23.25" customHeight="1" x14ac:dyDescent="0.25">
      <c r="A26"/>
      <c r="B26" s="338"/>
      <c r="C26" s="338"/>
      <c r="D26" s="338"/>
      <c r="E26" s="308"/>
      <c r="F26" s="271"/>
      <c r="H26"/>
      <c r="I26" s="338"/>
      <c r="J26" s="338"/>
      <c r="K26" s="338"/>
      <c r="L26" s="308"/>
      <c r="M26" s="332">
        <f>M22+M24+M25</f>
        <v>211041558.35200003</v>
      </c>
      <c r="N26" s="271"/>
      <c r="P26"/>
      <c r="Q26" s="338"/>
      <c r="R26" s="338"/>
      <c r="S26" s="338"/>
      <c r="T26" s="308"/>
      <c r="U26" s="332">
        <f>U22+U24+U25</f>
        <v>221101866.26000002</v>
      </c>
    </row>
    <row r="27" spans="1:23" ht="44.25" customHeight="1" x14ac:dyDescent="0.25">
      <c r="A27"/>
      <c r="B27" s="375" t="s">
        <v>190</v>
      </c>
      <c r="C27" s="375"/>
      <c r="D27" s="375"/>
      <c r="E27" s="308"/>
      <c r="F27" s="271">
        <f>F21/D13</f>
        <v>92227.530813888574</v>
      </c>
      <c r="H27"/>
      <c r="I27" s="328"/>
      <c r="J27" s="328"/>
      <c r="K27" s="328"/>
      <c r="L27" s="308"/>
      <c r="M27" s="271"/>
      <c r="N27" s="271"/>
      <c r="P27"/>
      <c r="Q27" s="328"/>
      <c r="R27" s="328"/>
      <c r="S27" s="308"/>
      <c r="T27" s="308"/>
      <c r="U27" s="271"/>
    </row>
    <row r="28" spans="1:23" ht="37.5" customHeight="1" x14ac:dyDescent="0.25">
      <c r="H28"/>
      <c r="I28" s="375" t="s">
        <v>190</v>
      </c>
      <c r="J28" s="375"/>
      <c r="K28" s="375"/>
      <c r="L28" s="308"/>
      <c r="M28" s="271">
        <f>M22/K13</f>
        <v>101028.52137030179</v>
      </c>
      <c r="N28" s="271"/>
      <c r="P28"/>
      <c r="Q28" s="271"/>
      <c r="R28" s="271"/>
      <c r="S28" s="308"/>
      <c r="T28" s="308"/>
      <c r="U28" s="271">
        <f>U22/S13</f>
        <v>105869.80708596244</v>
      </c>
      <c r="W28" s="263">
        <f>U28*1791.69</f>
        <v>189685874.65784806</v>
      </c>
    </row>
    <row r="29" spans="1:23" x14ac:dyDescent="0.25">
      <c r="W29" s="25">
        <f>W28+U24+U25</f>
        <v>190787740.91784808</v>
      </c>
    </row>
    <row r="34" spans="9:12" x14ac:dyDescent="0.25">
      <c r="I34" s="25"/>
      <c r="J34" s="243"/>
      <c r="K34" s="243"/>
      <c r="L34" s="243"/>
    </row>
    <row r="35" spans="9:12" x14ac:dyDescent="0.25">
      <c r="J35" s="243"/>
      <c r="K35" s="243"/>
      <c r="L35" s="243"/>
    </row>
    <row r="36" spans="9:12" x14ac:dyDescent="0.25">
      <c r="J36" s="243"/>
      <c r="K36" s="243"/>
      <c r="L36" s="243"/>
    </row>
    <row r="37" spans="9:12" x14ac:dyDescent="0.25">
      <c r="J37" s="243"/>
      <c r="K37" s="243"/>
      <c r="L37" s="243"/>
    </row>
    <row r="38" spans="9:12" x14ac:dyDescent="0.25">
      <c r="J38" s="243"/>
      <c r="K38" s="243"/>
      <c r="L38" s="243"/>
    </row>
  </sheetData>
  <mergeCells count="36">
    <mergeCell ref="D11:E11"/>
    <mergeCell ref="D12:E12"/>
    <mergeCell ref="B27:D27"/>
    <mergeCell ref="D6:E6"/>
    <mergeCell ref="D7:E7"/>
    <mergeCell ref="D8:E8"/>
    <mergeCell ref="D9:E9"/>
    <mergeCell ref="D10:E10"/>
    <mergeCell ref="A1:F1"/>
    <mergeCell ref="D2:E2"/>
    <mergeCell ref="D3:E3"/>
    <mergeCell ref="D4:E4"/>
    <mergeCell ref="D5:E5"/>
    <mergeCell ref="S20:T20"/>
    <mergeCell ref="I28:K28"/>
    <mergeCell ref="U3:U9"/>
    <mergeCell ref="S3:T9"/>
    <mergeCell ref="R3:R9"/>
    <mergeCell ref="Q3:Q9"/>
    <mergeCell ref="K11:L11"/>
    <mergeCell ref="S11:T11"/>
    <mergeCell ref="K12:L12"/>
    <mergeCell ref="S12:T12"/>
    <mergeCell ref="K9:L9"/>
    <mergeCell ref="K10:L10"/>
    <mergeCell ref="S10:T10"/>
    <mergeCell ref="K7:L7"/>
    <mergeCell ref="K8:L8"/>
    <mergeCell ref="K5:L5"/>
    <mergeCell ref="K6:L6"/>
    <mergeCell ref="K3:L3"/>
    <mergeCell ref="K4:L4"/>
    <mergeCell ref="H1:M1"/>
    <mergeCell ref="Q1:U1"/>
    <mergeCell ref="K2:L2"/>
    <mergeCell ref="S2:T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34F9-4BCE-4233-8EAD-F9D7A6E50936}">
  <sheetPr>
    <tabColor rgb="FFFF0000"/>
  </sheetPr>
  <dimension ref="E2:G39"/>
  <sheetViews>
    <sheetView tabSelected="1" workbookViewId="0">
      <selection activeCell="L32" sqref="L32"/>
    </sheetView>
  </sheetViews>
  <sheetFormatPr defaultRowHeight="15" x14ac:dyDescent="0.25"/>
  <cols>
    <col min="6" max="6" width="91.42578125" bestFit="1" customWidth="1"/>
    <col min="7" max="7" width="28.7109375" bestFit="1" customWidth="1"/>
  </cols>
  <sheetData>
    <row r="2" spans="5:7" ht="15.75" thickBot="1" x14ac:dyDescent="0.3"/>
    <row r="3" spans="5:7" ht="22.5" customHeight="1" x14ac:dyDescent="0.25">
      <c r="E3" s="457" t="s">
        <v>229</v>
      </c>
      <c r="F3" s="458"/>
      <c r="G3" s="459"/>
    </row>
    <row r="4" spans="5:7" x14ac:dyDescent="0.25">
      <c r="E4" s="446" t="s">
        <v>37</v>
      </c>
      <c r="F4" s="445" t="s">
        <v>218</v>
      </c>
      <c r="G4" s="447" t="s">
        <v>219</v>
      </c>
    </row>
    <row r="5" spans="5:7" x14ac:dyDescent="0.25">
      <c r="E5" s="448">
        <v>1</v>
      </c>
      <c r="F5" s="444" t="s">
        <v>215</v>
      </c>
      <c r="G5" s="12">
        <v>155057461.56</v>
      </c>
    </row>
    <row r="6" spans="5:7" x14ac:dyDescent="0.25">
      <c r="E6" s="448">
        <v>2</v>
      </c>
      <c r="F6" s="444" t="s">
        <v>216</v>
      </c>
      <c r="G6" s="12">
        <v>4651723.8499999996</v>
      </c>
    </row>
    <row r="7" spans="5:7" x14ac:dyDescent="0.25">
      <c r="E7" s="448">
        <v>3</v>
      </c>
      <c r="F7" s="444" t="s">
        <v>217</v>
      </c>
      <c r="G7" s="12">
        <f>G5+G6</f>
        <v>159709185.41</v>
      </c>
    </row>
    <row r="8" spans="5:7" ht="15.75" thickBot="1" x14ac:dyDescent="0.3">
      <c r="E8" s="449">
        <v>4</v>
      </c>
      <c r="F8" s="450" t="s">
        <v>33</v>
      </c>
      <c r="G8" s="451">
        <f>G7*1.2</f>
        <v>191651022.49199998</v>
      </c>
    </row>
    <row r="10" spans="5:7" ht="15.75" thickBot="1" x14ac:dyDescent="0.3"/>
    <row r="11" spans="5:7" ht="22.5" customHeight="1" x14ac:dyDescent="0.25">
      <c r="E11" s="457" t="s">
        <v>230</v>
      </c>
      <c r="F11" s="458"/>
      <c r="G11" s="459"/>
    </row>
    <row r="12" spans="5:7" x14ac:dyDescent="0.25">
      <c r="E12" s="446" t="s">
        <v>37</v>
      </c>
      <c r="F12" s="445" t="s">
        <v>218</v>
      </c>
      <c r="G12" s="447" t="s">
        <v>21</v>
      </c>
    </row>
    <row r="13" spans="5:7" x14ac:dyDescent="0.25">
      <c r="E13" s="452">
        <v>1</v>
      </c>
      <c r="F13" s="444" t="s">
        <v>220</v>
      </c>
      <c r="G13" s="12">
        <v>2078.02</v>
      </c>
    </row>
    <row r="14" spans="5:7" x14ac:dyDescent="0.25">
      <c r="E14" s="452">
        <v>2</v>
      </c>
      <c r="F14" s="444" t="s">
        <v>221</v>
      </c>
      <c r="G14" s="12">
        <f>56.7+54</f>
        <v>110.7</v>
      </c>
    </row>
    <row r="15" spans="5:7" ht="15.75" thickBot="1" x14ac:dyDescent="0.3">
      <c r="E15" s="453">
        <v>3</v>
      </c>
      <c r="F15" s="450" t="s">
        <v>222</v>
      </c>
      <c r="G15" s="454"/>
    </row>
    <row r="16" spans="5:7" ht="15.75" thickBot="1" x14ac:dyDescent="0.3">
      <c r="G16" s="25"/>
    </row>
    <row r="17" spans="5:7" ht="23.25" customHeight="1" x14ac:dyDescent="0.25">
      <c r="E17" s="457" t="s">
        <v>233</v>
      </c>
      <c r="F17" s="458"/>
      <c r="G17" s="459"/>
    </row>
    <row r="18" spans="5:7" x14ac:dyDescent="0.25">
      <c r="E18" s="448">
        <v>1</v>
      </c>
      <c r="F18" s="444" t="s">
        <v>228</v>
      </c>
      <c r="G18" s="12">
        <f>G13+G14</f>
        <v>2188.7199999999998</v>
      </c>
    </row>
    <row r="19" spans="5:7" x14ac:dyDescent="0.25">
      <c r="E19" s="448">
        <v>2</v>
      </c>
      <c r="F19" s="444" t="s">
        <v>223</v>
      </c>
      <c r="G19" s="12">
        <f>G8/G18</f>
        <v>87563.060826419096</v>
      </c>
    </row>
    <row r="20" spans="5:7" ht="15.75" thickBot="1" x14ac:dyDescent="0.3">
      <c r="E20" s="449">
        <v>3</v>
      </c>
      <c r="F20" s="450" t="s">
        <v>224</v>
      </c>
      <c r="G20" s="451">
        <f>G8/G13</f>
        <v>92227.708343519305</v>
      </c>
    </row>
    <row r="21" spans="5:7" ht="15.75" thickBot="1" x14ac:dyDescent="0.3"/>
    <row r="22" spans="5:7" ht="23.25" customHeight="1" x14ac:dyDescent="0.25">
      <c r="E22" s="460" t="s">
        <v>231</v>
      </c>
      <c r="F22" s="461"/>
      <c r="G22" s="462"/>
    </row>
    <row r="23" spans="5:7" x14ac:dyDescent="0.25">
      <c r="E23" s="448">
        <v>1</v>
      </c>
      <c r="F23" s="444" t="s">
        <v>235</v>
      </c>
      <c r="G23" s="12">
        <f>G5*0.021</f>
        <v>3256206.6927600005</v>
      </c>
    </row>
    <row r="24" spans="5:7" x14ac:dyDescent="0.25">
      <c r="E24" s="448">
        <v>2</v>
      </c>
      <c r="F24" s="444" t="s">
        <v>225</v>
      </c>
      <c r="G24" s="12">
        <f>G23+G5</f>
        <v>158313668.25275999</v>
      </c>
    </row>
    <row r="25" spans="5:7" x14ac:dyDescent="0.25">
      <c r="E25" s="448">
        <v>3</v>
      </c>
      <c r="F25" s="444" t="s">
        <v>226</v>
      </c>
      <c r="G25" s="12">
        <f>G24*0.03</f>
        <v>4749410.0475827996</v>
      </c>
    </row>
    <row r="26" spans="5:7" x14ac:dyDescent="0.25">
      <c r="E26" s="448">
        <v>4</v>
      </c>
      <c r="F26" s="444" t="s">
        <v>214</v>
      </c>
      <c r="G26" s="12">
        <v>7402497.7333333334</v>
      </c>
    </row>
    <row r="27" spans="5:7" x14ac:dyDescent="0.25">
      <c r="E27" s="448">
        <v>5</v>
      </c>
      <c r="F27" s="444" t="s">
        <v>227</v>
      </c>
      <c r="G27" s="12">
        <f>G24+G25+G26</f>
        <v>170465576.03367612</v>
      </c>
    </row>
    <row r="28" spans="5:7" x14ac:dyDescent="0.25">
      <c r="E28" s="448">
        <v>6</v>
      </c>
      <c r="F28" s="444" t="s">
        <v>203</v>
      </c>
      <c r="G28" s="12">
        <f>G27*1.033</f>
        <v>176090940.0427874</v>
      </c>
    </row>
    <row r="29" spans="5:7" ht="15.75" thickBot="1" x14ac:dyDescent="0.3">
      <c r="E29" s="449">
        <v>7</v>
      </c>
      <c r="F29" s="450" t="s">
        <v>232</v>
      </c>
      <c r="G29" s="451">
        <f>G28*1.2</f>
        <v>211309128.05134487</v>
      </c>
    </row>
    <row r="30" spans="5:7" ht="15.75" thickBot="1" x14ac:dyDescent="0.3"/>
    <row r="31" spans="5:7" x14ac:dyDescent="0.25">
      <c r="E31" s="264">
        <v>1</v>
      </c>
      <c r="F31" s="455" t="s">
        <v>223</v>
      </c>
      <c r="G31" s="456">
        <f>G29/G18</f>
        <v>96544.614227194383</v>
      </c>
    </row>
    <row r="32" spans="5:7" ht="15.75" thickBot="1" x14ac:dyDescent="0.3">
      <c r="E32" s="449">
        <v>2</v>
      </c>
      <c r="F32" s="450" t="s">
        <v>224</v>
      </c>
      <c r="G32" s="451">
        <f>G29/G13</f>
        <v>101687.72584062949</v>
      </c>
    </row>
    <row r="33" spans="5:7" ht="15.75" thickBot="1" x14ac:dyDescent="0.3"/>
    <row r="34" spans="5:7" ht="23.25" customHeight="1" x14ac:dyDescent="0.25">
      <c r="E34" s="457" t="s">
        <v>234</v>
      </c>
      <c r="F34" s="458"/>
      <c r="G34" s="459"/>
    </row>
    <row r="35" spans="5:7" x14ac:dyDescent="0.25">
      <c r="E35" s="448">
        <v>1</v>
      </c>
      <c r="F35" s="444" t="s">
        <v>236</v>
      </c>
      <c r="G35" s="12">
        <v>646623.74</v>
      </c>
    </row>
    <row r="36" spans="5:7" x14ac:dyDescent="0.25">
      <c r="E36" s="448">
        <v>2</v>
      </c>
      <c r="F36" s="444" t="s">
        <v>237</v>
      </c>
      <c r="G36" s="12">
        <v>455242.52</v>
      </c>
    </row>
    <row r="37" spans="5:7" ht="15.75" thickBot="1" x14ac:dyDescent="0.3">
      <c r="E37" s="449">
        <v>3</v>
      </c>
      <c r="F37" s="450" t="s">
        <v>232</v>
      </c>
      <c r="G37" s="451">
        <f>SUM(G35:G36)</f>
        <v>1101866.26</v>
      </c>
    </row>
    <row r="39" spans="5:7" ht="20.25" customHeight="1" x14ac:dyDescent="0.25">
      <c r="E39" s="464" t="s">
        <v>238</v>
      </c>
      <c r="F39" s="465"/>
      <c r="G39" s="463">
        <f>G37+G29</f>
        <v>212410994.31134486</v>
      </c>
    </row>
  </sheetData>
  <mergeCells count="6">
    <mergeCell ref="E3:G3"/>
    <mergeCell ref="E11:G11"/>
    <mergeCell ref="E22:G22"/>
    <mergeCell ref="E17:G17"/>
    <mergeCell ref="E34:G34"/>
    <mergeCell ref="E39:F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368" t="s">
        <v>201</v>
      </c>
      <c r="B1" s="369"/>
      <c r="C1" s="369"/>
      <c r="D1" s="369"/>
      <c r="E1" s="369"/>
      <c r="F1" s="370"/>
      <c r="G1" s="323"/>
      <c r="I1" s="324"/>
      <c r="J1" s="369" t="s">
        <v>206</v>
      </c>
      <c r="K1" s="369"/>
      <c r="L1" s="369"/>
      <c r="M1" s="369"/>
      <c r="N1" s="370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52" t="s">
        <v>21</v>
      </c>
      <c r="E2" s="353"/>
      <c r="F2" s="57" t="s">
        <v>32</v>
      </c>
      <c r="I2" s="297" t="s">
        <v>58</v>
      </c>
      <c r="J2" s="55" t="s">
        <v>73</v>
      </c>
      <c r="K2" s="315" t="s">
        <v>18</v>
      </c>
      <c r="L2" s="391" t="s">
        <v>21</v>
      </c>
      <c r="M2" s="353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v>10022991.91</v>
      </c>
      <c r="I3" s="298">
        <v>1</v>
      </c>
      <c r="J3" s="84" t="s">
        <v>0</v>
      </c>
      <c r="K3" s="85" t="s">
        <v>19</v>
      </c>
      <c r="L3" s="354">
        <f>404.352+9.256</f>
        <v>413.60799999999995</v>
      </c>
      <c r="M3" s="355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54">
        <f>676.624+295.152</f>
        <v>971.77600000000007</v>
      </c>
      <c r="E4" s="355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54">
        <f>676.624+295.152</f>
        <v>971.77600000000007</v>
      </c>
      <c r="M4" s="355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48">
        <v>284.85599999999999</v>
      </c>
      <c r="E5" s="349"/>
      <c r="F5" s="89">
        <v>29847559.98</v>
      </c>
      <c r="I5" s="299">
        <v>3</v>
      </c>
      <c r="J5" s="87" t="s">
        <v>8</v>
      </c>
      <c r="K5" s="88" t="s">
        <v>19</v>
      </c>
      <c r="L5" s="348">
        <v>284.85599999999999</v>
      </c>
      <c r="M5" s="349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48">
        <v>103.27200000000001</v>
      </c>
      <c r="E6" s="349"/>
      <c r="F6" s="89">
        <v>6218924.8699999992</v>
      </c>
      <c r="I6" s="299">
        <v>4</v>
      </c>
      <c r="J6" s="87" t="s">
        <v>1</v>
      </c>
      <c r="K6" s="88" t="s">
        <v>19</v>
      </c>
      <c r="L6" s="348">
        <v>103.27200000000001</v>
      </c>
      <c r="M6" s="349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48">
        <v>66.872</v>
      </c>
      <c r="E7" s="349"/>
      <c r="F7" s="89">
        <v>4525782.0099999988</v>
      </c>
      <c r="I7" s="299">
        <v>5</v>
      </c>
      <c r="J7" s="87" t="s">
        <v>2</v>
      </c>
      <c r="K7" s="88" t="s">
        <v>19</v>
      </c>
      <c r="L7" s="348">
        <v>66.872</v>
      </c>
      <c r="M7" s="349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48">
        <v>233.27199999999999</v>
      </c>
      <c r="E8" s="349"/>
      <c r="F8" s="89">
        <v>17401032.069999997</v>
      </c>
      <c r="I8" s="299">
        <v>6</v>
      </c>
      <c r="J8" s="87" t="s">
        <v>3</v>
      </c>
      <c r="K8" s="88" t="s">
        <v>19</v>
      </c>
      <c r="L8" s="348">
        <v>233.27199999999999</v>
      </c>
      <c r="M8" s="349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350">
        <v>4.3680000000000003</v>
      </c>
      <c r="E9" s="351"/>
      <c r="F9" s="92">
        <v>714028.58000000007</v>
      </c>
      <c r="I9" s="300">
        <v>7</v>
      </c>
      <c r="J9" s="90" t="s">
        <v>4</v>
      </c>
      <c r="K9" s="91" t="s">
        <v>19</v>
      </c>
      <c r="L9" s="350">
        <v>4.3680000000000003</v>
      </c>
      <c r="M9" s="351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8" t="s">
        <v>162</v>
      </c>
      <c r="E10" s="389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392" t="s">
        <v>185</v>
      </c>
      <c r="M10" s="372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382" t="s">
        <v>163</v>
      </c>
      <c r="E11" s="383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393" t="s">
        <v>186</v>
      </c>
      <c r="M11" s="385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6">
        <f>47.6596*100</f>
        <v>4765.96</v>
      </c>
      <c r="E12" s="387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394">
        <v>4765.96</v>
      </c>
      <c r="M12" s="387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390"/>
      <c r="M20" s="374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375" t="s">
        <v>190</v>
      </c>
      <c r="C25" s="375"/>
      <c r="D25" s="375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  <mergeCell ref="B25:D25"/>
    <mergeCell ref="D12:E12"/>
    <mergeCell ref="D11:E11"/>
    <mergeCell ref="D10:E10"/>
    <mergeCell ref="D4:E4"/>
    <mergeCell ref="D5:E5"/>
    <mergeCell ref="D6:E6"/>
    <mergeCell ref="D7:E7"/>
    <mergeCell ref="A1:F1"/>
    <mergeCell ref="D3:E3"/>
    <mergeCell ref="D8:E8"/>
    <mergeCell ref="D9:E9"/>
    <mergeCell ref="D2:E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I30" sqref="I30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01" t="s">
        <v>165</v>
      </c>
      <c r="B1" s="402"/>
      <c r="C1" s="402"/>
      <c r="D1" s="402"/>
      <c r="E1" s="402"/>
      <c r="F1" s="403"/>
      <c r="G1" s="401" t="s">
        <v>178</v>
      </c>
      <c r="H1" s="402"/>
      <c r="I1" s="403"/>
      <c r="J1" s="395" t="s">
        <v>179</v>
      </c>
      <c r="K1" s="396"/>
      <c r="L1" s="397"/>
      <c r="M1" s="395" t="s">
        <v>180</v>
      </c>
      <c r="N1" s="396"/>
      <c r="O1" s="397"/>
      <c r="P1" s="395" t="s">
        <v>181</v>
      </c>
      <c r="Q1" s="396"/>
      <c r="R1" s="397"/>
      <c r="S1" s="395" t="s">
        <v>182</v>
      </c>
      <c r="T1" s="396"/>
      <c r="U1" s="397"/>
      <c r="V1" s="395" t="s">
        <v>183</v>
      </c>
      <c r="W1" s="396"/>
      <c r="X1" s="397"/>
      <c r="Y1" s="395" t="s">
        <v>184</v>
      </c>
      <c r="Z1" s="396"/>
      <c r="AA1" s="397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52" t="s">
        <v>21</v>
      </c>
      <c r="E2" s="353"/>
      <c r="F2" s="57" t="s">
        <v>32</v>
      </c>
      <c r="G2" s="391" t="s">
        <v>21</v>
      </c>
      <c r="H2" s="353"/>
      <c r="I2" s="57" t="s">
        <v>32</v>
      </c>
      <c r="J2" s="391" t="s">
        <v>21</v>
      </c>
      <c r="K2" s="353"/>
      <c r="L2" s="57" t="s">
        <v>32</v>
      </c>
      <c r="M2" s="391" t="s">
        <v>21</v>
      </c>
      <c r="N2" s="353"/>
      <c r="O2" s="57" t="s">
        <v>32</v>
      </c>
      <c r="P2" s="391" t="s">
        <v>21</v>
      </c>
      <c r="Q2" s="353"/>
      <c r="R2" s="57" t="s">
        <v>32</v>
      </c>
      <c r="S2" s="391" t="s">
        <v>21</v>
      </c>
      <c r="T2" s="353"/>
      <c r="U2" s="57" t="s">
        <v>32</v>
      </c>
      <c r="V2" s="391" t="s">
        <v>21</v>
      </c>
      <c r="W2" s="353"/>
      <c r="X2" s="57" t="s">
        <v>32</v>
      </c>
      <c r="Y2" s="391" t="s">
        <v>21</v>
      </c>
      <c r="Z2" s="353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v>10022991.91</v>
      </c>
      <c r="G3" s="404">
        <v>292.42</v>
      </c>
      <c r="H3" s="405"/>
      <c r="I3" s="86">
        <v>7165777.4999999963</v>
      </c>
      <c r="J3" s="398">
        <v>1791.69</v>
      </c>
      <c r="K3" s="363"/>
      <c r="L3" s="376">
        <v>139860049.75999999</v>
      </c>
      <c r="M3" s="398">
        <v>1791.69</v>
      </c>
      <c r="N3" s="363"/>
      <c r="O3" s="376">
        <v>139860049.75999999</v>
      </c>
      <c r="P3" s="398">
        <v>1791.69</v>
      </c>
      <c r="Q3" s="363"/>
      <c r="R3" s="376">
        <v>139860049.75999999</v>
      </c>
      <c r="S3" s="398">
        <v>1791.69</v>
      </c>
      <c r="T3" s="363"/>
      <c r="U3" s="376">
        <v>139860049.75999999</v>
      </c>
      <c r="V3" s="398">
        <v>1791.69</v>
      </c>
      <c r="W3" s="363"/>
      <c r="X3" s="376">
        <v>139860049.75999999</v>
      </c>
      <c r="Y3" s="398">
        <v>1791.69</v>
      </c>
      <c r="Z3" s="363"/>
      <c r="AA3" s="376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54">
        <f>676.624+295.152</f>
        <v>971.77600000000007</v>
      </c>
      <c r="E4" s="355"/>
      <c r="F4" s="89">
        <f>28449520.75+12410042.86</f>
        <v>40859563.609999999</v>
      </c>
      <c r="G4" s="406">
        <f>941.29+53.14</f>
        <v>994.43</v>
      </c>
      <c r="H4" s="349"/>
      <c r="I4" s="89">
        <f>39932164.78+2234339.1</f>
        <v>42166503.880000003</v>
      </c>
      <c r="J4" s="399"/>
      <c r="K4" s="365"/>
      <c r="L4" s="377"/>
      <c r="M4" s="399"/>
      <c r="N4" s="365"/>
      <c r="O4" s="377"/>
      <c r="P4" s="399"/>
      <c r="Q4" s="365"/>
      <c r="R4" s="377"/>
      <c r="S4" s="399"/>
      <c r="T4" s="365"/>
      <c r="U4" s="377"/>
      <c r="V4" s="399"/>
      <c r="W4" s="365"/>
      <c r="X4" s="377"/>
      <c r="Y4" s="399"/>
      <c r="Z4" s="365"/>
      <c r="AA4" s="377"/>
    </row>
    <row r="5" spans="1:111" ht="30" x14ac:dyDescent="0.25">
      <c r="A5" s="299">
        <v>3</v>
      </c>
      <c r="B5" s="87" t="s">
        <v>8</v>
      </c>
      <c r="C5" s="88" t="s">
        <v>19</v>
      </c>
      <c r="D5" s="348">
        <v>284.85599999999999</v>
      </c>
      <c r="E5" s="349"/>
      <c r="F5" s="89">
        <v>29847559.98</v>
      </c>
      <c r="G5" s="406">
        <v>213.17</v>
      </c>
      <c r="H5" s="349"/>
      <c r="I5" s="89">
        <v>22336213.16</v>
      </c>
      <c r="J5" s="399"/>
      <c r="K5" s="365"/>
      <c r="L5" s="377"/>
      <c r="M5" s="399"/>
      <c r="N5" s="365"/>
      <c r="O5" s="377"/>
      <c r="P5" s="399"/>
      <c r="Q5" s="365"/>
      <c r="R5" s="377"/>
      <c r="S5" s="399"/>
      <c r="T5" s="365"/>
      <c r="U5" s="377"/>
      <c r="V5" s="399"/>
      <c r="W5" s="365"/>
      <c r="X5" s="377"/>
      <c r="Y5" s="399"/>
      <c r="Z5" s="365"/>
      <c r="AA5" s="377"/>
    </row>
    <row r="6" spans="1:111" x14ac:dyDescent="0.25">
      <c r="A6" s="299">
        <v>4</v>
      </c>
      <c r="B6" s="87" t="s">
        <v>1</v>
      </c>
      <c r="C6" s="88" t="s">
        <v>19</v>
      </c>
      <c r="D6" s="348">
        <v>103.27200000000001</v>
      </c>
      <c r="E6" s="349"/>
      <c r="F6" s="89">
        <v>6218924.8699999992</v>
      </c>
      <c r="G6" s="406">
        <v>61.69</v>
      </c>
      <c r="H6" s="349"/>
      <c r="I6" s="89">
        <v>3714903.1500000004</v>
      </c>
      <c r="J6" s="399"/>
      <c r="K6" s="365"/>
      <c r="L6" s="377"/>
      <c r="M6" s="399"/>
      <c r="N6" s="365"/>
      <c r="O6" s="377"/>
      <c r="P6" s="399"/>
      <c r="Q6" s="365"/>
      <c r="R6" s="377"/>
      <c r="S6" s="399"/>
      <c r="T6" s="365"/>
      <c r="U6" s="377"/>
      <c r="V6" s="399"/>
      <c r="W6" s="365"/>
      <c r="X6" s="377"/>
      <c r="Y6" s="399"/>
      <c r="Z6" s="365"/>
      <c r="AA6" s="377"/>
    </row>
    <row r="7" spans="1:111" ht="30" x14ac:dyDescent="0.25">
      <c r="A7" s="299">
        <v>5</v>
      </c>
      <c r="B7" s="87" t="s">
        <v>2</v>
      </c>
      <c r="C7" s="88" t="s">
        <v>19</v>
      </c>
      <c r="D7" s="348">
        <v>66.872</v>
      </c>
      <c r="E7" s="349"/>
      <c r="F7" s="89">
        <v>4525782.0099999988</v>
      </c>
      <c r="G7" s="406">
        <v>41.95</v>
      </c>
      <c r="H7" s="349"/>
      <c r="I7" s="89">
        <v>2839000</v>
      </c>
      <c r="J7" s="399"/>
      <c r="K7" s="365"/>
      <c r="L7" s="377"/>
      <c r="M7" s="399"/>
      <c r="N7" s="365"/>
      <c r="O7" s="377"/>
      <c r="P7" s="399"/>
      <c r="Q7" s="365"/>
      <c r="R7" s="377"/>
      <c r="S7" s="399"/>
      <c r="T7" s="365"/>
      <c r="U7" s="377"/>
      <c r="V7" s="399"/>
      <c r="W7" s="365"/>
      <c r="X7" s="377"/>
      <c r="Y7" s="399"/>
      <c r="Z7" s="365"/>
      <c r="AA7" s="377"/>
    </row>
    <row r="8" spans="1:111" x14ac:dyDescent="0.25">
      <c r="A8" s="299">
        <v>6</v>
      </c>
      <c r="B8" s="87" t="s">
        <v>3</v>
      </c>
      <c r="C8" s="88" t="s">
        <v>19</v>
      </c>
      <c r="D8" s="348">
        <v>233.27199999999999</v>
      </c>
      <c r="E8" s="349"/>
      <c r="F8" s="89">
        <v>17401032.069999997</v>
      </c>
      <c r="G8" s="406">
        <v>182.95</v>
      </c>
      <c r="H8" s="349"/>
      <c r="I8" s="89">
        <v>13647239.470000003</v>
      </c>
      <c r="J8" s="399"/>
      <c r="K8" s="365"/>
      <c r="L8" s="377"/>
      <c r="M8" s="399"/>
      <c r="N8" s="365"/>
      <c r="O8" s="377"/>
      <c r="P8" s="399"/>
      <c r="Q8" s="365"/>
      <c r="R8" s="377"/>
      <c r="S8" s="399"/>
      <c r="T8" s="365"/>
      <c r="U8" s="377"/>
      <c r="V8" s="399"/>
      <c r="W8" s="365"/>
      <c r="X8" s="377"/>
      <c r="Y8" s="399"/>
      <c r="Z8" s="365"/>
      <c r="AA8" s="377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350">
        <v>4.3680000000000003</v>
      </c>
      <c r="E9" s="351"/>
      <c r="F9" s="92">
        <v>714028.58000000007</v>
      </c>
      <c r="G9" s="407">
        <v>5.08</v>
      </c>
      <c r="H9" s="351"/>
      <c r="I9" s="92">
        <v>831105.78</v>
      </c>
      <c r="J9" s="400"/>
      <c r="K9" s="367"/>
      <c r="L9" s="378"/>
      <c r="M9" s="400"/>
      <c r="N9" s="367"/>
      <c r="O9" s="378"/>
      <c r="P9" s="400"/>
      <c r="Q9" s="367"/>
      <c r="R9" s="378"/>
      <c r="S9" s="400"/>
      <c r="T9" s="367"/>
      <c r="U9" s="378"/>
      <c r="V9" s="400"/>
      <c r="W9" s="367"/>
      <c r="X9" s="378"/>
      <c r="Y9" s="400"/>
      <c r="Z9" s="367"/>
      <c r="AA9" s="378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388" t="s">
        <v>162</v>
      </c>
      <c r="E10" s="389"/>
      <c r="F10" s="43">
        <v>3704032.4099999992</v>
      </c>
      <c r="G10" s="392" t="s">
        <v>185</v>
      </c>
      <c r="H10" s="372"/>
      <c r="I10" s="43">
        <v>3807347.4499999997</v>
      </c>
      <c r="J10" s="392" t="s">
        <v>185</v>
      </c>
      <c r="K10" s="372"/>
      <c r="L10" s="43">
        <v>3807347.4499999997</v>
      </c>
      <c r="M10" s="392" t="s">
        <v>185</v>
      </c>
      <c r="N10" s="372"/>
      <c r="O10" s="43">
        <v>3807347.4499999997</v>
      </c>
      <c r="P10" s="392" t="s">
        <v>185</v>
      </c>
      <c r="Q10" s="372"/>
      <c r="R10" s="43">
        <v>3807347.4499999997</v>
      </c>
      <c r="S10" s="392" t="s">
        <v>185</v>
      </c>
      <c r="T10" s="372"/>
      <c r="U10" s="43">
        <v>3807347.4499999997</v>
      </c>
      <c r="V10" s="392" t="s">
        <v>185</v>
      </c>
      <c r="W10" s="372"/>
      <c r="X10" s="43">
        <v>3807347.4499999997</v>
      </c>
      <c r="Y10" s="392" t="s">
        <v>185</v>
      </c>
      <c r="Z10" s="372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382" t="s">
        <v>163</v>
      </c>
      <c r="E11" s="383"/>
      <c r="F11" s="29">
        <v>15227354.290000003</v>
      </c>
      <c r="G11" s="393" t="s">
        <v>186</v>
      </c>
      <c r="H11" s="385"/>
      <c r="I11" s="29">
        <v>14168223.84</v>
      </c>
      <c r="J11" s="393" t="s">
        <v>186</v>
      </c>
      <c r="K11" s="385"/>
      <c r="L11" s="29">
        <v>14168223.84</v>
      </c>
      <c r="M11" s="393" t="s">
        <v>186</v>
      </c>
      <c r="N11" s="385"/>
      <c r="O11" s="29">
        <v>14168223.84</v>
      </c>
      <c r="P11" s="393" t="s">
        <v>186</v>
      </c>
      <c r="Q11" s="385"/>
      <c r="R11" s="29">
        <v>14168223.84</v>
      </c>
      <c r="S11" s="393" t="s">
        <v>186</v>
      </c>
      <c r="T11" s="385"/>
      <c r="U11" s="29">
        <v>14168223.84</v>
      </c>
      <c r="V11" s="393" t="s">
        <v>186</v>
      </c>
      <c r="W11" s="385"/>
      <c r="X11" s="29">
        <v>14168223.84</v>
      </c>
      <c r="Y11" s="393" t="s">
        <v>186</v>
      </c>
      <c r="Z11" s="385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386">
        <f>47.6596*100</f>
        <v>4765.96</v>
      </c>
      <c r="E12" s="387"/>
      <c r="F12" s="33">
        <v>1105733.3899999999</v>
      </c>
      <c r="G12" s="394">
        <v>4765.96</v>
      </c>
      <c r="H12" s="387"/>
      <c r="I12" s="33">
        <v>1105733.3899999999</v>
      </c>
      <c r="J12" s="394">
        <v>4765.96</v>
      </c>
      <c r="K12" s="387"/>
      <c r="L12" s="33">
        <v>1105733.3899999999</v>
      </c>
      <c r="M12" s="394">
        <v>4765.96</v>
      </c>
      <c r="N12" s="387"/>
      <c r="O12" s="33">
        <v>1105733.3899999999</v>
      </c>
      <c r="P12" s="394">
        <v>4765.96</v>
      </c>
      <c r="Q12" s="387"/>
      <c r="R12" s="33">
        <v>1105733.3899999999</v>
      </c>
      <c r="S12" s="394">
        <v>4765.96</v>
      </c>
      <c r="T12" s="387"/>
      <c r="U12" s="33">
        <v>1105733.3899999999</v>
      </c>
      <c r="V12" s="394">
        <v>4765.96</v>
      </c>
      <c r="W12" s="387"/>
      <c r="X12" s="33">
        <v>1105733.3899999999</v>
      </c>
      <c r="Y12" s="394">
        <v>4765.96</v>
      </c>
      <c r="Z12" s="387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390" t="s">
        <v>155</v>
      </c>
      <c r="H19" s="374"/>
      <c r="I19" s="66">
        <v>137606949.4666667</v>
      </c>
      <c r="J19" s="390" t="s">
        <v>169</v>
      </c>
      <c r="K19" s="374"/>
      <c r="L19" s="66">
        <v>137606949.4666667</v>
      </c>
      <c r="M19" s="390" t="s">
        <v>171</v>
      </c>
      <c r="N19" s="374"/>
      <c r="O19" s="66">
        <v>159709185.41</v>
      </c>
      <c r="P19" s="390" t="s">
        <v>169</v>
      </c>
      <c r="Q19" s="374"/>
      <c r="R19" s="66">
        <v>147270803.80000001</v>
      </c>
      <c r="S19" s="390" t="s">
        <v>171</v>
      </c>
      <c r="T19" s="374"/>
      <c r="U19" s="66">
        <v>169413352.53</v>
      </c>
      <c r="V19" s="390" t="s">
        <v>169</v>
      </c>
      <c r="W19" s="374"/>
      <c r="X19" s="66">
        <v>157676066.63</v>
      </c>
      <c r="Y19" s="390" t="s">
        <v>171</v>
      </c>
      <c r="Z19" s="374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375" t="s">
        <v>188</v>
      </c>
      <c r="C23" s="375"/>
      <c r="D23" s="375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375" t="s">
        <v>189</v>
      </c>
      <c r="C25" s="375"/>
      <c r="D25" s="375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375" t="s">
        <v>190</v>
      </c>
      <c r="C27" s="375"/>
      <c r="D27" s="375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P1:R1"/>
    <mergeCell ref="P2:Q2"/>
    <mergeCell ref="P3:Q9"/>
    <mergeCell ref="R3:R9"/>
    <mergeCell ref="P10:Q10"/>
    <mergeCell ref="P11:Q11"/>
    <mergeCell ref="P12:Q12"/>
    <mergeCell ref="P19:Q19"/>
    <mergeCell ref="V10:W10"/>
    <mergeCell ref="V11:W11"/>
    <mergeCell ref="V12:W12"/>
    <mergeCell ref="V19:W19"/>
    <mergeCell ref="S11:T11"/>
    <mergeCell ref="S1:U1"/>
    <mergeCell ref="S2:T2"/>
    <mergeCell ref="S3:T9"/>
    <mergeCell ref="U3:U9"/>
    <mergeCell ref="S10:T10"/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52" t="s">
        <v>21</v>
      </c>
      <c r="E2" s="353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54">
        <f>676.624+295.152</f>
        <v>971.77600000000007</v>
      </c>
      <c r="E4" s="355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48">
        <v>284.85599999999999</v>
      </c>
      <c r="E5" s="349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48">
        <v>103.27200000000001</v>
      </c>
      <c r="E6" s="349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48">
        <v>66.872</v>
      </c>
      <c r="E7" s="349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48">
        <v>233.27199999999999</v>
      </c>
      <c r="E8" s="349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350">
        <v>4.3680000000000003</v>
      </c>
      <c r="E9" s="351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388" t="s">
        <v>162</v>
      </c>
      <c r="E10" s="389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382" t="s">
        <v>163</v>
      </c>
      <c r="E11" s="383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343">
        <f>47.6596*100</f>
        <v>4765.96</v>
      </c>
      <c r="E12" s="344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08" t="s">
        <v>164</v>
      </c>
      <c r="H17" s="409"/>
      <c r="I17" s="409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52" t="s">
        <v>21</v>
      </c>
      <c r="E21" s="353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54">
        <v>292.42</v>
      </c>
      <c r="E22" s="355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54">
        <f>941.29+53.14</f>
        <v>994.43</v>
      </c>
      <c r="E23" s="355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48">
        <v>213.17</v>
      </c>
      <c r="E24" s="349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48">
        <v>61.69</v>
      </c>
      <c r="E25" s="349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48">
        <v>41.95</v>
      </c>
      <c r="E26" s="349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48">
        <v>182.95</v>
      </c>
      <c r="E27" s="349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350">
        <v>5.08</v>
      </c>
      <c r="E28" s="351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12" t="s">
        <v>160</v>
      </c>
      <c r="E29" s="413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384" t="s">
        <v>161</v>
      </c>
      <c r="E30" s="385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343">
        <v>4765.96</v>
      </c>
      <c r="E31" s="344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08" t="s">
        <v>164</v>
      </c>
      <c r="H36" s="409"/>
      <c r="I36" s="409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52" t="s">
        <v>21</v>
      </c>
      <c r="E40" s="353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10">
        <v>1791.69</v>
      </c>
      <c r="E41" s="411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12" t="s">
        <v>160</v>
      </c>
      <c r="E42" s="413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384" t="s">
        <v>161</v>
      </c>
      <c r="E43" s="385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343">
        <v>4765.96</v>
      </c>
      <c r="E44" s="344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08" t="s">
        <v>164</v>
      </c>
      <c r="H49" s="409"/>
      <c r="I49" s="409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52" t="s">
        <v>21</v>
      </c>
      <c r="E53" s="353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10">
        <v>1791.69</v>
      </c>
      <c r="E54" s="411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12" t="s">
        <v>160</v>
      </c>
      <c r="E55" s="413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384" t="s">
        <v>161</v>
      </c>
      <c r="E56" s="385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343">
        <v>4765.96</v>
      </c>
      <c r="E57" s="344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08" t="s">
        <v>164</v>
      </c>
      <c r="H62" s="409"/>
      <c r="I62" s="409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52" t="s">
        <v>21</v>
      </c>
      <c r="E66" s="353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10">
        <v>1791.69</v>
      </c>
      <c r="E67" s="411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12" t="s">
        <v>160</v>
      </c>
      <c r="E68" s="413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384" t="s">
        <v>161</v>
      </c>
      <c r="E69" s="385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343">
        <v>4765.96</v>
      </c>
      <c r="E70" s="344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08" t="s">
        <v>164</v>
      </c>
      <c r="H77" s="409"/>
      <c r="I77" s="409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52" t="s">
        <v>21</v>
      </c>
      <c r="E81" s="353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10">
        <v>1791.69</v>
      </c>
      <c r="E82" s="411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12" t="s">
        <v>160</v>
      </c>
      <c r="E83" s="413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384" t="s">
        <v>161</v>
      </c>
      <c r="E84" s="385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343">
        <v>4765.96</v>
      </c>
      <c r="E85" s="344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08" t="s">
        <v>164</v>
      </c>
      <c r="H92" s="409"/>
      <c r="I92" s="409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52" t="s">
        <v>21</v>
      </c>
      <c r="E96" s="353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10">
        <v>1791.69</v>
      </c>
      <c r="E97" s="411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12" t="s">
        <v>160</v>
      </c>
      <c r="E98" s="413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384" t="s">
        <v>161</v>
      </c>
      <c r="E99" s="385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343">
        <v>4765.96</v>
      </c>
      <c r="E100" s="344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08"/>
      <c r="H107" s="409"/>
      <c r="I107" s="409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08" t="s">
        <v>164</v>
      </c>
      <c r="H108" s="409"/>
      <c r="I108" s="409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52" t="s">
        <v>21</v>
      </c>
      <c r="E112" s="353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10">
        <v>1791.69</v>
      </c>
      <c r="E113" s="411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12" t="s">
        <v>160</v>
      </c>
      <c r="E114" s="413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384" t="s">
        <v>161</v>
      </c>
      <c r="E115" s="385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343">
        <v>4765.96</v>
      </c>
      <c r="E116" s="344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08"/>
      <c r="H123" s="409"/>
      <c r="I123" s="409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08" t="s">
        <v>164</v>
      </c>
      <c r="H124" s="409"/>
      <c r="I124" s="409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G17:I17"/>
    <mergeCell ref="D21:E21"/>
    <mergeCell ref="D22:E22"/>
    <mergeCell ref="D23:E23"/>
    <mergeCell ref="D24:E24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D44:E44"/>
    <mergeCell ref="G49:I49"/>
    <mergeCell ref="D41:E41"/>
    <mergeCell ref="D42:E42"/>
    <mergeCell ref="D43:E43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100:E100"/>
    <mergeCell ref="D81:E81"/>
    <mergeCell ref="D82:E82"/>
    <mergeCell ref="D83:E83"/>
    <mergeCell ref="D84:E84"/>
    <mergeCell ref="D85:E85"/>
    <mergeCell ref="G92:I92"/>
    <mergeCell ref="D96:E96"/>
    <mergeCell ref="D97:E97"/>
    <mergeCell ref="D98:E98"/>
    <mergeCell ref="D99:E99"/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52" t="s">
        <v>21</v>
      </c>
      <c r="L2" s="353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52" t="s">
        <v>21</v>
      </c>
      <c r="T2" s="353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23">
        <v>292.42</v>
      </c>
      <c r="L3" s="424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25">
        <v>1791.6900000000003</v>
      </c>
      <c r="T3" s="426"/>
      <c r="U3" s="345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54">
        <f>676.624</f>
        <v>676.62400000000002</v>
      </c>
      <c r="E4" s="355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21">
        <v>941.29</v>
      </c>
      <c r="L4" s="422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27"/>
      <c r="T4" s="428"/>
      <c r="U4" s="346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23">
        <v>53.14</v>
      </c>
      <c r="L5" s="424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27"/>
      <c r="T5" s="428"/>
      <c r="U5" s="346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21">
        <v>213.17</v>
      </c>
      <c r="L6" s="422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27"/>
      <c r="T6" s="428"/>
      <c r="U6" s="346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21">
        <v>61.69</v>
      </c>
      <c r="L7" s="422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27"/>
      <c r="T7" s="428"/>
      <c r="U7" s="346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21">
        <v>41.95</v>
      </c>
      <c r="L8" s="422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27"/>
      <c r="T8" s="428"/>
      <c r="U8" s="346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19">
        <v>182.95</v>
      </c>
      <c r="L9" s="420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27"/>
      <c r="T9" s="428"/>
      <c r="U9" s="346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350">
        <v>5.08</v>
      </c>
      <c r="L10" s="351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29"/>
      <c r="T10" s="430"/>
      <c r="U10" s="347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339" t="s">
        <v>139</v>
      </c>
      <c r="E12" s="340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14" t="s">
        <v>141</v>
      </c>
      <c r="L12" s="415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14" t="s">
        <v>141</v>
      </c>
      <c r="T12" s="415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341" t="s">
        <v>142</v>
      </c>
      <c r="E13" s="342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17" t="s">
        <v>140</v>
      </c>
      <c r="L13" s="418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17" t="s">
        <v>140</v>
      </c>
      <c r="T13" s="418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343">
        <f>47.6596*100</f>
        <v>4765.96</v>
      </c>
      <c r="E14" s="344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343">
        <f>47.6596*100</f>
        <v>4765.96</v>
      </c>
      <c r="L14" s="344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343">
        <f>47.6596*100</f>
        <v>4765.96</v>
      </c>
      <c r="T14" s="344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16" t="s">
        <v>53</v>
      </c>
      <c r="C24" s="416"/>
      <c r="D24" s="416"/>
      <c r="E24" s="79"/>
      <c r="F24" s="93">
        <f>(F3+F4+F5+F6+F7+F8+F9+F10)*G19*1.2/D16</f>
        <v>75700.428816399144</v>
      </c>
      <c r="G24" s="39"/>
      <c r="I24" s="416" t="s">
        <v>53</v>
      </c>
      <c r="J24" s="416"/>
      <c r="K24" s="416"/>
      <c r="L24" s="79"/>
      <c r="M24" s="93">
        <f>(M3+M4+M5+M6+M7+M8+M9+M10)*N19*1.2/K16</f>
        <v>74204.915168345775</v>
      </c>
      <c r="N24" s="39"/>
      <c r="Q24" s="416" t="s">
        <v>53</v>
      </c>
      <c r="R24" s="416"/>
      <c r="S24" s="416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16" t="s">
        <v>54</v>
      </c>
      <c r="C25" s="416"/>
      <c r="D25" s="416"/>
      <c r="E25" s="79"/>
      <c r="F25" s="93">
        <f>F16*G19*1.2/D16</f>
        <v>89541.292052319011</v>
      </c>
      <c r="G25" s="39"/>
      <c r="I25" s="416" t="s">
        <v>54</v>
      </c>
      <c r="J25" s="416"/>
      <c r="K25" s="416"/>
      <c r="L25" s="79"/>
      <c r="M25" s="93">
        <f>M16*N19*1.2/K16</f>
        <v>89479.081804145753</v>
      </c>
      <c r="N25" s="39"/>
      <c r="Q25" s="416" t="s">
        <v>54</v>
      </c>
      <c r="R25" s="416"/>
      <c r="S25" s="416"/>
      <c r="T25" s="79"/>
      <c r="U25" s="93">
        <f>U16*V19*1.2/S16</f>
        <v>89479.081804145724</v>
      </c>
      <c r="V25" s="39"/>
    </row>
    <row r="26" spans="1:22" ht="37.5" customHeight="1" x14ac:dyDescent="0.25">
      <c r="B26" s="416" t="s">
        <v>55</v>
      </c>
      <c r="C26" s="416"/>
      <c r="D26" s="416"/>
      <c r="E26" s="79"/>
      <c r="F26" s="93">
        <f>F22/D16</f>
        <v>92227.530813888574</v>
      </c>
      <c r="G26" s="39"/>
      <c r="I26" s="416" t="s">
        <v>55</v>
      </c>
      <c r="J26" s="416"/>
      <c r="K26" s="416"/>
      <c r="L26" s="79"/>
      <c r="M26" s="93">
        <f>M22/K16</f>
        <v>92163.45425827014</v>
      </c>
      <c r="N26" s="39"/>
      <c r="Q26" s="416" t="s">
        <v>55</v>
      </c>
      <c r="R26" s="416"/>
      <c r="S26" s="416"/>
      <c r="T26" s="79"/>
      <c r="U26" s="93">
        <f>U22/S16</f>
        <v>92163.454258270081</v>
      </c>
      <c r="V26" s="39"/>
    </row>
  </sheetData>
  <mergeCells count="39">
    <mergeCell ref="S14:T14"/>
    <mergeCell ref="Q24:S24"/>
    <mergeCell ref="Q25:S25"/>
    <mergeCell ref="Q26:S26"/>
    <mergeCell ref="S2:T2"/>
    <mergeCell ref="S3:T10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K9:L9"/>
    <mergeCell ref="D10:E10"/>
    <mergeCell ref="K10:L10"/>
    <mergeCell ref="K8:L8"/>
    <mergeCell ref="D9:E9"/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52" t="s">
        <v>21</v>
      </c>
      <c r="E2" s="353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52" t="s">
        <v>21</v>
      </c>
      <c r="M2" s="353"/>
      <c r="N2" s="57" t="s">
        <v>32</v>
      </c>
      <c r="Q2" s="54" t="s">
        <v>58</v>
      </c>
      <c r="R2" s="55" t="s">
        <v>73</v>
      </c>
      <c r="S2" s="56" t="s">
        <v>18</v>
      </c>
      <c r="T2" s="352" t="s">
        <v>21</v>
      </c>
      <c r="U2" s="353"/>
      <c r="V2" s="57" t="s">
        <v>32</v>
      </c>
      <c r="X2" s="54" t="s">
        <v>58</v>
      </c>
      <c r="Y2" s="55" t="s">
        <v>73</v>
      </c>
      <c r="Z2" s="56" t="s">
        <v>18</v>
      </c>
      <c r="AA2" s="352" t="s">
        <v>21</v>
      </c>
      <c r="AB2" s="353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54">
        <f>404.352+9.256</f>
        <v>413.60799999999995</v>
      </c>
      <c r="E3" s="355"/>
      <c r="F3" s="86">
        <f>40619316.42-G3</f>
        <v>10022991.91</v>
      </c>
      <c r="G3" s="36">
        <v>30596324.510000002</v>
      </c>
      <c r="H3" s="36"/>
      <c r="I3" s="81">
        <v>1</v>
      </c>
      <c r="J3" s="356" t="s">
        <v>47</v>
      </c>
      <c r="K3" s="85" t="s">
        <v>19</v>
      </c>
      <c r="L3" s="354">
        <f>404.352+9.256</f>
        <v>413.60799999999995</v>
      </c>
      <c r="M3" s="355"/>
      <c r="N3" s="345">
        <v>164516389.53999999</v>
      </c>
      <c r="Q3" s="81">
        <v>1</v>
      </c>
      <c r="R3" s="356" t="s">
        <v>47</v>
      </c>
      <c r="S3" s="359" t="s">
        <v>19</v>
      </c>
      <c r="T3" s="425">
        <v>1791.6900000000003</v>
      </c>
      <c r="U3" s="426"/>
      <c r="V3" s="345">
        <v>139860049.75999999</v>
      </c>
      <c r="X3" s="81">
        <v>1</v>
      </c>
      <c r="Y3" s="356" t="s">
        <v>47</v>
      </c>
      <c r="Z3" s="359" t="s">
        <v>19</v>
      </c>
      <c r="AA3" s="425">
        <f>T3</f>
        <v>1791.6900000000003</v>
      </c>
      <c r="AB3" s="426"/>
      <c r="AC3" s="345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48">
        <f>676.624</f>
        <v>676.62400000000002</v>
      </c>
      <c r="E4" s="349"/>
      <c r="F4" s="89">
        <f>77526903.96-G4</f>
        <v>28449520.749999993</v>
      </c>
      <c r="G4" s="36">
        <v>49077383.210000001</v>
      </c>
      <c r="H4" s="36"/>
      <c r="I4" s="82">
        <v>2</v>
      </c>
      <c r="J4" s="357"/>
      <c r="K4" s="88" t="s">
        <v>19</v>
      </c>
      <c r="L4" s="348">
        <f>676.624</f>
        <v>676.62400000000002</v>
      </c>
      <c r="M4" s="349"/>
      <c r="N4" s="346"/>
      <c r="Q4" s="82">
        <v>2</v>
      </c>
      <c r="R4" s="357"/>
      <c r="S4" s="360"/>
      <c r="T4" s="427"/>
      <c r="U4" s="428"/>
      <c r="V4" s="346"/>
      <c r="X4" s="82">
        <v>2</v>
      </c>
      <c r="Y4" s="357"/>
      <c r="Z4" s="360"/>
      <c r="AA4" s="427"/>
      <c r="AB4" s="428"/>
      <c r="AC4" s="346"/>
    </row>
    <row r="5" spans="1:31" x14ac:dyDescent="0.25">
      <c r="A5" s="82">
        <v>3</v>
      </c>
      <c r="B5" s="87" t="s">
        <v>26</v>
      </c>
      <c r="C5" s="88" t="s">
        <v>19</v>
      </c>
      <c r="D5" s="348">
        <v>295.15199999999999</v>
      </c>
      <c r="E5" s="349"/>
      <c r="F5" s="89">
        <f>35252578.16-G5</f>
        <v>12410042.859999996</v>
      </c>
      <c r="G5" s="36">
        <v>22842535.300000001</v>
      </c>
      <c r="H5" s="36"/>
      <c r="I5" s="82">
        <v>3</v>
      </c>
      <c r="J5" s="357"/>
      <c r="K5" s="88" t="s">
        <v>19</v>
      </c>
      <c r="L5" s="348">
        <v>295.15199999999999</v>
      </c>
      <c r="M5" s="349"/>
      <c r="N5" s="346"/>
      <c r="Q5" s="82">
        <v>3</v>
      </c>
      <c r="R5" s="357"/>
      <c r="S5" s="360"/>
      <c r="T5" s="427"/>
      <c r="U5" s="428"/>
      <c r="V5" s="346"/>
      <c r="X5" s="82">
        <v>3</v>
      </c>
      <c r="Y5" s="357"/>
      <c r="Z5" s="360"/>
      <c r="AA5" s="427"/>
      <c r="AB5" s="428"/>
      <c r="AC5" s="346"/>
    </row>
    <row r="6" spans="1:31" ht="30" x14ac:dyDescent="0.25">
      <c r="A6" s="82">
        <v>4</v>
      </c>
      <c r="B6" s="87" t="s">
        <v>8</v>
      </c>
      <c r="C6" s="88" t="s">
        <v>19</v>
      </c>
      <c r="D6" s="348">
        <v>284.85599999999999</v>
      </c>
      <c r="E6" s="349"/>
      <c r="F6" s="89">
        <f>54348406.96-G6</f>
        <v>29847559.98</v>
      </c>
      <c r="G6" s="36">
        <v>24500846.98</v>
      </c>
      <c r="H6" s="36"/>
      <c r="I6" s="82">
        <v>4</v>
      </c>
      <c r="J6" s="357"/>
      <c r="K6" s="88" t="s">
        <v>19</v>
      </c>
      <c r="L6" s="348">
        <v>284.85599999999999</v>
      </c>
      <c r="M6" s="349"/>
      <c r="N6" s="346"/>
      <c r="Q6" s="82">
        <v>4</v>
      </c>
      <c r="R6" s="357"/>
      <c r="S6" s="360"/>
      <c r="T6" s="427"/>
      <c r="U6" s="428"/>
      <c r="V6" s="346"/>
      <c r="X6" s="82">
        <v>4</v>
      </c>
      <c r="Y6" s="357"/>
      <c r="Z6" s="360"/>
      <c r="AA6" s="427"/>
      <c r="AB6" s="428"/>
      <c r="AC6" s="346"/>
    </row>
    <row r="7" spans="1:31" x14ac:dyDescent="0.25">
      <c r="A7" s="82">
        <v>5</v>
      </c>
      <c r="B7" s="87" t="s">
        <v>1</v>
      </c>
      <c r="C7" s="88" t="s">
        <v>19</v>
      </c>
      <c r="D7" s="348">
        <v>103.27200000000001</v>
      </c>
      <c r="E7" s="349"/>
      <c r="F7" s="89">
        <f>14658524.85-G7</f>
        <v>6218924.8699999992</v>
      </c>
      <c r="G7" s="36">
        <v>8439599.9800000004</v>
      </c>
      <c r="H7" s="36"/>
      <c r="I7" s="82">
        <v>5</v>
      </c>
      <c r="J7" s="357"/>
      <c r="K7" s="88" t="s">
        <v>19</v>
      </c>
      <c r="L7" s="348">
        <v>103.27200000000001</v>
      </c>
      <c r="M7" s="349"/>
      <c r="N7" s="346"/>
      <c r="Q7" s="82">
        <v>5</v>
      </c>
      <c r="R7" s="357"/>
      <c r="S7" s="360"/>
      <c r="T7" s="427"/>
      <c r="U7" s="428"/>
      <c r="V7" s="346"/>
      <c r="X7" s="82">
        <v>5</v>
      </c>
      <c r="Y7" s="357"/>
      <c r="Z7" s="360"/>
      <c r="AA7" s="427"/>
      <c r="AB7" s="428"/>
      <c r="AC7" s="346"/>
    </row>
    <row r="8" spans="1:31" ht="30" x14ac:dyDescent="0.25">
      <c r="A8" s="82">
        <v>6</v>
      </c>
      <c r="B8" s="87" t="s">
        <v>2</v>
      </c>
      <c r="C8" s="88" t="s">
        <v>19</v>
      </c>
      <c r="D8" s="348">
        <v>66.872</v>
      </c>
      <c r="E8" s="349"/>
      <c r="F8" s="89">
        <f>9352168.79-G8</f>
        <v>4525782.0099999988</v>
      </c>
      <c r="G8" s="36">
        <v>4826386.78</v>
      </c>
      <c r="H8" s="36"/>
      <c r="I8" s="82">
        <v>6</v>
      </c>
      <c r="J8" s="357"/>
      <c r="K8" s="88" t="s">
        <v>19</v>
      </c>
      <c r="L8" s="348">
        <v>66.872</v>
      </c>
      <c r="M8" s="349"/>
      <c r="N8" s="346"/>
      <c r="Q8" s="82">
        <v>6</v>
      </c>
      <c r="R8" s="357"/>
      <c r="S8" s="360"/>
      <c r="T8" s="427"/>
      <c r="U8" s="428"/>
      <c r="V8" s="346"/>
      <c r="X8" s="82">
        <v>6</v>
      </c>
      <c r="Y8" s="357"/>
      <c r="Z8" s="360"/>
      <c r="AA8" s="427"/>
      <c r="AB8" s="428"/>
      <c r="AC8" s="346"/>
    </row>
    <row r="9" spans="1:31" x14ac:dyDescent="0.25">
      <c r="A9" s="82">
        <v>7</v>
      </c>
      <c r="B9" s="87" t="s">
        <v>3</v>
      </c>
      <c r="C9" s="88" t="s">
        <v>19</v>
      </c>
      <c r="D9" s="348">
        <v>233.27199999999999</v>
      </c>
      <c r="E9" s="349"/>
      <c r="F9" s="89">
        <f>34523672.98-G9</f>
        <v>17401032.069999997</v>
      </c>
      <c r="G9" s="36">
        <v>17122640.91</v>
      </c>
      <c r="H9" s="36"/>
      <c r="I9" s="82">
        <v>7</v>
      </c>
      <c r="J9" s="357"/>
      <c r="K9" s="88" t="s">
        <v>19</v>
      </c>
      <c r="L9" s="348">
        <v>233.27199999999999</v>
      </c>
      <c r="M9" s="349"/>
      <c r="N9" s="346"/>
      <c r="Q9" s="82">
        <v>7</v>
      </c>
      <c r="R9" s="357"/>
      <c r="S9" s="360"/>
      <c r="T9" s="427"/>
      <c r="U9" s="428"/>
      <c r="V9" s="346"/>
      <c r="X9" s="82">
        <v>7</v>
      </c>
      <c r="Y9" s="357"/>
      <c r="Z9" s="360"/>
      <c r="AA9" s="427"/>
      <c r="AB9" s="428"/>
      <c r="AC9" s="346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350">
        <v>4.3680000000000003</v>
      </c>
      <c r="E10" s="351"/>
      <c r="F10" s="92">
        <f>1043243.99-G10</f>
        <v>714028.58000000007</v>
      </c>
      <c r="G10" s="36">
        <v>329215.40999999997</v>
      </c>
      <c r="H10" s="36"/>
      <c r="I10" s="83">
        <v>8</v>
      </c>
      <c r="J10" s="358"/>
      <c r="K10" s="91" t="s">
        <v>19</v>
      </c>
      <c r="L10" s="350">
        <v>4.3680000000000003</v>
      </c>
      <c r="M10" s="351"/>
      <c r="N10" s="347"/>
      <c r="Q10" s="83">
        <v>8</v>
      </c>
      <c r="R10" s="358"/>
      <c r="S10" s="361"/>
      <c r="T10" s="429"/>
      <c r="U10" s="430"/>
      <c r="V10" s="347"/>
      <c r="X10" s="83">
        <v>8</v>
      </c>
      <c r="Y10" s="358"/>
      <c r="Z10" s="361"/>
      <c r="AA10" s="429"/>
      <c r="AB10" s="430"/>
      <c r="AC10" s="347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339" t="s">
        <v>31</v>
      </c>
      <c r="E12" s="340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339" t="s">
        <v>31</v>
      </c>
      <c r="M12" s="340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339" t="s">
        <v>31</v>
      </c>
      <c r="U12" s="340"/>
      <c r="V12" s="43">
        <v>3807347.4499999997</v>
      </c>
      <c r="X12" s="53">
        <v>9</v>
      </c>
      <c r="Y12" s="50" t="s">
        <v>27</v>
      </c>
      <c r="Z12" s="42" t="s">
        <v>29</v>
      </c>
      <c r="AA12" s="339" t="s">
        <v>31</v>
      </c>
      <c r="AB12" s="340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341" t="s">
        <v>30</v>
      </c>
      <c r="E13" s="342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341" t="s">
        <v>30</v>
      </c>
      <c r="M13" s="342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341" t="s">
        <v>30</v>
      </c>
      <c r="U13" s="342"/>
      <c r="V13" s="29">
        <v>14168223.84</v>
      </c>
      <c r="X13" s="52">
        <v>10</v>
      </c>
      <c r="Y13" s="51" t="s">
        <v>28</v>
      </c>
      <c r="Z13" s="40" t="s">
        <v>29</v>
      </c>
      <c r="AA13" s="341" t="s">
        <v>30</v>
      </c>
      <c r="AB13" s="342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343">
        <f>47.6596*100</f>
        <v>4765.96</v>
      </c>
      <c r="E14" s="344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343">
        <f>47.6596*100</f>
        <v>4765.96</v>
      </c>
      <c r="M14" s="344"/>
      <c r="N14" s="73">
        <v>1105733.3899999999</v>
      </c>
      <c r="Q14" s="70">
        <v>11</v>
      </c>
      <c r="R14" s="71" t="s">
        <v>17</v>
      </c>
      <c r="S14" s="72" t="s">
        <v>20</v>
      </c>
      <c r="T14" s="343">
        <f>47.6596*100</f>
        <v>4765.96</v>
      </c>
      <c r="U14" s="344"/>
      <c r="V14" s="73">
        <v>1105733.3899999999</v>
      </c>
      <c r="X14" s="70">
        <v>11</v>
      </c>
      <c r="Y14" s="71" t="s">
        <v>17</v>
      </c>
      <c r="Z14" s="72" t="s">
        <v>20</v>
      </c>
      <c r="AA14" s="343">
        <f>47.6596*100</f>
        <v>4765.96</v>
      </c>
      <c r="AB14" s="344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16" t="s">
        <v>53</v>
      </c>
      <c r="C26" s="416"/>
      <c r="D26" s="416"/>
      <c r="E26" s="79"/>
      <c r="F26" s="93">
        <v>75700.428816399144</v>
      </c>
      <c r="G26" s="39"/>
      <c r="H26" s="39"/>
      <c r="J26" s="416" t="s">
        <v>53</v>
      </c>
      <c r="K26" s="416"/>
      <c r="L26" s="416"/>
      <c r="M26" s="79"/>
      <c r="N26" s="93">
        <f>164516389.54/L16</f>
        <v>79169.629195812944</v>
      </c>
      <c r="R26" s="416" t="s">
        <v>53</v>
      </c>
      <c r="S26" s="416"/>
      <c r="T26" s="416"/>
      <c r="U26" s="79"/>
      <c r="V26" s="93">
        <f>V3*W21*1.2/T16</f>
        <v>79547.562427080207</v>
      </c>
      <c r="Y26" s="416" t="s">
        <v>53</v>
      </c>
      <c r="Z26" s="416"/>
      <c r="AA26" s="416"/>
      <c r="AB26" s="79"/>
      <c r="AC26" s="93">
        <f>AC3*AD21*1.2/AA16</f>
        <v>79183.350751794234</v>
      </c>
    </row>
    <row r="27" spans="1:31" ht="30.75" customHeight="1" x14ac:dyDescent="0.25">
      <c r="B27" s="416" t="s">
        <v>54</v>
      </c>
      <c r="C27" s="416"/>
      <c r="D27" s="416"/>
      <c r="E27" s="79"/>
      <c r="F27" s="93">
        <v>89541.292052319011</v>
      </c>
      <c r="G27" s="39"/>
      <c r="H27" s="39"/>
      <c r="J27" s="416" t="s">
        <v>54</v>
      </c>
      <c r="K27" s="416"/>
      <c r="L27" s="416"/>
      <c r="M27" s="79"/>
      <c r="N27" s="93">
        <f>185090075.82/L16</f>
        <v>89070.230093588907</v>
      </c>
      <c r="R27" s="416" t="s">
        <v>54</v>
      </c>
      <c r="S27" s="416"/>
      <c r="T27" s="416"/>
      <c r="U27" s="79"/>
      <c r="V27" s="93">
        <f>V18*W21*1.2/T16</f>
        <v>95763.014005272547</v>
      </c>
      <c r="Y27" s="416" t="s">
        <v>54</v>
      </c>
      <c r="Z27" s="416"/>
      <c r="AA27" s="416"/>
      <c r="AB27" s="79"/>
      <c r="AC27" s="93">
        <f>AC18*AD21*1.2/AA16</f>
        <v>91876.162842837439</v>
      </c>
    </row>
    <row r="28" spans="1:31" ht="37.5" customHeight="1" x14ac:dyDescent="0.25">
      <c r="B28" s="416" t="s">
        <v>55</v>
      </c>
      <c r="C28" s="416"/>
      <c r="D28" s="416"/>
      <c r="E28" s="79"/>
      <c r="F28" s="93">
        <f>F24/D16</f>
        <v>92227.530813888574</v>
      </c>
      <c r="G28" s="39"/>
      <c r="H28" s="39"/>
      <c r="J28" s="416" t="s">
        <v>55</v>
      </c>
      <c r="K28" s="416"/>
      <c r="L28" s="416"/>
      <c r="M28" s="79"/>
      <c r="N28" s="93">
        <f>N24/L16</f>
        <v>92227.530814851038</v>
      </c>
      <c r="R28" s="416" t="s">
        <v>55</v>
      </c>
      <c r="S28" s="416"/>
      <c r="T28" s="416"/>
      <c r="U28" s="79"/>
      <c r="V28" s="93">
        <f>V24/T16</f>
        <v>98635.904425430737</v>
      </c>
      <c r="Y28" s="416" t="s">
        <v>55</v>
      </c>
      <c r="Z28" s="416"/>
      <c r="AA28" s="416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16" t="s">
        <v>55</v>
      </c>
      <c r="C32" s="416"/>
      <c r="D32" s="416"/>
      <c r="E32" s="79"/>
      <c r="F32" s="93" t="e">
        <f>F28/D20</f>
        <v>#DIV/0!</v>
      </c>
      <c r="G32" s="39"/>
      <c r="H32" s="39"/>
      <c r="J32" s="416" t="s">
        <v>55</v>
      </c>
      <c r="K32" s="416"/>
      <c r="L32" s="416"/>
      <c r="M32" s="79"/>
      <c r="N32" s="93" t="e">
        <f>N28/L20</f>
        <v>#DIV/0!</v>
      </c>
      <c r="R32" s="416" t="s">
        <v>55</v>
      </c>
      <c r="S32" s="416"/>
      <c r="T32" s="416"/>
      <c r="U32" s="79"/>
      <c r="V32" s="93">
        <f>V30/T16</f>
        <v>105604.92047173338</v>
      </c>
      <c r="Y32" s="416" t="s">
        <v>55</v>
      </c>
      <c r="Z32" s="416"/>
      <c r="AA32" s="416"/>
      <c r="AB32" s="79"/>
      <c r="AC32" s="93">
        <f>AC30/AA16</f>
        <v>101360.07296463114</v>
      </c>
    </row>
  </sheetData>
  <mergeCells count="58"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D13:E13"/>
    <mergeCell ref="L13:M13"/>
    <mergeCell ref="T13:U13"/>
    <mergeCell ref="D14:E14"/>
    <mergeCell ref="L14:M14"/>
    <mergeCell ref="T14:U14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AC3:AC10"/>
    <mergeCell ref="AA12:AB12"/>
    <mergeCell ref="AA13:AB13"/>
    <mergeCell ref="AA14:AB14"/>
    <mergeCell ref="Y26:AA2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2</vt:i4>
      </vt:variant>
    </vt:vector>
  </HeadingPairs>
  <TitlesOfParts>
    <vt:vector size="17" baseType="lpstr">
      <vt:lpstr>!расчет по разделам (3)</vt:lpstr>
      <vt:lpstr>свод-компенс без НДС </vt:lpstr>
      <vt:lpstr>коммерческий расчёт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dcterms:created xsi:type="dcterms:W3CDTF">2025-10-05T16:42:12Z</dcterms:created>
  <dcterms:modified xsi:type="dcterms:W3CDTF">2025-10-23T15:53:38Z</dcterms:modified>
</cp:coreProperties>
</file>