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"/>
    </mc:Choice>
  </mc:AlternateContent>
  <xr:revisionPtr revIDLastSave="0" documentId="8_{8BFF878F-9AD8-4365-95C7-30B3AD7391B0}" xr6:coauthVersionLast="47" xr6:coauthVersionMax="47" xr10:uidLastSave="{00000000-0000-0000-0000-000000000000}"/>
  <bookViews>
    <workbookView xWindow="-98" yWindow="-98" windowWidth="21795" windowHeight="13875" tabRatio="733" firstSheet="1" activeTab="2" xr2:uid="{FFA86EE9-2D57-4644-A65B-22E051DF5F38}"/>
  </bookViews>
  <sheets>
    <sheet name="!расчет по разделам (3)" sheetId="6" state="hidden" r:id="rId1"/>
    <sheet name="свод-компенс без НДС " sheetId="17" r:id="rId2"/>
    <sheet name="коммерческий расчёт" sheetId="18" r:id="rId3"/>
    <sheet name="свод-компенс с НДС" sheetId="16" state="hidden" r:id="rId4"/>
    <sheet name="свод " sheetId="14" r:id="rId5"/>
    <sheet name="свод по ст" sheetId="13" state="hidden" r:id="rId6"/>
    <sheet name="!расчет (2 сценария)" sheetId="12" state="hidden" r:id="rId7"/>
    <sheet name="без настила" sheetId="1" state="hidden" r:id="rId8"/>
    <sheet name="+ЗУ+дефлятор" sheetId="8" state="hidden" r:id="rId9"/>
    <sheet name="!расчет по разделам" sheetId="4" state="hidden" r:id="rId10"/>
    <sheet name="+ЗУ + коэф.инфляции" sheetId="11" state="hidden" r:id="rId11"/>
    <sheet name="расчет дефлятора 2кв_1кв 26г." sheetId="7" r:id="rId12"/>
    <sheet name="Дефл год Базовый Сайт" sheetId="10" state="hidden" r:id="rId13"/>
    <sheet name="расчет по разделам" sheetId="3" state="hidden" r:id="rId14"/>
    <sheet name="с настилом" sheetId="2" state="hidden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2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2" hidden="1">'Дефл год Базовый Сайт'!$A$5:$A$106</definedName>
    <definedName name="Z_0ED5301B_3B9B_4028_A009_D402EF13F98D_.wvu.FilterData" localSheetId="12" hidden="1">'Дефл год Базовый Сайт'!$A$5:$A$100</definedName>
    <definedName name="Z_13B89219_28C6_4883_87AC_E0D1795AD51D_.wvu.FilterData" localSheetId="12" hidden="1">'Дефл год Базовый Сайт'!$A$5:$A$100</definedName>
    <definedName name="Z_268023C0_9BC0_40EB_A535_38BF110897FA_.wvu.FilterData" localSheetId="12" hidden="1">'Дефл год Базовый Сайт'!$A$5:$A$100</definedName>
    <definedName name="Z_3DEEBB3D_1270_47DE_834F_86032DB959D9_.wvu.FilterData" localSheetId="12" hidden="1">'Дефл год Базовый Сайт'!$A$5:$A$100</definedName>
    <definedName name="Z_4E2D07F0_76DB_4630_BC1D_F4D5A502B378_.wvu.FilterData" localSheetId="12" hidden="1">'Дефл год Базовый Сайт'!$A$5:$A$100</definedName>
    <definedName name="Z_572ABAB9_340C_418A_A9AD_B19F14213DA2_.wvu.FilterData" localSheetId="12" hidden="1">'Дефл год Базовый Сайт'!$A$5:$A$100</definedName>
    <definedName name="Z_ABD7BA35_04E1_43E0_AC75_033C3CA6FF3C_.wvu.Cols" localSheetId="12" hidden="1">'Дефл год Базовый Сайт'!#REF!,'Дефл год Базовый Сайт'!#REF!</definedName>
    <definedName name="Z_ABD7BA35_04E1_43E0_AC75_033C3CA6FF3C_.wvu.FilterData" localSheetId="12" hidden="1">'Дефл год Базовый Сайт'!$A$5:$A$100</definedName>
    <definedName name="Z_ABD7BA35_04E1_43E0_AC75_033C3CA6FF3C_.wvu.PrintArea" localSheetId="12" hidden="1">'Дефл год Базовый Сайт'!$A$5:$F$100</definedName>
    <definedName name="Z_C73CA27E_77B2_422A_A773_B235904BACA3_.wvu.Cols" localSheetId="12" hidden="1">'Дефл год Базовый Сайт'!#REF!,'Дефл год Базовый Сайт'!#REF!</definedName>
    <definedName name="Z_C73CA27E_77B2_422A_A773_B235904BACA3_.wvu.FilterData" localSheetId="12" hidden="1">'Дефл год Базовый Сайт'!$A$5:$A$100</definedName>
    <definedName name="Z_C73CA27E_77B2_422A_A773_B235904BACA3_.wvu.PrintArea" localSheetId="12" hidden="1">'Дефл год Базовый Сайт'!$A$5:$F$100</definedName>
    <definedName name="Z_D49940EF_113F_4789_B6E7_8353B816853A_.wvu.Cols" localSheetId="12" hidden="1">'Дефл год Базовый Сайт'!#REF!,'Дефл год Базовый Сайт'!#REF!</definedName>
    <definedName name="Z_D49940EF_113F_4789_B6E7_8353B816853A_.wvu.FilterData" localSheetId="12" hidden="1">'Дефл год Базовый Сайт'!$A$5:$A$100</definedName>
    <definedName name="Z_D49940EF_113F_4789_B6E7_8353B816853A_.wvu.PrintArea" localSheetId="12" hidden="1">'Дефл год Базовый Сайт'!$A$5:$F$100</definedName>
    <definedName name="Z_DCC68DFC_E4AF_484C_822A_D560C6D52926_.wvu.FilterData" localSheetId="12" hidden="1">'Дефл год Базовый Сайт'!$A$5:$A$100</definedName>
    <definedName name="Z_E55F6B6A_DBD3_4117_B149_A082390B8D13_.wvu.Cols" localSheetId="12" hidden="1">'Дефл год Базовый Сайт'!#REF!,'Дефл год Базовый Сайт'!#REF!</definedName>
    <definedName name="Z_E55F6B6A_DBD3_4117_B149_A082390B8D13_.wvu.FilterData" localSheetId="12" hidden="1">'Дефл год Базовый Сайт'!$A$5:$A$100</definedName>
    <definedName name="Z_E55F6B6A_DBD3_4117_B149_A082390B8D13_.wvu.PrintArea" localSheetId="12" hidden="1">'Дефл год Базовый Сайт'!$A$5:$F$100</definedName>
    <definedName name="Z_E9547856_3045_49CA_B3C7_618D2DA21087_.wvu.FilterData" localSheetId="12" hidden="1">'Дефл год Базовый Сайт'!$A$5:$A$100</definedName>
    <definedName name="Z_E9D4ABE5_580B_4EA1_8057_CB16EE65A5F9_.wvu.FilterData" localSheetId="12" hidden="1">'Дефл год Базовый Сайт'!$A$5:$A$100</definedName>
    <definedName name="Z_F49A5623_9435_4BAA_98DE_EAAB0061DE16_.wvu.FilterData" localSheetId="12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2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2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18" l="1"/>
  <c r="G25" i="18"/>
  <c r="U26" i="17" l="1"/>
  <c r="M26" i="17"/>
  <c r="G37" i="18"/>
  <c r="M16" i="17" l="1"/>
  <c r="M19" i="17"/>
  <c r="M17" i="17"/>
  <c r="G14" i="18"/>
  <c r="G18" i="18" s="1"/>
  <c r="G7" i="18"/>
  <c r="G8" i="18" s="1"/>
  <c r="G20" i="18" s="1"/>
  <c r="U20" i="17"/>
  <c r="W13" i="17"/>
  <c r="G27" i="18" l="1"/>
  <c r="G19" i="18"/>
  <c r="G28" i="18" l="1"/>
  <c r="G29" i="18" s="1"/>
  <c r="G32" i="18" l="1"/>
  <c r="G31" i="18"/>
  <c r="G39" i="18"/>
  <c r="M15" i="17"/>
  <c r="F27" i="14"/>
  <c r="F20" i="17"/>
  <c r="F21" i="17" s="1"/>
  <c r="D12" i="17"/>
  <c r="F4" i="17"/>
  <c r="F13" i="17" s="1"/>
  <c r="F16" i="17" s="1"/>
  <c r="F17" i="17" s="1"/>
  <c r="D4" i="17"/>
  <c r="D3" i="17"/>
  <c r="D13" i="17" s="1"/>
  <c r="F27" i="17" l="1"/>
  <c r="F18" i="17"/>
  <c r="U15" i="17"/>
  <c r="U21" i="17"/>
  <c r="U28" i="17" s="1"/>
  <c r="W28" i="17" s="1"/>
  <c r="W29" i="17" s="1"/>
  <c r="M21" i="17"/>
  <c r="M22" i="17" s="1"/>
  <c r="K12" i="17"/>
  <c r="U13" i="17"/>
  <c r="M4" i="17"/>
  <c r="M13" i="17" s="1"/>
  <c r="K4" i="17"/>
  <c r="K3" i="17"/>
  <c r="N4" i="16"/>
  <c r="L4" i="16"/>
  <c r="L3" i="16"/>
  <c r="U16" i="17" l="1"/>
  <c r="K13" i="17"/>
  <c r="M28" i="17" s="1"/>
  <c r="U17" i="17" l="1"/>
  <c r="U18" i="17" s="1"/>
  <c r="U19" i="17" s="1"/>
  <c r="M18" i="17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<sst xmlns="http://schemas.openxmlformats.org/spreadsheetml/2006/main" count="1438" uniqueCount="239">
  <si>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</si>
  <si>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</si>
  <si>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</si>
  <si>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</si>
  <si>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</si>
  <si>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</si>
  <si>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</si>
  <si>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</si>
  <si>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</si>
  <si>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</si>
  <si>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</si>
  <si>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</si>
  <si>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</si>
  <si>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</si>
  <si>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</si>
  <si>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</si>
  <si>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</si>
  <si>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</si>
  <si>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</si>
  <si>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</si>
  <si>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</si>
  <si>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</si>
  <si>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</si>
  <si>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</si>
  <si>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</si>
  <si>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</si>
  <si>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</si>
  <si>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</si>
  <si>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</si>
  <si>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</si>
  <si>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</si>
  <si>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</si>
  <si>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</si>
  <si>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</si>
  <si>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</si>
  <si>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</si>
  <si>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</si>
  <si>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</si>
  <si>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</si>
  <si>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</si>
  <si>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</si>
  <si>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</si>
  <si>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</si>
  <si>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</si>
  <si>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</si>
  <si>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</si>
  <si>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</si>
  <si>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</si>
  <si>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</si>
  <si>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</si>
  <si>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</si>
  <si>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</si>
  <si>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</si>
  <si>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</si>
  <si>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</si>
  <si>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</si>
  <si>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</si>
  <si>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</si>
  <si>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</si>
  <si>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</si>
  <si>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</si>
  <si>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</si>
  <si>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</si>
  <si>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</si>
  <si>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</si>
  <si>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</si>
  <si>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</si>
  <si>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</si>
  <si>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</si>
  <si>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</si>
  <si>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</si>
  <si>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</si>
  <si>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</si>
  <si>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</si>
  <si>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</si>
  <si>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</si>
  <si>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</si>
  <si>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</si>
  <si>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</si>
  <si>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</si>
  <si>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</si>
  <si>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</si>
  <si>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</si>
  <si>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</si>
  <si>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</si>
  <si>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</si>
  <si>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</si>
  <si>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</si>
  <si>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</si>
  <si>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</si>
  <si>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</si>
  <si>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</si>
  <si>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</si>
  <si>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</si>
  <si>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</si>
  <si>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</si>
  <si>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</si>
  <si>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</si>
  <si>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</si>
  <si>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</si>
  <si>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</si>
  <si>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</si>
  <si>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</si>
  <si>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</si>
  <si>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</si>
  <si>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</si>
  <si>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</si>
  <si>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</si>
  <si>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</si>
  <si>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</si>
  <si>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</si>
  <si>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</si>
  <si>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</si>
  <si>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</si>
  <si>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</si>
  <si>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</si>
  <si>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</si>
  <si>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</si>
  <si>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</si>
  <si>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</si>
  <si>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</si>
  <si>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</si>
  <si>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</si>
  <si>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</si>
  <si>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</si>
  <si>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</si>
  <si>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</si>
  <si>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</si>
  <si>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</si>
  <si>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</si>
  <si>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</si>
  <si>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</si>
  <si>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</si>
  <si>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</si>
  <si>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</si>
  <si>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</si>
  <si>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</si>
  <si>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</si>
  <si>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</si>
  <si>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</si>
  <si>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</si>
  <si>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</si>
  <si>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</si>
  <si>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</si>
  <si>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</si>
  <si>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</si>
  <si>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</si>
  <si>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</si>
  <si>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</si>
  <si>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</si>
  <si>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</si>
  <si>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</si>
  <si>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</si>
  <si>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</si>
  <si>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</si>
  <si>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</si>
  <si>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</si>
  <si>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</si>
  <si>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</si>
  <si>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</si>
  <si>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</si>
  <si>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</si>
  <si>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</si>
  <si>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</si>
  <si>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</si>
  <si>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</si>
  <si>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</si>
  <si>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</si>
  <si>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</si>
  <si>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</si>
  <si>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</si>
  <si>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</si>
  <si>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</si>
  <si>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</si>
  <si>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</si>
  <si>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</si>
  <si>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</si>
  <si>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</si>
  <si>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</si>
  <si>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</si>
  <si>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</si>
  <si>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</si>
  <si>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</si>
  <si>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</si>
  <si>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</si>
  <si>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</si>
  <si>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</si>
  <si>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</si>
  <si>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</si>
  <si>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</si>
  <si>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</si>
  <si>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</si>
  <si>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</si>
  <si>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</si>
  <si>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</si>
  <si>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</si>
  <si>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</si>
  <si>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</si>
  <si>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</si>
  <si>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</si>
  <si>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</si>
  <si>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</si>
  <si>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</si>
  <si>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</si>
  <si>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</si>
  <si>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</si>
  <si>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</si>
  <si>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Сварка, тн (с непредвиденными и НДС)</t>
  </si>
  <si>
    <t>УЗК, м. шва (с непредвиденными и НДС)</t>
  </si>
  <si>
    <t>Доп.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</si>
  <si>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новым</t>
    </r>
  </si>
  <si>
    <t>1.Смета к Договору  по КМ (подписано)</t>
  </si>
  <si>
    <t>1.Смета к Договору по КМ (подписано), +ЗУ 2,1%,  + компенсация простоя, +3% непредвиденных, + 3,3% инфляции</t>
  </si>
  <si>
    <t>3.Смета с ЕДИНОЙ расценкой  (Монтаж пролетных строений галерей)  по КМ (подписано), давальческий одной строчкой, +ЗУ 2,1%,  + компенсация простоя, +3% непредвиденных, + 3,3% инфляции</t>
  </si>
  <si>
    <t>Затраты на содержание строительной площадки и персонала (2 220 749,32 / 20% НДС руб.*4мес)</t>
  </si>
  <si>
    <t>Стоимость выполнения комплекса работ по монтажу металлоконструкций</t>
  </si>
  <si>
    <t>Непредвиденные затраты 3%</t>
  </si>
  <si>
    <t xml:space="preserve">Итоговая стоимость комплекса работ с учетом 3% непредвиденных затрат </t>
  </si>
  <si>
    <t>Наименование работ</t>
  </si>
  <si>
    <t>Стоимость работ без НДС 20%</t>
  </si>
  <si>
    <t>Общий вес металлоконструкций по КМ</t>
  </si>
  <si>
    <t>Монтаж профлиста (5 270м2+6 567,57м2) 11 837,52м2</t>
  </si>
  <si>
    <t>Подкраска сварных мест 4765,96 м2</t>
  </si>
  <si>
    <t>Стоимость монтажа 1 т. с профлистом и покраской</t>
  </si>
  <si>
    <t>Стоимость монтажа 1 т. и покраска</t>
  </si>
  <si>
    <t>Итого с зимним и содержанием</t>
  </si>
  <si>
    <t>Непредвиденные 3%</t>
  </si>
  <si>
    <t>Итого с зимними, непредвиденными и содержанием</t>
  </si>
  <si>
    <t>Общий тоннаж металла с профлистом</t>
  </si>
  <si>
    <t xml:space="preserve">Коммерческое предложение </t>
  </si>
  <si>
    <t>Объемы работ по ТЗ и смете</t>
  </si>
  <si>
    <t>Расчёт обновленной стоимости работ</t>
  </si>
  <si>
    <t>Итого с НДС 20%</t>
  </si>
  <si>
    <t>Стоимость работ за единицу согласно КП</t>
  </si>
  <si>
    <t>Дополнительные работы по укрупненной сборке</t>
  </si>
  <si>
    <t>Наварка надколонников 121т с НДС 20%</t>
  </si>
  <si>
    <t>УЗК сварных швов 53,09 п.м. с НДС 20%</t>
  </si>
  <si>
    <t>Итого новая сумма договора с НДС 20%</t>
  </si>
  <si>
    <t>Зимнее удорожание работ 2,1 с уходом за материалом зимой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</si>
</sst>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56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4" fontId="63" fillId="0" borderId="0" xfId="0" applyNumberFormat="1" applyFont="1" applyFill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  <xf numFmtId="0" fontId="1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4.25" x14ac:dyDescent="0.45"/>
  <cols>
    <col min="1" max="1" width="4.59765625" customWidth="1"/>
    <col min="2" max="2" width="27.86328125" customWidth="1"/>
    <col min="3" max="3" width="12" style="35" customWidth="1"/>
    <col min="4" max="4" width="8.265625" customWidth="1"/>
    <col min="5" max="5" width="3" customWidth="1"/>
    <col min="6" max="6" width="23.265625" customWidth="1"/>
    <col min="7" max="7" width="14.73046875" style="35" hidden="1" customWidth="1"/>
    <col min="8" max="8" width="2.1328125" style="35" customWidth="1"/>
    <col min="9" max="9" width="5.3984375" customWidth="1"/>
    <col min="10" max="10" width="27.86328125" customWidth="1"/>
    <col min="11" max="11" width="12" style="35" customWidth="1"/>
    <col min="12" max="12" width="8.265625" customWidth="1"/>
    <col min="13" max="13" width="3" customWidth="1"/>
    <col min="14" max="14" width="23.265625" customWidth="1"/>
    <col min="15" max="15" width="0.1328125" customWidth="1"/>
    <col min="16" max="16" width="3.1328125" customWidth="1"/>
    <col min="17" max="17" width="5.3984375" customWidth="1"/>
    <col min="18" max="18" width="27.86328125" customWidth="1"/>
    <col min="19" max="19" width="12" style="35" customWidth="1"/>
    <col min="20" max="20" width="8.265625" customWidth="1"/>
    <col min="21" max="21" width="3" customWidth="1"/>
    <col min="22" max="22" width="23.265625" customWidth="1"/>
    <col min="23" max="23" width="1.73046875" customWidth="1"/>
    <col min="24" max="24" width="10" bestFit="1" customWidth="1"/>
  </cols>
  <sheetData>
    <row r="1" spans="1:22" ht="14.65" thickBot="1" x14ac:dyDescent="0.5">
      <c r="F1" s="101" t="s">
        <v>44</v>
      </c>
      <c r="N1" s="101" t="s">
        <v>46</v>
      </c>
      <c r="V1" s="101" t="s">
        <v>48</v>
      </c>
    </row>
    <row r="2" spans="1:22" ht="14.65" thickBot="1" x14ac:dyDescent="0.5">
      <c r="A2" s="54" t="s">
        <v>37</v>
      </c>
      <c r="B2" s="55" t="s">
        <v>38</v>
      </c>
      <c r="C2" s="56" t="s">
        <v>18</v>
      </c>
      <c r="D2" s="347" t="s">
        <v>21</v>
      </c>
      <c r="E2" s="348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47" t="s">
        <v>21</v>
      </c>
      <c r="M2" s="348"/>
      <c r="N2" s="57" t="s">
        <v>32</v>
      </c>
      <c r="Q2" s="54" t="s">
        <v>37</v>
      </c>
      <c r="R2" s="55" t="s">
        <v>38</v>
      </c>
      <c r="S2" s="56" t="s">
        <v>18</v>
      </c>
      <c r="T2" s="347" t="s">
        <v>21</v>
      </c>
      <c r="U2" s="348"/>
      <c r="V2" s="57" t="s">
        <v>32</v>
      </c>
    </row>
    <row r="3" spans="1:22" x14ac:dyDescent="0.45">
      <c r="A3" s="81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f>40619316.42-G3</f>
        <v>10022991.91</v>
      </c>
      <c r="G3" s="36">
        <v>30596324.510000002</v>
      </c>
      <c r="H3" s="36"/>
      <c r="I3" s="81">
        <v>1</v>
      </c>
      <c r="J3" s="351" t="s">
        <v>47</v>
      </c>
      <c r="K3" s="85" t="s">
        <v>19</v>
      </c>
      <c r="L3" s="349">
        <f>404.352+9.256</f>
        <v>413.60799999999995</v>
      </c>
      <c r="M3" s="350"/>
      <c r="N3" s="354">
        <v>164516389.53999999</v>
      </c>
      <c r="Q3" s="81">
        <v>1</v>
      </c>
      <c r="R3" s="351" t="s">
        <v>47</v>
      </c>
      <c r="S3" s="357" t="s">
        <v>19</v>
      </c>
      <c r="T3" s="360">
        <v>1893.4</v>
      </c>
      <c r="U3" s="361"/>
      <c r="V3" s="354">
        <f>441276518.44-(13211398.08+293476943.2)</f>
        <v>134588177.16000003</v>
      </c>
    </row>
    <row r="4" spans="1:22" x14ac:dyDescent="0.45">
      <c r="A4" s="82">
        <v>2</v>
      </c>
      <c r="B4" s="87" t="s">
        <v>25</v>
      </c>
      <c r="C4" s="88" t="s">
        <v>19</v>
      </c>
      <c r="D4" s="366">
        <f>676.624</f>
        <v>676.62400000000002</v>
      </c>
      <c r="E4" s="367"/>
      <c r="F4" s="89">
        <f>77526903.96-G4</f>
        <v>28449520.749999993</v>
      </c>
      <c r="G4" s="36">
        <v>49077383.210000001</v>
      </c>
      <c r="H4" s="36"/>
      <c r="I4" s="82">
        <v>2</v>
      </c>
      <c r="J4" s="352"/>
      <c r="K4" s="88" t="s">
        <v>19</v>
      </c>
      <c r="L4" s="366">
        <f>676.624</f>
        <v>676.62400000000002</v>
      </c>
      <c r="M4" s="367"/>
      <c r="N4" s="355"/>
      <c r="Q4" s="82">
        <v>2</v>
      </c>
      <c r="R4" s="352"/>
      <c r="S4" s="358"/>
      <c r="T4" s="362"/>
      <c r="U4" s="363"/>
      <c r="V4" s="355"/>
    </row>
    <row r="5" spans="1:22" x14ac:dyDescent="0.45">
      <c r="A5" s="82">
        <v>3</v>
      </c>
      <c r="B5" s="87" t="s">
        <v>26</v>
      </c>
      <c r="C5" s="88" t="s">
        <v>19</v>
      </c>
      <c r="D5" s="366">
        <v>295.15199999999999</v>
      </c>
      <c r="E5" s="367"/>
      <c r="F5" s="89">
        <f>35252578.16-G5</f>
        <v>12410042.859999996</v>
      </c>
      <c r="G5" s="36">
        <v>22842535.300000001</v>
      </c>
      <c r="H5" s="36"/>
      <c r="I5" s="82">
        <v>3</v>
      </c>
      <c r="J5" s="352"/>
      <c r="K5" s="88" t="s">
        <v>19</v>
      </c>
      <c r="L5" s="366">
        <v>295.15199999999999</v>
      </c>
      <c r="M5" s="367"/>
      <c r="N5" s="355"/>
      <c r="Q5" s="82">
        <v>3</v>
      </c>
      <c r="R5" s="352"/>
      <c r="S5" s="358"/>
      <c r="T5" s="362"/>
      <c r="U5" s="363"/>
      <c r="V5" s="355"/>
    </row>
    <row r="6" spans="1:22" ht="28.5" x14ac:dyDescent="0.45">
      <c r="A6" s="82">
        <v>4</v>
      </c>
      <c r="B6" s="87" t="s">
        <v>8</v>
      </c>
      <c r="C6" s="88" t="s">
        <v>19</v>
      </c>
      <c r="D6" s="366">
        <v>284.85599999999999</v>
      </c>
      <c r="E6" s="367"/>
      <c r="F6" s="89">
        <f>54348406.96-G6</f>
        <v>29847559.98</v>
      </c>
      <c r="G6" s="36">
        <v>24500846.98</v>
      </c>
      <c r="H6" s="36"/>
      <c r="I6" s="82">
        <v>4</v>
      </c>
      <c r="J6" s="352"/>
      <c r="K6" s="88" t="s">
        <v>19</v>
      </c>
      <c r="L6" s="366">
        <v>284.85599999999999</v>
      </c>
      <c r="M6" s="367"/>
      <c r="N6" s="355"/>
      <c r="Q6" s="82">
        <v>4</v>
      </c>
      <c r="R6" s="352"/>
      <c r="S6" s="358"/>
      <c r="T6" s="362"/>
      <c r="U6" s="363"/>
      <c r="V6" s="355"/>
    </row>
    <row r="7" spans="1:22" x14ac:dyDescent="0.45">
      <c r="A7" s="82">
        <v>5</v>
      </c>
      <c r="B7" s="87" t="s">
        <v>1</v>
      </c>
      <c r="C7" s="88" t="s">
        <v>19</v>
      </c>
      <c r="D7" s="366">
        <v>103.27200000000001</v>
      </c>
      <c r="E7" s="367"/>
      <c r="F7" s="89">
        <f>14658524.85-G7</f>
        <v>6218924.8699999992</v>
      </c>
      <c r="G7" s="36">
        <v>8439599.9800000004</v>
      </c>
      <c r="H7" s="36"/>
      <c r="I7" s="82">
        <v>5</v>
      </c>
      <c r="J7" s="352"/>
      <c r="K7" s="88" t="s">
        <v>19</v>
      </c>
      <c r="L7" s="366">
        <v>103.27200000000001</v>
      </c>
      <c r="M7" s="367"/>
      <c r="N7" s="355"/>
      <c r="Q7" s="82">
        <v>5</v>
      </c>
      <c r="R7" s="352"/>
      <c r="S7" s="358"/>
      <c r="T7" s="362"/>
      <c r="U7" s="363"/>
      <c r="V7" s="355"/>
    </row>
    <row r="8" spans="1:22" x14ac:dyDescent="0.45">
      <c r="A8" s="82">
        <v>6</v>
      </c>
      <c r="B8" s="87" t="s">
        <v>2</v>
      </c>
      <c r="C8" s="88" t="s">
        <v>19</v>
      </c>
      <c r="D8" s="366">
        <v>66.872</v>
      </c>
      <c r="E8" s="367"/>
      <c r="F8" s="89">
        <f>9352168.79-G8</f>
        <v>4525782.0099999988</v>
      </c>
      <c r="G8" s="36">
        <v>4826386.78</v>
      </c>
      <c r="H8" s="36"/>
      <c r="I8" s="82">
        <v>6</v>
      </c>
      <c r="J8" s="352"/>
      <c r="K8" s="88" t="s">
        <v>19</v>
      </c>
      <c r="L8" s="366">
        <v>66.872</v>
      </c>
      <c r="M8" s="367"/>
      <c r="N8" s="355"/>
      <c r="Q8" s="82">
        <v>6</v>
      </c>
      <c r="R8" s="352"/>
      <c r="S8" s="358"/>
      <c r="T8" s="362"/>
      <c r="U8" s="363"/>
      <c r="V8" s="355"/>
    </row>
    <row r="9" spans="1:22" x14ac:dyDescent="0.45">
      <c r="A9" s="82">
        <v>7</v>
      </c>
      <c r="B9" s="87" t="s">
        <v>3</v>
      </c>
      <c r="C9" s="88" t="s">
        <v>19</v>
      </c>
      <c r="D9" s="366">
        <v>233.27199999999999</v>
      </c>
      <c r="E9" s="367"/>
      <c r="F9" s="89">
        <f>34523672.98-G9</f>
        <v>17401032.069999997</v>
      </c>
      <c r="G9" s="36">
        <v>17122640.91</v>
      </c>
      <c r="H9" s="36"/>
      <c r="I9" s="82">
        <v>7</v>
      </c>
      <c r="J9" s="352"/>
      <c r="K9" s="88" t="s">
        <v>19</v>
      </c>
      <c r="L9" s="366">
        <v>233.27199999999999</v>
      </c>
      <c r="M9" s="367"/>
      <c r="N9" s="355"/>
      <c r="Q9" s="82">
        <v>7</v>
      </c>
      <c r="R9" s="352"/>
      <c r="S9" s="358"/>
      <c r="T9" s="362"/>
      <c r="U9" s="363"/>
      <c r="V9" s="355"/>
    </row>
    <row r="10" spans="1:22" ht="14.65" thickBot="1" x14ac:dyDescent="0.5">
      <c r="A10" s="83">
        <v>8</v>
      </c>
      <c r="B10" s="90" t="s">
        <v>4</v>
      </c>
      <c r="C10" s="91" t="s">
        <v>19</v>
      </c>
      <c r="D10" s="368">
        <v>4.3680000000000003</v>
      </c>
      <c r="E10" s="369"/>
      <c r="F10" s="92">
        <f>1043243.99-G10</f>
        <v>714028.58000000007</v>
      </c>
      <c r="G10" s="36">
        <v>329215.40999999997</v>
      </c>
      <c r="H10" s="36"/>
      <c r="I10" s="83">
        <v>8</v>
      </c>
      <c r="J10" s="353"/>
      <c r="K10" s="91" t="s">
        <v>19</v>
      </c>
      <c r="L10" s="368">
        <v>4.3680000000000003</v>
      </c>
      <c r="M10" s="369"/>
      <c r="N10" s="356"/>
      <c r="Q10" s="83">
        <v>8</v>
      </c>
      <c r="R10" s="353"/>
      <c r="S10" s="359"/>
      <c r="T10" s="364"/>
      <c r="U10" s="365"/>
      <c r="V10" s="356"/>
    </row>
    <row r="11" spans="1:22" ht="2.25" customHeight="1" thickTop="1" x14ac:dyDescent="0.4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45">
      <c r="A12" s="53">
        <v>9</v>
      </c>
      <c r="B12" s="50" t="s">
        <v>27</v>
      </c>
      <c r="C12" s="42" t="s">
        <v>29</v>
      </c>
      <c r="D12" s="370" t="s">
        <v>31</v>
      </c>
      <c r="E12" s="37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70" t="s">
        <v>31</v>
      </c>
      <c r="M12" s="37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70" t="s">
        <v>31</v>
      </c>
      <c r="U12" s="371"/>
      <c r="V12" s="43">
        <f>9769288.11-W12</f>
        <v>9769288.1099999994</v>
      </c>
    </row>
    <row r="13" spans="1:22" x14ac:dyDescent="0.45">
      <c r="A13" s="52">
        <v>10</v>
      </c>
      <c r="B13" s="51" t="s">
        <v>28</v>
      </c>
      <c r="C13" s="40" t="s">
        <v>29</v>
      </c>
      <c r="D13" s="372" t="s">
        <v>30</v>
      </c>
      <c r="E13" s="37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72" t="s">
        <v>30</v>
      </c>
      <c r="M13" s="37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72" t="s">
        <v>30</v>
      </c>
      <c r="U13" s="373"/>
      <c r="V13" s="29">
        <f>22373496.67-W13</f>
        <v>22373496.670000002</v>
      </c>
    </row>
    <row r="14" spans="1:22" ht="14.65" thickBot="1" x14ac:dyDescent="0.5">
      <c r="A14" s="70">
        <v>11</v>
      </c>
      <c r="B14" s="71" t="s">
        <v>17</v>
      </c>
      <c r="C14" s="72" t="s">
        <v>20</v>
      </c>
      <c r="D14" s="374">
        <f>47.6596*100</f>
        <v>4765.96</v>
      </c>
      <c r="E14" s="37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74">
        <f>47.6596*100</f>
        <v>4765.96</v>
      </c>
      <c r="M14" s="375"/>
      <c r="N14" s="73">
        <v>1105733.3899999999</v>
      </c>
      <c r="Q14" s="70">
        <v>11</v>
      </c>
      <c r="R14" s="71" t="s">
        <v>17</v>
      </c>
      <c r="S14" s="72" t="s">
        <v>20</v>
      </c>
      <c r="T14" s="374">
        <f>47.6596*100</f>
        <v>4765.96</v>
      </c>
      <c r="U14" s="375"/>
      <c r="V14" s="73">
        <v>1105733.3899999999</v>
      </c>
    </row>
    <row r="15" spans="1:22" ht="6" customHeight="1" thickBot="1" x14ac:dyDescent="0.5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5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14.65" thickBot="1" x14ac:dyDescent="0.5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28.9" thickBot="1" x14ac:dyDescent="0.5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28.9" thickBot="1" x14ac:dyDescent="0.5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5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5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5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45">
      <c r="C23"/>
      <c r="G23" s="39"/>
      <c r="H23" s="39"/>
      <c r="K23"/>
      <c r="S23"/>
    </row>
    <row r="24" spans="1:23" ht="50.25" x14ac:dyDescent="0.4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45">
      <c r="C25"/>
      <c r="G25" s="39"/>
      <c r="H25" s="39"/>
      <c r="K25"/>
      <c r="S25"/>
    </row>
    <row r="26" spans="1:23" ht="50.25" x14ac:dyDescent="0.4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4" x14ac:dyDescent="0.4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4.25" x14ac:dyDescent="0.45"/>
  <cols>
    <col min="1" max="1" width="4.73046875" customWidth="1"/>
    <col min="2" max="2" width="27.86328125" customWidth="1"/>
    <col min="3" max="3" width="12" style="35" customWidth="1"/>
    <col min="4" max="4" width="8.265625" customWidth="1"/>
    <col min="5" max="5" width="4.265625" customWidth="1"/>
    <col min="6" max="6" width="23.265625" customWidth="1"/>
    <col min="7" max="7" width="1" style="35" customWidth="1"/>
    <col min="8" max="8" width="5" customWidth="1"/>
    <col min="9" max="9" width="27.86328125" customWidth="1"/>
    <col min="10" max="10" width="12" style="35" customWidth="1"/>
    <col min="11" max="11" width="8.265625" customWidth="1"/>
    <col min="12" max="12" width="3" customWidth="1"/>
    <col min="13" max="13" width="23.265625" customWidth="1"/>
    <col min="14" max="14" width="1" style="140" customWidth="1"/>
    <col min="15" max="15" width="4.86328125" customWidth="1"/>
    <col min="16" max="16" width="27.86328125" customWidth="1"/>
    <col min="17" max="17" width="12" style="35" customWidth="1"/>
    <col min="18" max="18" width="8.265625" customWidth="1"/>
    <col min="19" max="19" width="3" customWidth="1"/>
    <col min="20" max="20" width="23.265625" customWidth="1"/>
    <col min="21" max="21" width="1.73046875" customWidth="1"/>
    <col min="22" max="22" width="10" bestFit="1" customWidth="1"/>
  </cols>
  <sheetData>
    <row r="1" spans="1:20" ht="38.25" customHeight="1" thickBot="1" x14ac:dyDescent="0.6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4.65" thickBot="1" x14ac:dyDescent="0.5">
      <c r="A2" s="54" t="s">
        <v>58</v>
      </c>
      <c r="B2" s="55" t="s">
        <v>73</v>
      </c>
      <c r="C2" s="56" t="s">
        <v>18</v>
      </c>
      <c r="D2" s="347" t="s">
        <v>21</v>
      </c>
      <c r="E2" s="348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47" t="s">
        <v>21</v>
      </c>
      <c r="L2" s="348"/>
      <c r="M2" s="57" t="s">
        <v>32</v>
      </c>
      <c r="O2" s="54" t="s">
        <v>58</v>
      </c>
      <c r="P2" s="55" t="s">
        <v>73</v>
      </c>
      <c r="Q2" s="56" t="s">
        <v>18</v>
      </c>
      <c r="R2" s="347" t="s">
        <v>21</v>
      </c>
      <c r="S2" s="348"/>
      <c r="T2" s="57" t="s">
        <v>32</v>
      </c>
    </row>
    <row r="3" spans="1:20" x14ac:dyDescent="0.45">
      <c r="A3" s="81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f>40619316.42-G3</f>
        <v>10022991.91</v>
      </c>
      <c r="G3" s="36">
        <v>30596324.510000002</v>
      </c>
      <c r="H3" s="81">
        <v>1</v>
      </c>
      <c r="I3" s="351" t="s">
        <v>47</v>
      </c>
      <c r="J3" s="85" t="s">
        <v>19</v>
      </c>
      <c r="K3" s="349">
        <f>404.352+9.256</f>
        <v>413.60799999999995</v>
      </c>
      <c r="L3" s="350"/>
      <c r="M3" s="354">
        <v>164516389.53999999</v>
      </c>
      <c r="O3" s="81">
        <v>1</v>
      </c>
      <c r="P3" s="351" t="s">
        <v>47</v>
      </c>
      <c r="Q3" s="357" t="s">
        <v>19</v>
      </c>
      <c r="R3" s="360">
        <f>'!расчет (2 сценария)'!K16</f>
        <v>1791.6900000000003</v>
      </c>
      <c r="S3" s="361"/>
      <c r="T3" s="354">
        <v>139860049.75999999</v>
      </c>
    </row>
    <row r="4" spans="1:20" x14ac:dyDescent="0.45">
      <c r="A4" s="82">
        <v>2</v>
      </c>
      <c r="B4" s="87" t="s">
        <v>25</v>
      </c>
      <c r="C4" s="88" t="s">
        <v>19</v>
      </c>
      <c r="D4" s="349">
        <f>676.624</f>
        <v>676.62400000000002</v>
      </c>
      <c r="E4" s="350"/>
      <c r="F4" s="89">
        <f>77526903.96-G4</f>
        <v>28449520.749999993</v>
      </c>
      <c r="G4" s="36">
        <v>49077383.210000001</v>
      </c>
      <c r="H4" s="82">
        <v>2</v>
      </c>
      <c r="I4" s="352"/>
      <c r="J4" s="88" t="s">
        <v>19</v>
      </c>
      <c r="K4" s="366">
        <f>676.624</f>
        <v>676.62400000000002</v>
      </c>
      <c r="L4" s="367"/>
      <c r="M4" s="355"/>
      <c r="O4" s="82">
        <v>2</v>
      </c>
      <c r="P4" s="352"/>
      <c r="Q4" s="358"/>
      <c r="R4" s="362"/>
      <c r="S4" s="363"/>
      <c r="T4" s="355"/>
    </row>
    <row r="5" spans="1:20" x14ac:dyDescent="0.45">
      <c r="A5" s="82">
        <v>3</v>
      </c>
      <c r="B5" s="87" t="s">
        <v>26</v>
      </c>
      <c r="C5" s="88" t="s">
        <v>19</v>
      </c>
      <c r="D5" s="366">
        <v>295.15199999999999</v>
      </c>
      <c r="E5" s="367"/>
      <c r="F5" s="89">
        <f>35252578.16-G5</f>
        <v>12410042.859999996</v>
      </c>
      <c r="G5" s="36">
        <v>22842535.300000001</v>
      </c>
      <c r="H5" s="82">
        <v>3</v>
      </c>
      <c r="I5" s="352"/>
      <c r="J5" s="88" t="s">
        <v>19</v>
      </c>
      <c r="K5" s="366">
        <v>295.15199999999999</v>
      </c>
      <c r="L5" s="367"/>
      <c r="M5" s="355"/>
      <c r="O5" s="82">
        <v>3</v>
      </c>
      <c r="P5" s="352"/>
      <c r="Q5" s="358"/>
      <c r="R5" s="362"/>
      <c r="S5" s="363"/>
      <c r="T5" s="355"/>
    </row>
    <row r="6" spans="1:20" ht="28.5" x14ac:dyDescent="0.45">
      <c r="A6" s="82">
        <v>4</v>
      </c>
      <c r="B6" s="87" t="s">
        <v>8</v>
      </c>
      <c r="C6" s="88" t="s">
        <v>19</v>
      </c>
      <c r="D6" s="366">
        <v>284.85599999999999</v>
      </c>
      <c r="E6" s="367"/>
      <c r="F6" s="89">
        <f>54348406.96-G6</f>
        <v>29847559.98</v>
      </c>
      <c r="G6" s="36">
        <v>24500846.98</v>
      </c>
      <c r="H6" s="82">
        <v>4</v>
      </c>
      <c r="I6" s="352"/>
      <c r="J6" s="88" t="s">
        <v>19</v>
      </c>
      <c r="K6" s="366">
        <v>284.85599999999999</v>
      </c>
      <c r="L6" s="367"/>
      <c r="M6" s="355"/>
      <c r="O6" s="82">
        <v>4</v>
      </c>
      <c r="P6" s="352"/>
      <c r="Q6" s="358"/>
      <c r="R6" s="362"/>
      <c r="S6" s="363"/>
      <c r="T6" s="355"/>
    </row>
    <row r="7" spans="1:20" x14ac:dyDescent="0.45">
      <c r="A7" s="82">
        <v>5</v>
      </c>
      <c r="B7" s="87" t="s">
        <v>1</v>
      </c>
      <c r="C7" s="88" t="s">
        <v>19</v>
      </c>
      <c r="D7" s="366">
        <v>103.27200000000001</v>
      </c>
      <c r="E7" s="367"/>
      <c r="F7" s="89">
        <f>14658524.85-G7</f>
        <v>6218924.8699999992</v>
      </c>
      <c r="G7" s="36">
        <v>8439599.9800000004</v>
      </c>
      <c r="H7" s="82">
        <v>5</v>
      </c>
      <c r="I7" s="352"/>
      <c r="J7" s="88" t="s">
        <v>19</v>
      </c>
      <c r="K7" s="366">
        <v>103.27200000000001</v>
      </c>
      <c r="L7" s="367"/>
      <c r="M7" s="355"/>
      <c r="O7" s="82">
        <v>5</v>
      </c>
      <c r="P7" s="352"/>
      <c r="Q7" s="358"/>
      <c r="R7" s="362"/>
      <c r="S7" s="363"/>
      <c r="T7" s="355"/>
    </row>
    <row r="8" spans="1:20" x14ac:dyDescent="0.45">
      <c r="A8" s="82">
        <v>6</v>
      </c>
      <c r="B8" s="87" t="s">
        <v>2</v>
      </c>
      <c r="C8" s="88" t="s">
        <v>19</v>
      </c>
      <c r="D8" s="366">
        <v>66.872</v>
      </c>
      <c r="E8" s="367"/>
      <c r="F8" s="89">
        <f>9352168.79-G8</f>
        <v>4525782.0099999988</v>
      </c>
      <c r="G8" s="36">
        <v>4826386.78</v>
      </c>
      <c r="H8" s="82">
        <v>6</v>
      </c>
      <c r="I8" s="352"/>
      <c r="J8" s="88" t="s">
        <v>19</v>
      </c>
      <c r="K8" s="366">
        <v>66.872</v>
      </c>
      <c r="L8" s="367"/>
      <c r="M8" s="355"/>
      <c r="O8" s="82">
        <v>6</v>
      </c>
      <c r="P8" s="352"/>
      <c r="Q8" s="358"/>
      <c r="R8" s="362"/>
      <c r="S8" s="363"/>
      <c r="T8" s="355"/>
    </row>
    <row r="9" spans="1:20" x14ac:dyDescent="0.45">
      <c r="A9" s="82">
        <v>7</v>
      </c>
      <c r="B9" s="87" t="s">
        <v>3</v>
      </c>
      <c r="C9" s="88" t="s">
        <v>19</v>
      </c>
      <c r="D9" s="366">
        <v>233.27199999999999</v>
      </c>
      <c r="E9" s="367"/>
      <c r="F9" s="89">
        <f>34523672.98-G9</f>
        <v>17401032.069999997</v>
      </c>
      <c r="G9" s="36">
        <v>17122640.91</v>
      </c>
      <c r="H9" s="82">
        <v>7</v>
      </c>
      <c r="I9" s="352"/>
      <c r="J9" s="88" t="s">
        <v>19</v>
      </c>
      <c r="K9" s="366">
        <v>233.27199999999999</v>
      </c>
      <c r="L9" s="367"/>
      <c r="M9" s="355"/>
      <c r="O9" s="82">
        <v>7</v>
      </c>
      <c r="P9" s="352"/>
      <c r="Q9" s="358"/>
      <c r="R9" s="362"/>
      <c r="S9" s="363"/>
      <c r="T9" s="355"/>
    </row>
    <row r="10" spans="1:20" ht="14.65" thickBot="1" x14ac:dyDescent="0.5">
      <c r="A10" s="83">
        <v>8</v>
      </c>
      <c r="B10" s="90" t="s">
        <v>4</v>
      </c>
      <c r="C10" s="91" t="s">
        <v>19</v>
      </c>
      <c r="D10" s="368">
        <v>4.3680000000000003</v>
      </c>
      <c r="E10" s="369"/>
      <c r="F10" s="92">
        <f>1043243.99-G10</f>
        <v>714028.58000000007</v>
      </c>
      <c r="G10" s="36">
        <v>329215.40999999997</v>
      </c>
      <c r="H10" s="83">
        <v>8</v>
      </c>
      <c r="I10" s="353"/>
      <c r="J10" s="91" t="s">
        <v>19</v>
      </c>
      <c r="K10" s="368">
        <v>4.3680000000000003</v>
      </c>
      <c r="L10" s="369"/>
      <c r="M10" s="356"/>
      <c r="O10" s="83">
        <v>8</v>
      </c>
      <c r="P10" s="353"/>
      <c r="Q10" s="359"/>
      <c r="R10" s="364"/>
      <c r="S10" s="365"/>
      <c r="T10" s="356"/>
    </row>
    <row r="11" spans="1:20" ht="2.25" customHeight="1" thickTop="1" x14ac:dyDescent="0.4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x14ac:dyDescent="0.45">
      <c r="A12" s="53">
        <v>9</v>
      </c>
      <c r="B12" s="50" t="s">
        <v>136</v>
      </c>
      <c r="C12" s="42" t="s">
        <v>29</v>
      </c>
      <c r="D12" s="370" t="s">
        <v>139</v>
      </c>
      <c r="E12" s="37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70" t="s">
        <v>31</v>
      </c>
      <c r="L12" s="371"/>
      <c r="M12" s="43">
        <v>3704032.4099999992</v>
      </c>
      <c r="O12" s="53">
        <v>9</v>
      </c>
      <c r="P12" s="50" t="s">
        <v>27</v>
      </c>
      <c r="Q12" s="42" t="s">
        <v>29</v>
      </c>
      <c r="R12" s="370" t="s">
        <v>31</v>
      </c>
      <c r="S12" s="371"/>
      <c r="T12" s="43">
        <v>3807347.4499999997</v>
      </c>
    </row>
    <row r="13" spans="1:20" x14ac:dyDescent="0.45">
      <c r="A13" s="52">
        <v>10</v>
      </c>
      <c r="B13" s="51" t="s">
        <v>28</v>
      </c>
      <c r="C13" s="40" t="s">
        <v>29</v>
      </c>
      <c r="D13" s="372" t="s">
        <v>142</v>
      </c>
      <c r="E13" s="37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72" t="s">
        <v>30</v>
      </c>
      <c r="L13" s="373"/>
      <c r="M13" s="29">
        <v>15227354.290000003</v>
      </c>
      <c r="O13" s="52">
        <v>10</v>
      </c>
      <c r="P13" s="51" t="s">
        <v>28</v>
      </c>
      <c r="Q13" s="40" t="s">
        <v>29</v>
      </c>
      <c r="R13" s="372" t="s">
        <v>30</v>
      </c>
      <c r="S13" s="373"/>
      <c r="T13" s="29">
        <v>14168223.84</v>
      </c>
    </row>
    <row r="14" spans="1:20" ht="14.65" thickBot="1" x14ac:dyDescent="0.5">
      <c r="A14" s="70">
        <v>11</v>
      </c>
      <c r="B14" s="71" t="s">
        <v>17</v>
      </c>
      <c r="C14" s="72" t="s">
        <v>20</v>
      </c>
      <c r="D14" s="374">
        <f>47.6596*100</f>
        <v>4765.96</v>
      </c>
      <c r="E14" s="37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74">
        <f>47.6596*100</f>
        <v>4765.96</v>
      </c>
      <c r="L14" s="375"/>
      <c r="M14" s="73">
        <v>1105733.3899999999</v>
      </c>
      <c r="O14" s="70">
        <v>11</v>
      </c>
      <c r="P14" s="71" t="s">
        <v>17</v>
      </c>
      <c r="Q14" s="72" t="s">
        <v>20</v>
      </c>
      <c r="R14" s="374">
        <f>47.6596*100</f>
        <v>4765.96</v>
      </c>
      <c r="S14" s="375"/>
      <c r="T14" s="73">
        <v>1105733.3899999999</v>
      </c>
    </row>
    <row r="15" spans="1:20" ht="6" customHeight="1" thickBot="1" x14ac:dyDescent="0.5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5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14.65" thickBot="1" x14ac:dyDescent="0.5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28.9" thickBot="1" x14ac:dyDescent="0.5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0.4" thickBot="1" x14ac:dyDescent="0.5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5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5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5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45">
      <c r="C23"/>
      <c r="G23" s="39"/>
      <c r="J23"/>
      <c r="Q23"/>
    </row>
    <row r="24" spans="1:21" ht="35.25" customHeight="1" x14ac:dyDescent="0.45">
      <c r="B24" s="424" t="s">
        <v>53</v>
      </c>
      <c r="C24" s="424"/>
      <c r="D24" s="424"/>
      <c r="E24" s="79"/>
      <c r="F24" s="93">
        <f>(F3+F4+F5+F6+F7+F8+F9+F10)*G19*1.2/D16</f>
        <v>75700.428816399144</v>
      </c>
      <c r="G24" s="39"/>
      <c r="I24" s="424" t="s">
        <v>53</v>
      </c>
      <c r="J24" s="424"/>
      <c r="K24" s="424"/>
      <c r="L24" s="79"/>
      <c r="M24" s="93">
        <f>(M3+M4+M5+M6+M7+M8+M9+M10)*N19*1.2/K16</f>
        <v>79819.723360137839</v>
      </c>
      <c r="P24" s="424" t="s">
        <v>53</v>
      </c>
      <c r="Q24" s="424"/>
      <c r="R24" s="424"/>
      <c r="S24" s="79"/>
      <c r="T24" s="93">
        <f>(T3+T4+T5+T6+T7+T8+T9+T10)*U19*1.2/R16</f>
        <v>91383.505768779811</v>
      </c>
    </row>
    <row r="25" spans="1:21" ht="30.75" customHeight="1" x14ac:dyDescent="0.45">
      <c r="B25" s="424" t="s">
        <v>54</v>
      </c>
      <c r="C25" s="424"/>
      <c r="D25" s="424"/>
      <c r="E25" s="79"/>
      <c r="F25" s="93">
        <f>F16*G19*1.2/D16</f>
        <v>89541.292052319011</v>
      </c>
      <c r="G25" s="39"/>
      <c r="I25" s="424" t="s">
        <v>54</v>
      </c>
      <c r="J25" s="424"/>
      <c r="K25" s="424"/>
      <c r="L25" s="79"/>
      <c r="M25" s="93">
        <f>M16*N19*1.2/K16</f>
        <v>89541.2920560567</v>
      </c>
      <c r="P25" s="424" t="s">
        <v>54</v>
      </c>
      <c r="Q25" s="424"/>
      <c r="R25" s="424"/>
      <c r="S25" s="79"/>
      <c r="T25" s="93">
        <f>T16*U19*1.2/R16</f>
        <v>103851.08689214451</v>
      </c>
    </row>
    <row r="26" spans="1:21" ht="37.5" customHeight="1" x14ac:dyDescent="0.45">
      <c r="B26" s="424" t="s">
        <v>55</v>
      </c>
      <c r="C26" s="424"/>
      <c r="D26" s="424"/>
      <c r="E26" s="79"/>
      <c r="F26" s="93">
        <f>F22/D16</f>
        <v>92227.530813888574</v>
      </c>
      <c r="G26" s="39"/>
      <c r="I26" s="424" t="s">
        <v>55</v>
      </c>
      <c r="J26" s="424"/>
      <c r="K26" s="424"/>
      <c r="L26" s="79"/>
      <c r="M26" s="93">
        <f>M22/K16</f>
        <v>92227.530812926154</v>
      </c>
      <c r="P26" s="424" t="s">
        <v>55</v>
      </c>
      <c r="Q26" s="424"/>
      <c r="R26" s="424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4.25" x14ac:dyDescent="0.45"/>
  <cols>
    <col min="1" max="1" width="4.73046875" hidden="1" customWidth="1"/>
    <col min="2" max="2" width="27.86328125" hidden="1" customWidth="1"/>
    <col min="3" max="3" width="12" style="35" hidden="1" customWidth="1"/>
    <col min="4" max="4" width="8.265625" hidden="1" customWidth="1"/>
    <col min="5" max="5" width="3" hidden="1" customWidth="1"/>
    <col min="6" max="6" width="23.265625" hidden="1" customWidth="1"/>
    <col min="7" max="7" width="14.73046875" style="35" hidden="1" customWidth="1"/>
    <col min="8" max="8" width="2.1328125" style="35" hidden="1" customWidth="1"/>
    <col min="9" max="9" width="5" hidden="1" customWidth="1"/>
    <col min="10" max="10" width="27.86328125" hidden="1" customWidth="1"/>
    <col min="11" max="11" width="12" style="35" hidden="1" customWidth="1"/>
    <col min="12" max="12" width="8.265625" hidden="1" customWidth="1"/>
    <col min="13" max="13" width="3" hidden="1" customWidth="1"/>
    <col min="14" max="14" width="23.265625" hidden="1" customWidth="1"/>
    <col min="15" max="15" width="0.1328125" customWidth="1"/>
    <col min="16" max="16" width="3.1328125" customWidth="1"/>
    <col min="17" max="17" width="4.86328125" customWidth="1"/>
    <col min="18" max="18" width="27.86328125" customWidth="1"/>
    <col min="19" max="19" width="23.86328125" style="35" customWidth="1"/>
    <col min="20" max="20" width="8.265625" customWidth="1"/>
    <col min="21" max="21" width="3" customWidth="1"/>
    <col min="22" max="22" width="23.265625" customWidth="1"/>
    <col min="23" max="23" width="2.3984375" customWidth="1"/>
    <col min="24" max="24" width="4.86328125" customWidth="1"/>
    <col min="25" max="25" width="27.86328125" customWidth="1"/>
    <col min="26" max="26" width="20.3984375" style="35" customWidth="1"/>
    <col min="27" max="27" width="8.265625" customWidth="1"/>
    <col min="28" max="28" width="3" customWidth="1"/>
    <col min="29" max="29" width="30.3984375" customWidth="1"/>
    <col min="30" max="30" width="2.3984375" customWidth="1"/>
    <col min="31" max="31" width="15.73046875" customWidth="1"/>
  </cols>
  <sheetData>
    <row r="1" spans="1:31" ht="36.4" thickBot="1" x14ac:dyDescent="0.6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4.65" thickBot="1" x14ac:dyDescent="0.5">
      <c r="A2" s="54" t="s">
        <v>58</v>
      </c>
      <c r="B2" s="55" t="s">
        <v>38</v>
      </c>
      <c r="C2" s="56" t="s">
        <v>18</v>
      </c>
      <c r="D2" s="347" t="s">
        <v>21</v>
      </c>
      <c r="E2" s="348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47" t="s">
        <v>21</v>
      </c>
      <c r="M2" s="348"/>
      <c r="N2" s="57" t="s">
        <v>32</v>
      </c>
      <c r="Q2" s="54" t="s">
        <v>58</v>
      </c>
      <c r="R2" s="55" t="s">
        <v>73</v>
      </c>
      <c r="S2" s="56" t="s">
        <v>18</v>
      </c>
      <c r="T2" s="347" t="s">
        <v>21</v>
      </c>
      <c r="U2" s="348"/>
      <c r="V2" s="57" t="s">
        <v>32</v>
      </c>
      <c r="X2" s="54" t="s">
        <v>58</v>
      </c>
      <c r="Y2" s="55" t="s">
        <v>73</v>
      </c>
      <c r="Z2" s="56" t="s">
        <v>18</v>
      </c>
      <c r="AA2" s="347" t="s">
        <v>21</v>
      </c>
      <c r="AB2" s="348"/>
      <c r="AC2" s="57" t="s">
        <v>32</v>
      </c>
    </row>
    <row r="3" spans="1:31" x14ac:dyDescent="0.45">
      <c r="A3" s="81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f>40619316.42-G3</f>
        <v>10022991.91</v>
      </c>
      <c r="G3" s="36">
        <v>30596324.510000002</v>
      </c>
      <c r="H3" s="36"/>
      <c r="I3" s="81">
        <v>1</v>
      </c>
      <c r="J3" s="351" t="s">
        <v>47</v>
      </c>
      <c r="K3" s="85" t="s">
        <v>19</v>
      </c>
      <c r="L3" s="349">
        <f>404.352+9.256</f>
        <v>413.60799999999995</v>
      </c>
      <c r="M3" s="350"/>
      <c r="N3" s="354">
        <v>164516389.53999999</v>
      </c>
      <c r="Q3" s="81">
        <v>1</v>
      </c>
      <c r="R3" s="351" t="s">
        <v>47</v>
      </c>
      <c r="S3" s="357" t="s">
        <v>19</v>
      </c>
      <c r="T3" s="360">
        <v>1893.4</v>
      </c>
      <c r="U3" s="361"/>
      <c r="V3" s="354">
        <v>147799573.72999999</v>
      </c>
      <c r="X3" s="81">
        <v>1</v>
      </c>
      <c r="Y3" s="351" t="s">
        <v>47</v>
      </c>
      <c r="Z3" s="357" t="s">
        <v>19</v>
      </c>
      <c r="AA3" s="360">
        <v>1893.4</v>
      </c>
      <c r="AB3" s="361"/>
      <c r="AC3" s="354">
        <v>147799573.72999999</v>
      </c>
    </row>
    <row r="4" spans="1:31" x14ac:dyDescent="0.45">
      <c r="A4" s="82">
        <v>2</v>
      </c>
      <c r="B4" s="87" t="s">
        <v>25</v>
      </c>
      <c r="C4" s="88" t="s">
        <v>19</v>
      </c>
      <c r="D4" s="366">
        <f>676.624</f>
        <v>676.62400000000002</v>
      </c>
      <c r="E4" s="367"/>
      <c r="F4" s="89">
        <f>77526903.96-G4</f>
        <v>28449520.749999993</v>
      </c>
      <c r="G4" s="36">
        <v>49077383.210000001</v>
      </c>
      <c r="H4" s="36"/>
      <c r="I4" s="82">
        <v>2</v>
      </c>
      <c r="J4" s="352"/>
      <c r="K4" s="88" t="s">
        <v>19</v>
      </c>
      <c r="L4" s="366">
        <f>676.624</f>
        <v>676.62400000000002</v>
      </c>
      <c r="M4" s="367"/>
      <c r="N4" s="355"/>
      <c r="Q4" s="82">
        <v>2</v>
      </c>
      <c r="R4" s="352"/>
      <c r="S4" s="358"/>
      <c r="T4" s="362"/>
      <c r="U4" s="363"/>
      <c r="V4" s="355"/>
      <c r="X4" s="82">
        <v>2</v>
      </c>
      <c r="Y4" s="352"/>
      <c r="Z4" s="358"/>
      <c r="AA4" s="362"/>
      <c r="AB4" s="363"/>
      <c r="AC4" s="355"/>
    </row>
    <row r="5" spans="1:31" x14ac:dyDescent="0.45">
      <c r="A5" s="82">
        <v>3</v>
      </c>
      <c r="B5" s="87" t="s">
        <v>26</v>
      </c>
      <c r="C5" s="88" t="s">
        <v>19</v>
      </c>
      <c r="D5" s="366">
        <v>295.15199999999999</v>
      </c>
      <c r="E5" s="367"/>
      <c r="F5" s="89">
        <f>35252578.16-G5</f>
        <v>12410042.859999996</v>
      </c>
      <c r="G5" s="36">
        <v>22842535.300000001</v>
      </c>
      <c r="H5" s="36"/>
      <c r="I5" s="82">
        <v>3</v>
      </c>
      <c r="J5" s="352"/>
      <c r="K5" s="88" t="s">
        <v>19</v>
      </c>
      <c r="L5" s="366">
        <v>295.15199999999999</v>
      </c>
      <c r="M5" s="367"/>
      <c r="N5" s="355"/>
      <c r="Q5" s="82">
        <v>3</v>
      </c>
      <c r="R5" s="352"/>
      <c r="S5" s="358"/>
      <c r="T5" s="362"/>
      <c r="U5" s="363"/>
      <c r="V5" s="355"/>
      <c r="X5" s="82">
        <v>3</v>
      </c>
      <c r="Y5" s="352"/>
      <c r="Z5" s="358"/>
      <c r="AA5" s="362"/>
      <c r="AB5" s="363"/>
      <c r="AC5" s="355"/>
    </row>
    <row r="6" spans="1:31" ht="28.5" x14ac:dyDescent="0.45">
      <c r="A6" s="82">
        <v>4</v>
      </c>
      <c r="B6" s="87" t="s">
        <v>8</v>
      </c>
      <c r="C6" s="88" t="s">
        <v>19</v>
      </c>
      <c r="D6" s="366">
        <v>284.85599999999999</v>
      </c>
      <c r="E6" s="367"/>
      <c r="F6" s="89">
        <f>54348406.96-G6</f>
        <v>29847559.98</v>
      </c>
      <c r="G6" s="36">
        <v>24500846.98</v>
      </c>
      <c r="H6" s="36"/>
      <c r="I6" s="82">
        <v>4</v>
      </c>
      <c r="J6" s="352"/>
      <c r="K6" s="88" t="s">
        <v>19</v>
      </c>
      <c r="L6" s="366">
        <v>284.85599999999999</v>
      </c>
      <c r="M6" s="367"/>
      <c r="N6" s="355"/>
      <c r="Q6" s="82">
        <v>4</v>
      </c>
      <c r="R6" s="352"/>
      <c r="S6" s="358"/>
      <c r="T6" s="362"/>
      <c r="U6" s="363"/>
      <c r="V6" s="355"/>
      <c r="X6" s="82">
        <v>4</v>
      </c>
      <c r="Y6" s="352"/>
      <c r="Z6" s="358"/>
      <c r="AA6" s="362"/>
      <c r="AB6" s="363"/>
      <c r="AC6" s="355"/>
    </row>
    <row r="7" spans="1:31" x14ac:dyDescent="0.45">
      <c r="A7" s="82">
        <v>5</v>
      </c>
      <c r="B7" s="87" t="s">
        <v>1</v>
      </c>
      <c r="C7" s="88" t="s">
        <v>19</v>
      </c>
      <c r="D7" s="366">
        <v>103.27200000000001</v>
      </c>
      <c r="E7" s="367"/>
      <c r="F7" s="89">
        <f>14658524.85-G7</f>
        <v>6218924.8699999992</v>
      </c>
      <c r="G7" s="36">
        <v>8439599.9800000004</v>
      </c>
      <c r="H7" s="36"/>
      <c r="I7" s="82">
        <v>5</v>
      </c>
      <c r="J7" s="352"/>
      <c r="K7" s="88" t="s">
        <v>19</v>
      </c>
      <c r="L7" s="366">
        <v>103.27200000000001</v>
      </c>
      <c r="M7" s="367"/>
      <c r="N7" s="355"/>
      <c r="Q7" s="82">
        <v>5</v>
      </c>
      <c r="R7" s="352"/>
      <c r="S7" s="358"/>
      <c r="T7" s="362"/>
      <c r="U7" s="363"/>
      <c r="V7" s="355"/>
      <c r="X7" s="82">
        <v>5</v>
      </c>
      <c r="Y7" s="352"/>
      <c r="Z7" s="358"/>
      <c r="AA7" s="362"/>
      <c r="AB7" s="363"/>
      <c r="AC7" s="355"/>
    </row>
    <row r="8" spans="1:31" x14ac:dyDescent="0.45">
      <c r="A8" s="82">
        <v>6</v>
      </c>
      <c r="B8" s="87" t="s">
        <v>2</v>
      </c>
      <c r="C8" s="88" t="s">
        <v>19</v>
      </c>
      <c r="D8" s="366">
        <v>66.872</v>
      </c>
      <c r="E8" s="367"/>
      <c r="F8" s="89">
        <f>9352168.79-G8</f>
        <v>4525782.0099999988</v>
      </c>
      <c r="G8" s="36">
        <v>4826386.78</v>
      </c>
      <c r="H8" s="36"/>
      <c r="I8" s="82">
        <v>6</v>
      </c>
      <c r="J8" s="352"/>
      <c r="K8" s="88" t="s">
        <v>19</v>
      </c>
      <c r="L8" s="366">
        <v>66.872</v>
      </c>
      <c r="M8" s="367"/>
      <c r="N8" s="355"/>
      <c r="Q8" s="82">
        <v>6</v>
      </c>
      <c r="R8" s="352"/>
      <c r="S8" s="358"/>
      <c r="T8" s="362"/>
      <c r="U8" s="363"/>
      <c r="V8" s="355"/>
      <c r="X8" s="82">
        <v>6</v>
      </c>
      <c r="Y8" s="352"/>
      <c r="Z8" s="358"/>
      <c r="AA8" s="362"/>
      <c r="AB8" s="363"/>
      <c r="AC8" s="355"/>
    </row>
    <row r="9" spans="1:31" x14ac:dyDescent="0.45">
      <c r="A9" s="82">
        <v>7</v>
      </c>
      <c r="B9" s="87" t="s">
        <v>3</v>
      </c>
      <c r="C9" s="88" t="s">
        <v>19</v>
      </c>
      <c r="D9" s="366">
        <v>233.27199999999999</v>
      </c>
      <c r="E9" s="367"/>
      <c r="F9" s="89">
        <f>34523672.98-G9</f>
        <v>17401032.069999997</v>
      </c>
      <c r="G9" s="36">
        <v>17122640.91</v>
      </c>
      <c r="H9" s="36"/>
      <c r="I9" s="82">
        <v>7</v>
      </c>
      <c r="J9" s="352"/>
      <c r="K9" s="88" t="s">
        <v>19</v>
      </c>
      <c r="L9" s="366">
        <v>233.27199999999999</v>
      </c>
      <c r="M9" s="367"/>
      <c r="N9" s="355"/>
      <c r="Q9" s="82">
        <v>7</v>
      </c>
      <c r="R9" s="352"/>
      <c r="S9" s="358"/>
      <c r="T9" s="362"/>
      <c r="U9" s="363"/>
      <c r="V9" s="355"/>
      <c r="X9" s="82">
        <v>7</v>
      </c>
      <c r="Y9" s="352"/>
      <c r="Z9" s="358"/>
      <c r="AA9" s="362"/>
      <c r="AB9" s="363"/>
      <c r="AC9" s="355"/>
    </row>
    <row r="10" spans="1:31" ht="14.65" thickBot="1" x14ac:dyDescent="0.5">
      <c r="A10" s="83">
        <v>8</v>
      </c>
      <c r="B10" s="90" t="s">
        <v>4</v>
      </c>
      <c r="C10" s="91" t="s">
        <v>19</v>
      </c>
      <c r="D10" s="368">
        <v>4.3680000000000003</v>
      </c>
      <c r="E10" s="369"/>
      <c r="F10" s="92">
        <f>1043243.99-G10</f>
        <v>714028.58000000007</v>
      </c>
      <c r="G10" s="36">
        <v>329215.40999999997</v>
      </c>
      <c r="H10" s="36"/>
      <c r="I10" s="83">
        <v>8</v>
      </c>
      <c r="J10" s="353"/>
      <c r="K10" s="91" t="s">
        <v>19</v>
      </c>
      <c r="L10" s="368">
        <v>4.3680000000000003</v>
      </c>
      <c r="M10" s="369"/>
      <c r="N10" s="356"/>
      <c r="Q10" s="83">
        <v>8</v>
      </c>
      <c r="R10" s="353"/>
      <c r="S10" s="359"/>
      <c r="T10" s="364"/>
      <c r="U10" s="365"/>
      <c r="V10" s="356"/>
      <c r="X10" s="83">
        <v>8</v>
      </c>
      <c r="Y10" s="353"/>
      <c r="Z10" s="359"/>
      <c r="AA10" s="364"/>
      <c r="AB10" s="365"/>
      <c r="AC10" s="356"/>
    </row>
    <row r="11" spans="1:31" ht="2.25" customHeight="1" thickTop="1" x14ac:dyDescent="0.4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45">
      <c r="A12" s="53">
        <v>9</v>
      </c>
      <c r="B12" s="50" t="s">
        <v>27</v>
      </c>
      <c r="C12" s="42" t="s">
        <v>29</v>
      </c>
      <c r="D12" s="370" t="s">
        <v>31</v>
      </c>
      <c r="E12" s="37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70" t="s">
        <v>31</v>
      </c>
      <c r="M12" s="37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70" t="s">
        <v>31</v>
      </c>
      <c r="U12" s="371"/>
      <c r="V12" s="43">
        <v>3704032.4099999992</v>
      </c>
      <c r="X12" s="53">
        <v>9</v>
      </c>
      <c r="Y12" s="50" t="s">
        <v>27</v>
      </c>
      <c r="Z12" s="42" t="s">
        <v>29</v>
      </c>
      <c r="AA12" s="370" t="s">
        <v>31</v>
      </c>
      <c r="AB12" s="371"/>
      <c r="AC12" s="43">
        <v>3704032.4099999992</v>
      </c>
    </row>
    <row r="13" spans="1:31" x14ac:dyDescent="0.45">
      <c r="A13" s="52">
        <v>10</v>
      </c>
      <c r="B13" s="51" t="s">
        <v>28</v>
      </c>
      <c r="C13" s="40" t="s">
        <v>29</v>
      </c>
      <c r="D13" s="372" t="s">
        <v>30</v>
      </c>
      <c r="E13" s="37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72" t="s">
        <v>30</v>
      </c>
      <c r="M13" s="37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72" t="s">
        <v>30</v>
      </c>
      <c r="U13" s="373"/>
      <c r="V13" s="29">
        <v>15227354.290000003</v>
      </c>
      <c r="X13" s="52">
        <v>10</v>
      </c>
      <c r="Y13" s="51" t="s">
        <v>28</v>
      </c>
      <c r="Z13" s="40" t="s">
        <v>29</v>
      </c>
      <c r="AA13" s="372" t="s">
        <v>30</v>
      </c>
      <c r="AB13" s="373"/>
      <c r="AC13" s="29">
        <v>15227354.290000003</v>
      </c>
    </row>
    <row r="14" spans="1:31" ht="14.65" thickBot="1" x14ac:dyDescent="0.5">
      <c r="A14" s="70">
        <v>11</v>
      </c>
      <c r="B14" s="71" t="s">
        <v>17</v>
      </c>
      <c r="C14" s="72" t="s">
        <v>20</v>
      </c>
      <c r="D14" s="374">
        <f>47.6596*100</f>
        <v>4765.96</v>
      </c>
      <c r="E14" s="37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74">
        <f>47.6596*100</f>
        <v>4765.96</v>
      </c>
      <c r="M14" s="375"/>
      <c r="N14" s="73">
        <v>1105733.3899999999</v>
      </c>
      <c r="Q14" s="70">
        <v>11</v>
      </c>
      <c r="R14" s="71" t="s">
        <v>17</v>
      </c>
      <c r="S14" s="72" t="s">
        <v>20</v>
      </c>
      <c r="T14" s="374">
        <f>47.6596*100</f>
        <v>4765.96</v>
      </c>
      <c r="U14" s="375"/>
      <c r="V14" s="73">
        <v>1105733.3899999999</v>
      </c>
      <c r="X14" s="70">
        <v>11</v>
      </c>
      <c r="Y14" s="71" t="s">
        <v>17</v>
      </c>
      <c r="Z14" s="72" t="s">
        <v>20</v>
      </c>
      <c r="AA14" s="374">
        <f>47.6596*100</f>
        <v>4765.96</v>
      </c>
      <c r="AB14" s="375"/>
      <c r="AC14" s="73">
        <v>1105733.3899999999</v>
      </c>
    </row>
    <row r="15" spans="1:31" ht="6" customHeight="1" thickBot="1" x14ac:dyDescent="0.5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5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5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5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14.65" thickBot="1" x14ac:dyDescent="0.5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28.9" thickBot="1" x14ac:dyDescent="0.5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5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5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0.4" thickBot="1" x14ac:dyDescent="0.5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5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5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5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45">
      <c r="C27"/>
      <c r="G27" s="39"/>
      <c r="H27" s="39"/>
      <c r="K27"/>
      <c r="S27"/>
      <c r="Z27"/>
    </row>
    <row r="28" spans="1:31" ht="35.25" customHeight="1" x14ac:dyDescent="0.45">
      <c r="B28" s="424" t="s">
        <v>53</v>
      </c>
      <c r="C28" s="424"/>
      <c r="D28" s="424"/>
      <c r="E28" s="79"/>
      <c r="F28" s="93">
        <v>75700.428816399144</v>
      </c>
      <c r="G28" s="39"/>
      <c r="H28" s="39"/>
      <c r="J28" s="424" t="s">
        <v>53</v>
      </c>
      <c r="K28" s="424"/>
      <c r="L28" s="424"/>
      <c r="M28" s="79"/>
      <c r="N28" s="93">
        <f>164516389.54/L16</f>
        <v>79169.629195812944</v>
      </c>
      <c r="R28" s="424" t="s">
        <v>53</v>
      </c>
      <c r="S28" s="424"/>
      <c r="T28" s="424"/>
      <c r="U28" s="79"/>
      <c r="V28" s="93">
        <v>98736.12</v>
      </c>
      <c r="Y28" s="424" t="s">
        <v>53</v>
      </c>
      <c r="Z28" s="424"/>
      <c r="AA28" s="424"/>
      <c r="AB28" s="79"/>
      <c r="AC28" s="93">
        <v>94190.720000000001</v>
      </c>
    </row>
    <row r="29" spans="1:31" ht="30.75" customHeight="1" x14ac:dyDescent="0.45">
      <c r="B29" s="424" t="s">
        <v>54</v>
      </c>
      <c r="C29" s="424"/>
      <c r="D29" s="424"/>
      <c r="E29" s="79"/>
      <c r="F29" s="93">
        <v>89541.292052319011</v>
      </c>
      <c r="G29" s="39"/>
      <c r="H29" s="39"/>
      <c r="J29" s="424" t="s">
        <v>54</v>
      </c>
      <c r="K29" s="424"/>
      <c r="L29" s="424"/>
      <c r="M29" s="79"/>
      <c r="N29" s="93">
        <f>185090075.82/L16</f>
        <v>89070.230093588907</v>
      </c>
      <c r="R29" s="424" t="s">
        <v>54</v>
      </c>
      <c r="S29" s="424"/>
      <c r="T29" s="424"/>
      <c r="U29" s="79"/>
      <c r="V29" s="93">
        <v>111278</v>
      </c>
      <c r="Y29" s="424" t="s">
        <v>54</v>
      </c>
      <c r="Z29" s="424"/>
      <c r="AA29" s="424"/>
      <c r="AB29" s="79"/>
      <c r="AC29" s="93">
        <v>106960.11</v>
      </c>
    </row>
    <row r="30" spans="1:31" ht="37.5" customHeight="1" x14ac:dyDescent="0.45">
      <c r="B30" s="424" t="s">
        <v>55</v>
      </c>
      <c r="C30" s="424"/>
      <c r="D30" s="424"/>
      <c r="E30" s="79"/>
      <c r="F30" s="93">
        <f>F26/D16</f>
        <v>92227.530813888574</v>
      </c>
      <c r="G30" s="39"/>
      <c r="H30" s="39"/>
      <c r="J30" s="424" t="s">
        <v>55</v>
      </c>
      <c r="K30" s="424"/>
      <c r="L30" s="424"/>
      <c r="M30" s="79"/>
      <c r="N30" s="93">
        <f>N26/L16</f>
        <v>92227.530814851038</v>
      </c>
      <c r="R30" s="424" t="s">
        <v>55</v>
      </c>
      <c r="S30" s="424"/>
      <c r="T30" s="424"/>
      <c r="U30" s="79"/>
      <c r="V30" s="93">
        <f>V26/T16</f>
        <v>114616.43807964509</v>
      </c>
      <c r="Y30" s="424" t="s">
        <v>55</v>
      </c>
      <c r="Z30" s="424"/>
      <c r="AA30" s="424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sqref="A1:G18"/>
    </sheetView>
  </sheetViews>
  <sheetFormatPr defaultColWidth="11.3984375" defaultRowHeight="12.75" x14ac:dyDescent="0.35"/>
  <cols>
    <col min="1" max="1" width="40.73046875" style="123" customWidth="1"/>
    <col min="2" max="2" width="17.86328125" style="123" customWidth="1"/>
    <col min="3" max="4" width="17.73046875" style="123" customWidth="1"/>
    <col min="5" max="5" width="17.265625" style="123" customWidth="1"/>
    <col min="6" max="6" width="22.73046875" style="123" customWidth="1"/>
    <col min="7" max="7" width="15.73046875" style="123" customWidth="1"/>
    <col min="8" max="10" width="11.3984375" style="123"/>
    <col min="11" max="11" width="15" style="123" bestFit="1" customWidth="1"/>
    <col min="12" max="256" width="11.3984375" style="123"/>
    <col min="257" max="257" width="40.73046875" style="123" customWidth="1"/>
    <col min="258" max="258" width="17.86328125" style="123" customWidth="1"/>
    <col min="259" max="259" width="17.73046875" style="123" customWidth="1"/>
    <col min="260" max="260" width="16.1328125" style="123" customWidth="1"/>
    <col min="261" max="261" width="17.265625" style="123" customWidth="1"/>
    <col min="262" max="262" width="22.73046875" style="123" customWidth="1"/>
    <col min="263" max="263" width="15.73046875" style="123" customWidth="1"/>
    <col min="264" max="266" width="11.3984375" style="123"/>
    <col min="267" max="267" width="15" style="123" bestFit="1" customWidth="1"/>
    <col min="268" max="512" width="11.3984375" style="123"/>
    <col min="513" max="513" width="40.73046875" style="123" customWidth="1"/>
    <col min="514" max="514" width="17.86328125" style="123" customWidth="1"/>
    <col min="515" max="515" width="17.73046875" style="123" customWidth="1"/>
    <col min="516" max="516" width="16.1328125" style="123" customWidth="1"/>
    <col min="517" max="517" width="17.265625" style="123" customWidth="1"/>
    <col min="518" max="518" width="22.73046875" style="123" customWidth="1"/>
    <col min="519" max="519" width="15.73046875" style="123" customWidth="1"/>
    <col min="520" max="522" width="11.3984375" style="123"/>
    <col min="523" max="523" width="15" style="123" bestFit="1" customWidth="1"/>
    <col min="524" max="768" width="11.3984375" style="123"/>
    <col min="769" max="769" width="40.73046875" style="123" customWidth="1"/>
    <col min="770" max="770" width="17.86328125" style="123" customWidth="1"/>
    <col min="771" max="771" width="17.73046875" style="123" customWidth="1"/>
    <col min="772" max="772" width="16.1328125" style="123" customWidth="1"/>
    <col min="773" max="773" width="17.265625" style="123" customWidth="1"/>
    <col min="774" max="774" width="22.73046875" style="123" customWidth="1"/>
    <col min="775" max="775" width="15.73046875" style="123" customWidth="1"/>
    <col min="776" max="778" width="11.3984375" style="123"/>
    <col min="779" max="779" width="15" style="123" bestFit="1" customWidth="1"/>
    <col min="780" max="1024" width="11.3984375" style="123"/>
    <col min="1025" max="1025" width="40.73046875" style="123" customWidth="1"/>
    <col min="1026" max="1026" width="17.86328125" style="123" customWidth="1"/>
    <col min="1027" max="1027" width="17.73046875" style="123" customWidth="1"/>
    <col min="1028" max="1028" width="16.1328125" style="123" customWidth="1"/>
    <col min="1029" max="1029" width="17.265625" style="123" customWidth="1"/>
    <col min="1030" max="1030" width="22.73046875" style="123" customWidth="1"/>
    <col min="1031" max="1031" width="15.73046875" style="123" customWidth="1"/>
    <col min="1032" max="1034" width="11.3984375" style="123"/>
    <col min="1035" max="1035" width="15" style="123" bestFit="1" customWidth="1"/>
    <col min="1036" max="1280" width="11.3984375" style="123"/>
    <col min="1281" max="1281" width="40.73046875" style="123" customWidth="1"/>
    <col min="1282" max="1282" width="17.86328125" style="123" customWidth="1"/>
    <col min="1283" max="1283" width="17.73046875" style="123" customWidth="1"/>
    <col min="1284" max="1284" width="16.1328125" style="123" customWidth="1"/>
    <col min="1285" max="1285" width="17.265625" style="123" customWidth="1"/>
    <col min="1286" max="1286" width="22.73046875" style="123" customWidth="1"/>
    <col min="1287" max="1287" width="15.73046875" style="123" customWidth="1"/>
    <col min="1288" max="1290" width="11.3984375" style="123"/>
    <col min="1291" max="1291" width="15" style="123" bestFit="1" customWidth="1"/>
    <col min="1292" max="1536" width="11.3984375" style="123"/>
    <col min="1537" max="1537" width="40.73046875" style="123" customWidth="1"/>
    <col min="1538" max="1538" width="17.86328125" style="123" customWidth="1"/>
    <col min="1539" max="1539" width="17.73046875" style="123" customWidth="1"/>
    <col min="1540" max="1540" width="16.1328125" style="123" customWidth="1"/>
    <col min="1541" max="1541" width="17.265625" style="123" customWidth="1"/>
    <col min="1542" max="1542" width="22.73046875" style="123" customWidth="1"/>
    <col min="1543" max="1543" width="15.73046875" style="123" customWidth="1"/>
    <col min="1544" max="1546" width="11.3984375" style="123"/>
    <col min="1547" max="1547" width="15" style="123" bestFit="1" customWidth="1"/>
    <col min="1548" max="1792" width="11.3984375" style="123"/>
    <col min="1793" max="1793" width="40.73046875" style="123" customWidth="1"/>
    <col min="1794" max="1794" width="17.86328125" style="123" customWidth="1"/>
    <col min="1795" max="1795" width="17.73046875" style="123" customWidth="1"/>
    <col min="1796" max="1796" width="16.1328125" style="123" customWidth="1"/>
    <col min="1797" max="1797" width="17.265625" style="123" customWidth="1"/>
    <col min="1798" max="1798" width="22.73046875" style="123" customWidth="1"/>
    <col min="1799" max="1799" width="15.73046875" style="123" customWidth="1"/>
    <col min="1800" max="1802" width="11.3984375" style="123"/>
    <col min="1803" max="1803" width="15" style="123" bestFit="1" customWidth="1"/>
    <col min="1804" max="2048" width="11.3984375" style="123"/>
    <col min="2049" max="2049" width="40.73046875" style="123" customWidth="1"/>
    <col min="2050" max="2050" width="17.86328125" style="123" customWidth="1"/>
    <col min="2051" max="2051" width="17.73046875" style="123" customWidth="1"/>
    <col min="2052" max="2052" width="16.1328125" style="123" customWidth="1"/>
    <col min="2053" max="2053" width="17.265625" style="123" customWidth="1"/>
    <col min="2054" max="2054" width="22.73046875" style="123" customWidth="1"/>
    <col min="2055" max="2055" width="15.73046875" style="123" customWidth="1"/>
    <col min="2056" max="2058" width="11.3984375" style="123"/>
    <col min="2059" max="2059" width="15" style="123" bestFit="1" customWidth="1"/>
    <col min="2060" max="2304" width="11.3984375" style="123"/>
    <col min="2305" max="2305" width="40.73046875" style="123" customWidth="1"/>
    <col min="2306" max="2306" width="17.86328125" style="123" customWidth="1"/>
    <col min="2307" max="2307" width="17.73046875" style="123" customWidth="1"/>
    <col min="2308" max="2308" width="16.1328125" style="123" customWidth="1"/>
    <col min="2309" max="2309" width="17.265625" style="123" customWidth="1"/>
    <col min="2310" max="2310" width="22.73046875" style="123" customWidth="1"/>
    <col min="2311" max="2311" width="15.73046875" style="123" customWidth="1"/>
    <col min="2312" max="2314" width="11.3984375" style="123"/>
    <col min="2315" max="2315" width="15" style="123" bestFit="1" customWidth="1"/>
    <col min="2316" max="2560" width="11.3984375" style="123"/>
    <col min="2561" max="2561" width="40.73046875" style="123" customWidth="1"/>
    <col min="2562" max="2562" width="17.86328125" style="123" customWidth="1"/>
    <col min="2563" max="2563" width="17.73046875" style="123" customWidth="1"/>
    <col min="2564" max="2564" width="16.1328125" style="123" customWidth="1"/>
    <col min="2565" max="2565" width="17.265625" style="123" customWidth="1"/>
    <col min="2566" max="2566" width="22.73046875" style="123" customWidth="1"/>
    <col min="2567" max="2567" width="15.73046875" style="123" customWidth="1"/>
    <col min="2568" max="2570" width="11.3984375" style="123"/>
    <col min="2571" max="2571" width="15" style="123" bestFit="1" customWidth="1"/>
    <col min="2572" max="2816" width="11.3984375" style="123"/>
    <col min="2817" max="2817" width="40.73046875" style="123" customWidth="1"/>
    <col min="2818" max="2818" width="17.86328125" style="123" customWidth="1"/>
    <col min="2819" max="2819" width="17.73046875" style="123" customWidth="1"/>
    <col min="2820" max="2820" width="16.1328125" style="123" customWidth="1"/>
    <col min="2821" max="2821" width="17.265625" style="123" customWidth="1"/>
    <col min="2822" max="2822" width="22.73046875" style="123" customWidth="1"/>
    <col min="2823" max="2823" width="15.73046875" style="123" customWidth="1"/>
    <col min="2824" max="2826" width="11.3984375" style="123"/>
    <col min="2827" max="2827" width="15" style="123" bestFit="1" customWidth="1"/>
    <col min="2828" max="3072" width="11.3984375" style="123"/>
    <col min="3073" max="3073" width="40.73046875" style="123" customWidth="1"/>
    <col min="3074" max="3074" width="17.86328125" style="123" customWidth="1"/>
    <col min="3075" max="3075" width="17.73046875" style="123" customWidth="1"/>
    <col min="3076" max="3076" width="16.1328125" style="123" customWidth="1"/>
    <col min="3077" max="3077" width="17.265625" style="123" customWidth="1"/>
    <col min="3078" max="3078" width="22.73046875" style="123" customWidth="1"/>
    <col min="3079" max="3079" width="15.73046875" style="123" customWidth="1"/>
    <col min="3080" max="3082" width="11.3984375" style="123"/>
    <col min="3083" max="3083" width="15" style="123" bestFit="1" customWidth="1"/>
    <col min="3084" max="3328" width="11.3984375" style="123"/>
    <col min="3329" max="3329" width="40.73046875" style="123" customWidth="1"/>
    <col min="3330" max="3330" width="17.86328125" style="123" customWidth="1"/>
    <col min="3331" max="3331" width="17.73046875" style="123" customWidth="1"/>
    <col min="3332" max="3332" width="16.1328125" style="123" customWidth="1"/>
    <col min="3333" max="3333" width="17.265625" style="123" customWidth="1"/>
    <col min="3334" max="3334" width="22.73046875" style="123" customWidth="1"/>
    <col min="3335" max="3335" width="15.73046875" style="123" customWidth="1"/>
    <col min="3336" max="3338" width="11.3984375" style="123"/>
    <col min="3339" max="3339" width="15" style="123" bestFit="1" customWidth="1"/>
    <col min="3340" max="3584" width="11.3984375" style="123"/>
    <col min="3585" max="3585" width="40.73046875" style="123" customWidth="1"/>
    <col min="3586" max="3586" width="17.86328125" style="123" customWidth="1"/>
    <col min="3587" max="3587" width="17.73046875" style="123" customWidth="1"/>
    <col min="3588" max="3588" width="16.1328125" style="123" customWidth="1"/>
    <col min="3589" max="3589" width="17.265625" style="123" customWidth="1"/>
    <col min="3590" max="3590" width="22.73046875" style="123" customWidth="1"/>
    <col min="3591" max="3591" width="15.73046875" style="123" customWidth="1"/>
    <col min="3592" max="3594" width="11.3984375" style="123"/>
    <col min="3595" max="3595" width="15" style="123" bestFit="1" customWidth="1"/>
    <col min="3596" max="3840" width="11.3984375" style="123"/>
    <col min="3841" max="3841" width="40.73046875" style="123" customWidth="1"/>
    <col min="3842" max="3842" width="17.86328125" style="123" customWidth="1"/>
    <col min="3843" max="3843" width="17.73046875" style="123" customWidth="1"/>
    <col min="3844" max="3844" width="16.1328125" style="123" customWidth="1"/>
    <col min="3845" max="3845" width="17.265625" style="123" customWidth="1"/>
    <col min="3846" max="3846" width="22.73046875" style="123" customWidth="1"/>
    <col min="3847" max="3847" width="15.73046875" style="123" customWidth="1"/>
    <col min="3848" max="3850" width="11.3984375" style="123"/>
    <col min="3851" max="3851" width="15" style="123" bestFit="1" customWidth="1"/>
    <col min="3852" max="4096" width="11.3984375" style="123"/>
    <col min="4097" max="4097" width="40.73046875" style="123" customWidth="1"/>
    <col min="4098" max="4098" width="17.86328125" style="123" customWidth="1"/>
    <col min="4099" max="4099" width="17.73046875" style="123" customWidth="1"/>
    <col min="4100" max="4100" width="16.1328125" style="123" customWidth="1"/>
    <col min="4101" max="4101" width="17.265625" style="123" customWidth="1"/>
    <col min="4102" max="4102" width="22.73046875" style="123" customWidth="1"/>
    <col min="4103" max="4103" width="15.73046875" style="123" customWidth="1"/>
    <col min="4104" max="4106" width="11.3984375" style="123"/>
    <col min="4107" max="4107" width="15" style="123" bestFit="1" customWidth="1"/>
    <col min="4108" max="4352" width="11.3984375" style="123"/>
    <col min="4353" max="4353" width="40.73046875" style="123" customWidth="1"/>
    <col min="4354" max="4354" width="17.86328125" style="123" customWidth="1"/>
    <col min="4355" max="4355" width="17.73046875" style="123" customWidth="1"/>
    <col min="4356" max="4356" width="16.1328125" style="123" customWidth="1"/>
    <col min="4357" max="4357" width="17.265625" style="123" customWidth="1"/>
    <col min="4358" max="4358" width="22.73046875" style="123" customWidth="1"/>
    <col min="4359" max="4359" width="15.73046875" style="123" customWidth="1"/>
    <col min="4360" max="4362" width="11.3984375" style="123"/>
    <col min="4363" max="4363" width="15" style="123" bestFit="1" customWidth="1"/>
    <col min="4364" max="4608" width="11.3984375" style="123"/>
    <col min="4609" max="4609" width="40.73046875" style="123" customWidth="1"/>
    <col min="4610" max="4610" width="17.86328125" style="123" customWidth="1"/>
    <col min="4611" max="4611" width="17.73046875" style="123" customWidth="1"/>
    <col min="4612" max="4612" width="16.1328125" style="123" customWidth="1"/>
    <col min="4613" max="4613" width="17.265625" style="123" customWidth="1"/>
    <col min="4614" max="4614" width="22.73046875" style="123" customWidth="1"/>
    <col min="4615" max="4615" width="15.73046875" style="123" customWidth="1"/>
    <col min="4616" max="4618" width="11.3984375" style="123"/>
    <col min="4619" max="4619" width="15" style="123" bestFit="1" customWidth="1"/>
    <col min="4620" max="4864" width="11.3984375" style="123"/>
    <col min="4865" max="4865" width="40.73046875" style="123" customWidth="1"/>
    <col min="4866" max="4866" width="17.86328125" style="123" customWidth="1"/>
    <col min="4867" max="4867" width="17.73046875" style="123" customWidth="1"/>
    <col min="4868" max="4868" width="16.1328125" style="123" customWidth="1"/>
    <col min="4869" max="4869" width="17.265625" style="123" customWidth="1"/>
    <col min="4870" max="4870" width="22.73046875" style="123" customWidth="1"/>
    <col min="4871" max="4871" width="15.73046875" style="123" customWidth="1"/>
    <col min="4872" max="4874" width="11.3984375" style="123"/>
    <col min="4875" max="4875" width="15" style="123" bestFit="1" customWidth="1"/>
    <col min="4876" max="5120" width="11.3984375" style="123"/>
    <col min="5121" max="5121" width="40.73046875" style="123" customWidth="1"/>
    <col min="5122" max="5122" width="17.86328125" style="123" customWidth="1"/>
    <col min="5123" max="5123" width="17.73046875" style="123" customWidth="1"/>
    <col min="5124" max="5124" width="16.1328125" style="123" customWidth="1"/>
    <col min="5125" max="5125" width="17.265625" style="123" customWidth="1"/>
    <col min="5126" max="5126" width="22.73046875" style="123" customWidth="1"/>
    <col min="5127" max="5127" width="15.73046875" style="123" customWidth="1"/>
    <col min="5128" max="5130" width="11.3984375" style="123"/>
    <col min="5131" max="5131" width="15" style="123" bestFit="1" customWidth="1"/>
    <col min="5132" max="5376" width="11.3984375" style="123"/>
    <col min="5377" max="5377" width="40.73046875" style="123" customWidth="1"/>
    <col min="5378" max="5378" width="17.86328125" style="123" customWidth="1"/>
    <col min="5379" max="5379" width="17.73046875" style="123" customWidth="1"/>
    <col min="5380" max="5380" width="16.1328125" style="123" customWidth="1"/>
    <col min="5381" max="5381" width="17.265625" style="123" customWidth="1"/>
    <col min="5382" max="5382" width="22.73046875" style="123" customWidth="1"/>
    <col min="5383" max="5383" width="15.73046875" style="123" customWidth="1"/>
    <col min="5384" max="5386" width="11.3984375" style="123"/>
    <col min="5387" max="5387" width="15" style="123" bestFit="1" customWidth="1"/>
    <col min="5388" max="5632" width="11.3984375" style="123"/>
    <col min="5633" max="5633" width="40.73046875" style="123" customWidth="1"/>
    <col min="5634" max="5634" width="17.86328125" style="123" customWidth="1"/>
    <col min="5635" max="5635" width="17.73046875" style="123" customWidth="1"/>
    <col min="5636" max="5636" width="16.1328125" style="123" customWidth="1"/>
    <col min="5637" max="5637" width="17.265625" style="123" customWidth="1"/>
    <col min="5638" max="5638" width="22.73046875" style="123" customWidth="1"/>
    <col min="5639" max="5639" width="15.73046875" style="123" customWidth="1"/>
    <col min="5640" max="5642" width="11.3984375" style="123"/>
    <col min="5643" max="5643" width="15" style="123" bestFit="1" customWidth="1"/>
    <col min="5644" max="5888" width="11.3984375" style="123"/>
    <col min="5889" max="5889" width="40.73046875" style="123" customWidth="1"/>
    <col min="5890" max="5890" width="17.86328125" style="123" customWidth="1"/>
    <col min="5891" max="5891" width="17.73046875" style="123" customWidth="1"/>
    <col min="5892" max="5892" width="16.1328125" style="123" customWidth="1"/>
    <col min="5893" max="5893" width="17.265625" style="123" customWidth="1"/>
    <col min="5894" max="5894" width="22.73046875" style="123" customWidth="1"/>
    <col min="5895" max="5895" width="15.73046875" style="123" customWidth="1"/>
    <col min="5896" max="5898" width="11.3984375" style="123"/>
    <col min="5899" max="5899" width="15" style="123" bestFit="1" customWidth="1"/>
    <col min="5900" max="6144" width="11.3984375" style="123"/>
    <col min="6145" max="6145" width="40.73046875" style="123" customWidth="1"/>
    <col min="6146" max="6146" width="17.86328125" style="123" customWidth="1"/>
    <col min="6147" max="6147" width="17.73046875" style="123" customWidth="1"/>
    <col min="6148" max="6148" width="16.1328125" style="123" customWidth="1"/>
    <col min="6149" max="6149" width="17.265625" style="123" customWidth="1"/>
    <col min="6150" max="6150" width="22.73046875" style="123" customWidth="1"/>
    <col min="6151" max="6151" width="15.73046875" style="123" customWidth="1"/>
    <col min="6152" max="6154" width="11.3984375" style="123"/>
    <col min="6155" max="6155" width="15" style="123" bestFit="1" customWidth="1"/>
    <col min="6156" max="6400" width="11.3984375" style="123"/>
    <col min="6401" max="6401" width="40.73046875" style="123" customWidth="1"/>
    <col min="6402" max="6402" width="17.86328125" style="123" customWidth="1"/>
    <col min="6403" max="6403" width="17.73046875" style="123" customWidth="1"/>
    <col min="6404" max="6404" width="16.1328125" style="123" customWidth="1"/>
    <col min="6405" max="6405" width="17.265625" style="123" customWidth="1"/>
    <col min="6406" max="6406" width="22.73046875" style="123" customWidth="1"/>
    <col min="6407" max="6407" width="15.73046875" style="123" customWidth="1"/>
    <col min="6408" max="6410" width="11.3984375" style="123"/>
    <col min="6411" max="6411" width="15" style="123" bestFit="1" customWidth="1"/>
    <col min="6412" max="6656" width="11.3984375" style="123"/>
    <col min="6657" max="6657" width="40.73046875" style="123" customWidth="1"/>
    <col min="6658" max="6658" width="17.86328125" style="123" customWidth="1"/>
    <col min="6659" max="6659" width="17.73046875" style="123" customWidth="1"/>
    <col min="6660" max="6660" width="16.1328125" style="123" customWidth="1"/>
    <col min="6661" max="6661" width="17.265625" style="123" customWidth="1"/>
    <col min="6662" max="6662" width="22.73046875" style="123" customWidth="1"/>
    <col min="6663" max="6663" width="15.73046875" style="123" customWidth="1"/>
    <col min="6664" max="6666" width="11.3984375" style="123"/>
    <col min="6667" max="6667" width="15" style="123" bestFit="1" customWidth="1"/>
    <col min="6668" max="6912" width="11.3984375" style="123"/>
    <col min="6913" max="6913" width="40.73046875" style="123" customWidth="1"/>
    <col min="6914" max="6914" width="17.86328125" style="123" customWidth="1"/>
    <col min="6915" max="6915" width="17.73046875" style="123" customWidth="1"/>
    <col min="6916" max="6916" width="16.1328125" style="123" customWidth="1"/>
    <col min="6917" max="6917" width="17.265625" style="123" customWidth="1"/>
    <col min="6918" max="6918" width="22.73046875" style="123" customWidth="1"/>
    <col min="6919" max="6919" width="15.73046875" style="123" customWidth="1"/>
    <col min="6920" max="6922" width="11.3984375" style="123"/>
    <col min="6923" max="6923" width="15" style="123" bestFit="1" customWidth="1"/>
    <col min="6924" max="7168" width="11.3984375" style="123"/>
    <col min="7169" max="7169" width="40.73046875" style="123" customWidth="1"/>
    <col min="7170" max="7170" width="17.86328125" style="123" customWidth="1"/>
    <col min="7171" max="7171" width="17.73046875" style="123" customWidth="1"/>
    <col min="7172" max="7172" width="16.1328125" style="123" customWidth="1"/>
    <col min="7173" max="7173" width="17.265625" style="123" customWidth="1"/>
    <col min="7174" max="7174" width="22.73046875" style="123" customWidth="1"/>
    <col min="7175" max="7175" width="15.73046875" style="123" customWidth="1"/>
    <col min="7176" max="7178" width="11.3984375" style="123"/>
    <col min="7179" max="7179" width="15" style="123" bestFit="1" customWidth="1"/>
    <col min="7180" max="7424" width="11.3984375" style="123"/>
    <col min="7425" max="7425" width="40.73046875" style="123" customWidth="1"/>
    <col min="7426" max="7426" width="17.86328125" style="123" customWidth="1"/>
    <col min="7427" max="7427" width="17.73046875" style="123" customWidth="1"/>
    <col min="7428" max="7428" width="16.1328125" style="123" customWidth="1"/>
    <col min="7429" max="7429" width="17.265625" style="123" customWidth="1"/>
    <col min="7430" max="7430" width="22.73046875" style="123" customWidth="1"/>
    <col min="7431" max="7431" width="15.73046875" style="123" customWidth="1"/>
    <col min="7432" max="7434" width="11.3984375" style="123"/>
    <col min="7435" max="7435" width="15" style="123" bestFit="1" customWidth="1"/>
    <col min="7436" max="7680" width="11.3984375" style="123"/>
    <col min="7681" max="7681" width="40.73046875" style="123" customWidth="1"/>
    <col min="7682" max="7682" width="17.86328125" style="123" customWidth="1"/>
    <col min="7683" max="7683" width="17.73046875" style="123" customWidth="1"/>
    <col min="7684" max="7684" width="16.1328125" style="123" customWidth="1"/>
    <col min="7685" max="7685" width="17.265625" style="123" customWidth="1"/>
    <col min="7686" max="7686" width="22.73046875" style="123" customWidth="1"/>
    <col min="7687" max="7687" width="15.73046875" style="123" customWidth="1"/>
    <col min="7688" max="7690" width="11.3984375" style="123"/>
    <col min="7691" max="7691" width="15" style="123" bestFit="1" customWidth="1"/>
    <col min="7692" max="7936" width="11.3984375" style="123"/>
    <col min="7937" max="7937" width="40.73046875" style="123" customWidth="1"/>
    <col min="7938" max="7938" width="17.86328125" style="123" customWidth="1"/>
    <col min="7939" max="7939" width="17.73046875" style="123" customWidth="1"/>
    <col min="7940" max="7940" width="16.1328125" style="123" customWidth="1"/>
    <col min="7941" max="7941" width="17.265625" style="123" customWidth="1"/>
    <col min="7942" max="7942" width="22.73046875" style="123" customWidth="1"/>
    <col min="7943" max="7943" width="15.73046875" style="123" customWidth="1"/>
    <col min="7944" max="7946" width="11.3984375" style="123"/>
    <col min="7947" max="7947" width="15" style="123" bestFit="1" customWidth="1"/>
    <col min="7948" max="8192" width="11.3984375" style="123"/>
    <col min="8193" max="8193" width="40.73046875" style="123" customWidth="1"/>
    <col min="8194" max="8194" width="17.86328125" style="123" customWidth="1"/>
    <col min="8195" max="8195" width="17.73046875" style="123" customWidth="1"/>
    <col min="8196" max="8196" width="16.1328125" style="123" customWidth="1"/>
    <col min="8197" max="8197" width="17.265625" style="123" customWidth="1"/>
    <col min="8198" max="8198" width="22.73046875" style="123" customWidth="1"/>
    <col min="8199" max="8199" width="15.73046875" style="123" customWidth="1"/>
    <col min="8200" max="8202" width="11.3984375" style="123"/>
    <col min="8203" max="8203" width="15" style="123" bestFit="1" customWidth="1"/>
    <col min="8204" max="8448" width="11.3984375" style="123"/>
    <col min="8449" max="8449" width="40.73046875" style="123" customWidth="1"/>
    <col min="8450" max="8450" width="17.86328125" style="123" customWidth="1"/>
    <col min="8451" max="8451" width="17.73046875" style="123" customWidth="1"/>
    <col min="8452" max="8452" width="16.1328125" style="123" customWidth="1"/>
    <col min="8453" max="8453" width="17.265625" style="123" customWidth="1"/>
    <col min="8454" max="8454" width="22.73046875" style="123" customWidth="1"/>
    <col min="8455" max="8455" width="15.73046875" style="123" customWidth="1"/>
    <col min="8456" max="8458" width="11.3984375" style="123"/>
    <col min="8459" max="8459" width="15" style="123" bestFit="1" customWidth="1"/>
    <col min="8460" max="8704" width="11.3984375" style="123"/>
    <col min="8705" max="8705" width="40.73046875" style="123" customWidth="1"/>
    <col min="8706" max="8706" width="17.86328125" style="123" customWidth="1"/>
    <col min="8707" max="8707" width="17.73046875" style="123" customWidth="1"/>
    <col min="8708" max="8708" width="16.1328125" style="123" customWidth="1"/>
    <col min="8709" max="8709" width="17.265625" style="123" customWidth="1"/>
    <col min="8710" max="8710" width="22.73046875" style="123" customWidth="1"/>
    <col min="8711" max="8711" width="15.73046875" style="123" customWidth="1"/>
    <col min="8712" max="8714" width="11.3984375" style="123"/>
    <col min="8715" max="8715" width="15" style="123" bestFit="1" customWidth="1"/>
    <col min="8716" max="8960" width="11.3984375" style="123"/>
    <col min="8961" max="8961" width="40.73046875" style="123" customWidth="1"/>
    <col min="8962" max="8962" width="17.86328125" style="123" customWidth="1"/>
    <col min="8963" max="8963" width="17.73046875" style="123" customWidth="1"/>
    <col min="8964" max="8964" width="16.1328125" style="123" customWidth="1"/>
    <col min="8965" max="8965" width="17.265625" style="123" customWidth="1"/>
    <col min="8966" max="8966" width="22.73046875" style="123" customWidth="1"/>
    <col min="8967" max="8967" width="15.73046875" style="123" customWidth="1"/>
    <col min="8968" max="8970" width="11.3984375" style="123"/>
    <col min="8971" max="8971" width="15" style="123" bestFit="1" customWidth="1"/>
    <col min="8972" max="9216" width="11.3984375" style="123"/>
    <col min="9217" max="9217" width="40.73046875" style="123" customWidth="1"/>
    <col min="9218" max="9218" width="17.86328125" style="123" customWidth="1"/>
    <col min="9219" max="9219" width="17.73046875" style="123" customWidth="1"/>
    <col min="9220" max="9220" width="16.1328125" style="123" customWidth="1"/>
    <col min="9221" max="9221" width="17.265625" style="123" customWidth="1"/>
    <col min="9222" max="9222" width="22.73046875" style="123" customWidth="1"/>
    <col min="9223" max="9223" width="15.73046875" style="123" customWidth="1"/>
    <col min="9224" max="9226" width="11.3984375" style="123"/>
    <col min="9227" max="9227" width="15" style="123" bestFit="1" customWidth="1"/>
    <col min="9228" max="9472" width="11.3984375" style="123"/>
    <col min="9473" max="9473" width="40.73046875" style="123" customWidth="1"/>
    <col min="9474" max="9474" width="17.86328125" style="123" customWidth="1"/>
    <col min="9475" max="9475" width="17.73046875" style="123" customWidth="1"/>
    <col min="9476" max="9476" width="16.1328125" style="123" customWidth="1"/>
    <col min="9477" max="9477" width="17.265625" style="123" customWidth="1"/>
    <col min="9478" max="9478" width="22.73046875" style="123" customWidth="1"/>
    <col min="9479" max="9479" width="15.73046875" style="123" customWidth="1"/>
    <col min="9480" max="9482" width="11.3984375" style="123"/>
    <col min="9483" max="9483" width="15" style="123" bestFit="1" customWidth="1"/>
    <col min="9484" max="9728" width="11.3984375" style="123"/>
    <col min="9729" max="9729" width="40.73046875" style="123" customWidth="1"/>
    <col min="9730" max="9730" width="17.86328125" style="123" customWidth="1"/>
    <col min="9731" max="9731" width="17.73046875" style="123" customWidth="1"/>
    <col min="9732" max="9732" width="16.1328125" style="123" customWidth="1"/>
    <col min="9733" max="9733" width="17.265625" style="123" customWidth="1"/>
    <col min="9734" max="9734" width="22.73046875" style="123" customWidth="1"/>
    <col min="9735" max="9735" width="15.73046875" style="123" customWidth="1"/>
    <col min="9736" max="9738" width="11.3984375" style="123"/>
    <col min="9739" max="9739" width="15" style="123" bestFit="1" customWidth="1"/>
    <col min="9740" max="9984" width="11.3984375" style="123"/>
    <col min="9985" max="9985" width="40.73046875" style="123" customWidth="1"/>
    <col min="9986" max="9986" width="17.86328125" style="123" customWidth="1"/>
    <col min="9987" max="9987" width="17.73046875" style="123" customWidth="1"/>
    <col min="9988" max="9988" width="16.1328125" style="123" customWidth="1"/>
    <col min="9989" max="9989" width="17.265625" style="123" customWidth="1"/>
    <col min="9990" max="9990" width="22.73046875" style="123" customWidth="1"/>
    <col min="9991" max="9991" width="15.73046875" style="123" customWidth="1"/>
    <col min="9992" max="9994" width="11.3984375" style="123"/>
    <col min="9995" max="9995" width="15" style="123" bestFit="1" customWidth="1"/>
    <col min="9996" max="10240" width="11.3984375" style="123"/>
    <col min="10241" max="10241" width="40.73046875" style="123" customWidth="1"/>
    <col min="10242" max="10242" width="17.86328125" style="123" customWidth="1"/>
    <col min="10243" max="10243" width="17.73046875" style="123" customWidth="1"/>
    <col min="10244" max="10244" width="16.1328125" style="123" customWidth="1"/>
    <col min="10245" max="10245" width="17.265625" style="123" customWidth="1"/>
    <col min="10246" max="10246" width="22.73046875" style="123" customWidth="1"/>
    <col min="10247" max="10247" width="15.73046875" style="123" customWidth="1"/>
    <col min="10248" max="10250" width="11.3984375" style="123"/>
    <col min="10251" max="10251" width="15" style="123" bestFit="1" customWidth="1"/>
    <col min="10252" max="10496" width="11.3984375" style="123"/>
    <col min="10497" max="10497" width="40.73046875" style="123" customWidth="1"/>
    <col min="10498" max="10498" width="17.86328125" style="123" customWidth="1"/>
    <col min="10499" max="10499" width="17.73046875" style="123" customWidth="1"/>
    <col min="10500" max="10500" width="16.1328125" style="123" customWidth="1"/>
    <col min="10501" max="10501" width="17.265625" style="123" customWidth="1"/>
    <col min="10502" max="10502" width="22.73046875" style="123" customWidth="1"/>
    <col min="10503" max="10503" width="15.73046875" style="123" customWidth="1"/>
    <col min="10504" max="10506" width="11.3984375" style="123"/>
    <col min="10507" max="10507" width="15" style="123" bestFit="1" customWidth="1"/>
    <col min="10508" max="10752" width="11.3984375" style="123"/>
    <col min="10753" max="10753" width="40.73046875" style="123" customWidth="1"/>
    <col min="10754" max="10754" width="17.86328125" style="123" customWidth="1"/>
    <col min="10755" max="10755" width="17.73046875" style="123" customWidth="1"/>
    <col min="10756" max="10756" width="16.1328125" style="123" customWidth="1"/>
    <col min="10757" max="10757" width="17.265625" style="123" customWidth="1"/>
    <col min="10758" max="10758" width="22.73046875" style="123" customWidth="1"/>
    <col min="10759" max="10759" width="15.73046875" style="123" customWidth="1"/>
    <col min="10760" max="10762" width="11.3984375" style="123"/>
    <col min="10763" max="10763" width="15" style="123" bestFit="1" customWidth="1"/>
    <col min="10764" max="11008" width="11.3984375" style="123"/>
    <col min="11009" max="11009" width="40.73046875" style="123" customWidth="1"/>
    <col min="11010" max="11010" width="17.86328125" style="123" customWidth="1"/>
    <col min="11011" max="11011" width="17.73046875" style="123" customWidth="1"/>
    <col min="11012" max="11012" width="16.1328125" style="123" customWidth="1"/>
    <col min="11013" max="11013" width="17.265625" style="123" customWidth="1"/>
    <col min="11014" max="11014" width="22.73046875" style="123" customWidth="1"/>
    <col min="11015" max="11015" width="15.73046875" style="123" customWidth="1"/>
    <col min="11016" max="11018" width="11.3984375" style="123"/>
    <col min="11019" max="11019" width="15" style="123" bestFit="1" customWidth="1"/>
    <col min="11020" max="11264" width="11.3984375" style="123"/>
    <col min="11265" max="11265" width="40.73046875" style="123" customWidth="1"/>
    <col min="11266" max="11266" width="17.86328125" style="123" customWidth="1"/>
    <col min="11267" max="11267" width="17.73046875" style="123" customWidth="1"/>
    <col min="11268" max="11268" width="16.1328125" style="123" customWidth="1"/>
    <col min="11269" max="11269" width="17.265625" style="123" customWidth="1"/>
    <col min="11270" max="11270" width="22.73046875" style="123" customWidth="1"/>
    <col min="11271" max="11271" width="15.73046875" style="123" customWidth="1"/>
    <col min="11272" max="11274" width="11.3984375" style="123"/>
    <col min="11275" max="11275" width="15" style="123" bestFit="1" customWidth="1"/>
    <col min="11276" max="11520" width="11.3984375" style="123"/>
    <col min="11521" max="11521" width="40.73046875" style="123" customWidth="1"/>
    <col min="11522" max="11522" width="17.86328125" style="123" customWidth="1"/>
    <col min="11523" max="11523" width="17.73046875" style="123" customWidth="1"/>
    <col min="11524" max="11524" width="16.1328125" style="123" customWidth="1"/>
    <col min="11525" max="11525" width="17.265625" style="123" customWidth="1"/>
    <col min="11526" max="11526" width="22.73046875" style="123" customWidth="1"/>
    <col min="11527" max="11527" width="15.73046875" style="123" customWidth="1"/>
    <col min="11528" max="11530" width="11.3984375" style="123"/>
    <col min="11531" max="11531" width="15" style="123" bestFit="1" customWidth="1"/>
    <col min="11532" max="11776" width="11.3984375" style="123"/>
    <col min="11777" max="11777" width="40.73046875" style="123" customWidth="1"/>
    <col min="11778" max="11778" width="17.86328125" style="123" customWidth="1"/>
    <col min="11779" max="11779" width="17.73046875" style="123" customWidth="1"/>
    <col min="11780" max="11780" width="16.1328125" style="123" customWidth="1"/>
    <col min="11781" max="11781" width="17.265625" style="123" customWidth="1"/>
    <col min="11782" max="11782" width="22.73046875" style="123" customWidth="1"/>
    <col min="11783" max="11783" width="15.73046875" style="123" customWidth="1"/>
    <col min="11784" max="11786" width="11.3984375" style="123"/>
    <col min="11787" max="11787" width="15" style="123" bestFit="1" customWidth="1"/>
    <col min="11788" max="12032" width="11.3984375" style="123"/>
    <col min="12033" max="12033" width="40.73046875" style="123" customWidth="1"/>
    <col min="12034" max="12034" width="17.86328125" style="123" customWidth="1"/>
    <col min="12035" max="12035" width="17.73046875" style="123" customWidth="1"/>
    <col min="12036" max="12036" width="16.1328125" style="123" customWidth="1"/>
    <col min="12037" max="12037" width="17.265625" style="123" customWidth="1"/>
    <col min="12038" max="12038" width="22.73046875" style="123" customWidth="1"/>
    <col min="12039" max="12039" width="15.73046875" style="123" customWidth="1"/>
    <col min="12040" max="12042" width="11.3984375" style="123"/>
    <col min="12043" max="12043" width="15" style="123" bestFit="1" customWidth="1"/>
    <col min="12044" max="12288" width="11.3984375" style="123"/>
    <col min="12289" max="12289" width="40.73046875" style="123" customWidth="1"/>
    <col min="12290" max="12290" width="17.86328125" style="123" customWidth="1"/>
    <col min="12291" max="12291" width="17.73046875" style="123" customWidth="1"/>
    <col min="12292" max="12292" width="16.1328125" style="123" customWidth="1"/>
    <col min="12293" max="12293" width="17.265625" style="123" customWidth="1"/>
    <col min="12294" max="12294" width="22.73046875" style="123" customWidth="1"/>
    <col min="12295" max="12295" width="15.73046875" style="123" customWidth="1"/>
    <col min="12296" max="12298" width="11.3984375" style="123"/>
    <col min="12299" max="12299" width="15" style="123" bestFit="1" customWidth="1"/>
    <col min="12300" max="12544" width="11.3984375" style="123"/>
    <col min="12545" max="12545" width="40.73046875" style="123" customWidth="1"/>
    <col min="12546" max="12546" width="17.86328125" style="123" customWidth="1"/>
    <col min="12547" max="12547" width="17.73046875" style="123" customWidth="1"/>
    <col min="12548" max="12548" width="16.1328125" style="123" customWidth="1"/>
    <col min="12549" max="12549" width="17.265625" style="123" customWidth="1"/>
    <col min="12550" max="12550" width="22.73046875" style="123" customWidth="1"/>
    <col min="12551" max="12551" width="15.73046875" style="123" customWidth="1"/>
    <col min="12552" max="12554" width="11.3984375" style="123"/>
    <col min="12555" max="12555" width="15" style="123" bestFit="1" customWidth="1"/>
    <col min="12556" max="12800" width="11.3984375" style="123"/>
    <col min="12801" max="12801" width="40.73046875" style="123" customWidth="1"/>
    <col min="12802" max="12802" width="17.86328125" style="123" customWidth="1"/>
    <col min="12803" max="12803" width="17.73046875" style="123" customWidth="1"/>
    <col min="12804" max="12804" width="16.1328125" style="123" customWidth="1"/>
    <col min="12805" max="12805" width="17.265625" style="123" customWidth="1"/>
    <col min="12806" max="12806" width="22.73046875" style="123" customWidth="1"/>
    <col min="12807" max="12807" width="15.73046875" style="123" customWidth="1"/>
    <col min="12808" max="12810" width="11.3984375" style="123"/>
    <col min="12811" max="12811" width="15" style="123" bestFit="1" customWidth="1"/>
    <col min="12812" max="13056" width="11.3984375" style="123"/>
    <col min="13057" max="13057" width="40.73046875" style="123" customWidth="1"/>
    <col min="13058" max="13058" width="17.86328125" style="123" customWidth="1"/>
    <col min="13059" max="13059" width="17.73046875" style="123" customWidth="1"/>
    <col min="13060" max="13060" width="16.1328125" style="123" customWidth="1"/>
    <col min="13061" max="13061" width="17.265625" style="123" customWidth="1"/>
    <col min="13062" max="13062" width="22.73046875" style="123" customWidth="1"/>
    <col min="13063" max="13063" width="15.73046875" style="123" customWidth="1"/>
    <col min="13064" max="13066" width="11.3984375" style="123"/>
    <col min="13067" max="13067" width="15" style="123" bestFit="1" customWidth="1"/>
    <col min="13068" max="13312" width="11.3984375" style="123"/>
    <col min="13313" max="13313" width="40.73046875" style="123" customWidth="1"/>
    <col min="13314" max="13314" width="17.86328125" style="123" customWidth="1"/>
    <col min="13315" max="13315" width="17.73046875" style="123" customWidth="1"/>
    <col min="13316" max="13316" width="16.1328125" style="123" customWidth="1"/>
    <col min="13317" max="13317" width="17.265625" style="123" customWidth="1"/>
    <col min="13318" max="13318" width="22.73046875" style="123" customWidth="1"/>
    <col min="13319" max="13319" width="15.73046875" style="123" customWidth="1"/>
    <col min="13320" max="13322" width="11.3984375" style="123"/>
    <col min="13323" max="13323" width="15" style="123" bestFit="1" customWidth="1"/>
    <col min="13324" max="13568" width="11.3984375" style="123"/>
    <col min="13569" max="13569" width="40.73046875" style="123" customWidth="1"/>
    <col min="13570" max="13570" width="17.86328125" style="123" customWidth="1"/>
    <col min="13571" max="13571" width="17.73046875" style="123" customWidth="1"/>
    <col min="13572" max="13572" width="16.1328125" style="123" customWidth="1"/>
    <col min="13573" max="13573" width="17.265625" style="123" customWidth="1"/>
    <col min="13574" max="13574" width="22.73046875" style="123" customWidth="1"/>
    <col min="13575" max="13575" width="15.73046875" style="123" customWidth="1"/>
    <col min="13576" max="13578" width="11.3984375" style="123"/>
    <col min="13579" max="13579" width="15" style="123" bestFit="1" customWidth="1"/>
    <col min="13580" max="13824" width="11.3984375" style="123"/>
    <col min="13825" max="13825" width="40.73046875" style="123" customWidth="1"/>
    <col min="13826" max="13826" width="17.86328125" style="123" customWidth="1"/>
    <col min="13827" max="13827" width="17.73046875" style="123" customWidth="1"/>
    <col min="13828" max="13828" width="16.1328125" style="123" customWidth="1"/>
    <col min="13829" max="13829" width="17.265625" style="123" customWidth="1"/>
    <col min="13830" max="13830" width="22.73046875" style="123" customWidth="1"/>
    <col min="13831" max="13831" width="15.73046875" style="123" customWidth="1"/>
    <col min="13832" max="13834" width="11.3984375" style="123"/>
    <col min="13835" max="13835" width="15" style="123" bestFit="1" customWidth="1"/>
    <col min="13836" max="14080" width="11.3984375" style="123"/>
    <col min="14081" max="14081" width="40.73046875" style="123" customWidth="1"/>
    <col min="14082" max="14082" width="17.86328125" style="123" customWidth="1"/>
    <col min="14083" max="14083" width="17.73046875" style="123" customWidth="1"/>
    <col min="14084" max="14084" width="16.1328125" style="123" customWidth="1"/>
    <col min="14085" max="14085" width="17.265625" style="123" customWidth="1"/>
    <col min="14086" max="14086" width="22.73046875" style="123" customWidth="1"/>
    <col min="14087" max="14087" width="15.73046875" style="123" customWidth="1"/>
    <col min="14088" max="14090" width="11.3984375" style="123"/>
    <col min="14091" max="14091" width="15" style="123" bestFit="1" customWidth="1"/>
    <col min="14092" max="14336" width="11.3984375" style="123"/>
    <col min="14337" max="14337" width="40.73046875" style="123" customWidth="1"/>
    <col min="14338" max="14338" width="17.86328125" style="123" customWidth="1"/>
    <col min="14339" max="14339" width="17.73046875" style="123" customWidth="1"/>
    <col min="14340" max="14340" width="16.1328125" style="123" customWidth="1"/>
    <col min="14341" max="14341" width="17.265625" style="123" customWidth="1"/>
    <col min="14342" max="14342" width="22.73046875" style="123" customWidth="1"/>
    <col min="14343" max="14343" width="15.73046875" style="123" customWidth="1"/>
    <col min="14344" max="14346" width="11.3984375" style="123"/>
    <col min="14347" max="14347" width="15" style="123" bestFit="1" customWidth="1"/>
    <col min="14348" max="14592" width="11.3984375" style="123"/>
    <col min="14593" max="14593" width="40.73046875" style="123" customWidth="1"/>
    <col min="14594" max="14594" width="17.86328125" style="123" customWidth="1"/>
    <col min="14595" max="14595" width="17.73046875" style="123" customWidth="1"/>
    <col min="14596" max="14596" width="16.1328125" style="123" customWidth="1"/>
    <col min="14597" max="14597" width="17.265625" style="123" customWidth="1"/>
    <col min="14598" max="14598" width="22.73046875" style="123" customWidth="1"/>
    <col min="14599" max="14599" width="15.73046875" style="123" customWidth="1"/>
    <col min="14600" max="14602" width="11.3984375" style="123"/>
    <col min="14603" max="14603" width="15" style="123" bestFit="1" customWidth="1"/>
    <col min="14604" max="14848" width="11.3984375" style="123"/>
    <col min="14849" max="14849" width="40.73046875" style="123" customWidth="1"/>
    <col min="14850" max="14850" width="17.86328125" style="123" customWidth="1"/>
    <col min="14851" max="14851" width="17.73046875" style="123" customWidth="1"/>
    <col min="14852" max="14852" width="16.1328125" style="123" customWidth="1"/>
    <col min="14853" max="14853" width="17.265625" style="123" customWidth="1"/>
    <col min="14854" max="14854" width="22.73046875" style="123" customWidth="1"/>
    <col min="14855" max="14855" width="15.73046875" style="123" customWidth="1"/>
    <col min="14856" max="14858" width="11.3984375" style="123"/>
    <col min="14859" max="14859" width="15" style="123" bestFit="1" customWidth="1"/>
    <col min="14860" max="15104" width="11.3984375" style="123"/>
    <col min="15105" max="15105" width="40.73046875" style="123" customWidth="1"/>
    <col min="15106" max="15106" width="17.86328125" style="123" customWidth="1"/>
    <col min="15107" max="15107" width="17.73046875" style="123" customWidth="1"/>
    <col min="15108" max="15108" width="16.1328125" style="123" customWidth="1"/>
    <col min="15109" max="15109" width="17.265625" style="123" customWidth="1"/>
    <col min="15110" max="15110" width="22.73046875" style="123" customWidth="1"/>
    <col min="15111" max="15111" width="15.73046875" style="123" customWidth="1"/>
    <col min="15112" max="15114" width="11.3984375" style="123"/>
    <col min="15115" max="15115" width="15" style="123" bestFit="1" customWidth="1"/>
    <col min="15116" max="15360" width="11.3984375" style="123"/>
    <col min="15361" max="15361" width="40.73046875" style="123" customWidth="1"/>
    <col min="15362" max="15362" width="17.86328125" style="123" customWidth="1"/>
    <col min="15363" max="15363" width="17.73046875" style="123" customWidth="1"/>
    <col min="15364" max="15364" width="16.1328125" style="123" customWidth="1"/>
    <col min="15365" max="15365" width="17.265625" style="123" customWidth="1"/>
    <col min="15366" max="15366" width="22.73046875" style="123" customWidth="1"/>
    <col min="15367" max="15367" width="15.73046875" style="123" customWidth="1"/>
    <col min="15368" max="15370" width="11.3984375" style="123"/>
    <col min="15371" max="15371" width="15" style="123" bestFit="1" customWidth="1"/>
    <col min="15372" max="15616" width="11.3984375" style="123"/>
    <col min="15617" max="15617" width="40.73046875" style="123" customWidth="1"/>
    <col min="15618" max="15618" width="17.86328125" style="123" customWidth="1"/>
    <col min="15619" max="15619" width="17.73046875" style="123" customWidth="1"/>
    <col min="15620" max="15620" width="16.1328125" style="123" customWidth="1"/>
    <col min="15621" max="15621" width="17.265625" style="123" customWidth="1"/>
    <col min="15622" max="15622" width="22.73046875" style="123" customWidth="1"/>
    <col min="15623" max="15623" width="15.73046875" style="123" customWidth="1"/>
    <col min="15624" max="15626" width="11.3984375" style="123"/>
    <col min="15627" max="15627" width="15" style="123" bestFit="1" customWidth="1"/>
    <col min="15628" max="15872" width="11.3984375" style="123"/>
    <col min="15873" max="15873" width="40.73046875" style="123" customWidth="1"/>
    <col min="15874" max="15874" width="17.86328125" style="123" customWidth="1"/>
    <col min="15875" max="15875" width="17.73046875" style="123" customWidth="1"/>
    <col min="15876" max="15876" width="16.1328125" style="123" customWidth="1"/>
    <col min="15877" max="15877" width="17.265625" style="123" customWidth="1"/>
    <col min="15878" max="15878" width="22.73046875" style="123" customWidth="1"/>
    <col min="15879" max="15879" width="15.73046875" style="123" customWidth="1"/>
    <col min="15880" max="15882" width="11.3984375" style="123"/>
    <col min="15883" max="15883" width="15" style="123" bestFit="1" customWidth="1"/>
    <col min="15884" max="16128" width="11.3984375" style="123"/>
    <col min="16129" max="16129" width="40.73046875" style="123" customWidth="1"/>
    <col min="16130" max="16130" width="17.86328125" style="123" customWidth="1"/>
    <col min="16131" max="16131" width="17.73046875" style="123" customWidth="1"/>
    <col min="16132" max="16132" width="16.1328125" style="123" customWidth="1"/>
    <col min="16133" max="16133" width="17.265625" style="123" customWidth="1"/>
    <col min="16134" max="16134" width="22.73046875" style="123" customWidth="1"/>
    <col min="16135" max="16135" width="15.73046875" style="123" customWidth="1"/>
    <col min="16136" max="16138" width="11.3984375" style="123"/>
    <col min="16139" max="16139" width="15" style="123" bestFit="1" customWidth="1"/>
    <col min="16140" max="16384" width="11.3984375" style="123"/>
  </cols>
  <sheetData>
    <row r="1" spans="1:14" s="109" customFormat="1" ht="25.5" customHeight="1" x14ac:dyDescent="0.35">
      <c r="A1" s="441" t="s">
        <v>69</v>
      </c>
      <c r="B1" s="441"/>
      <c r="C1" s="441"/>
      <c r="D1" s="441"/>
      <c r="E1" s="138" t="s">
        <v>70</v>
      </c>
      <c r="F1" s="108"/>
      <c r="G1" s="108"/>
    </row>
    <row r="2" spans="1:14" s="109" customFormat="1" x14ac:dyDescent="0.35"/>
    <row r="3" spans="1:14" s="111" customFormat="1" ht="63.75" hidden="1" x14ac:dyDescent="0.35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35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35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t="13.15" hidden="1" x14ac:dyDescent="0.4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35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t="13.15" hidden="1" x14ac:dyDescent="0.4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4.25" x14ac:dyDescent="0.4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4.25" x14ac:dyDescent="0.4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ht="13.15" x14ac:dyDescent="0.4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8" x14ac:dyDescent="0.6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4">
      <c r="D14" s="130"/>
      <c r="G14" s="125"/>
      <c r="H14" s="125"/>
      <c r="I14" s="129"/>
    </row>
    <row r="15" spans="1:14" ht="13.15" x14ac:dyDescent="0.4">
      <c r="A15" s="123" t="s">
        <v>76</v>
      </c>
      <c r="C15" s="442" t="s">
        <v>195</v>
      </c>
      <c r="D15" s="442"/>
      <c r="E15" s="442"/>
      <c r="F15" s="442"/>
      <c r="G15" s="319">
        <f>5/12</f>
        <v>0.41666666666666669</v>
      </c>
      <c r="H15" s="125"/>
      <c r="I15" s="129"/>
    </row>
    <row r="16" spans="1:14" ht="6" customHeight="1" x14ac:dyDescent="0.4">
      <c r="D16" s="130"/>
      <c r="G16" s="125"/>
      <c r="H16" s="125"/>
      <c r="I16" s="129"/>
    </row>
    <row r="17" spans="1:9" s="137" customFormat="1" ht="25.5" customHeight="1" x14ac:dyDescent="0.4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4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6328125" defaultRowHeight="14.25" x14ac:dyDescent="0.45"/>
  <cols>
    <col min="1" max="1" width="90.59765625" style="145" customWidth="1"/>
    <col min="2" max="6" width="16.1328125" style="145" customWidth="1"/>
    <col min="7" max="16384" width="8.86328125" style="145"/>
  </cols>
  <sheetData>
    <row r="1" spans="1:6" x14ac:dyDescent="0.45">
      <c r="A1" s="443" t="s">
        <v>77</v>
      </c>
      <c r="B1" s="443"/>
      <c r="C1" s="443"/>
      <c r="D1" s="443"/>
      <c r="E1" s="443"/>
      <c r="F1" s="443"/>
    </row>
    <row r="2" spans="1:6" ht="45" customHeight="1" x14ac:dyDescent="0.45">
      <c r="A2" s="443"/>
      <c r="B2" s="443"/>
      <c r="C2" s="443"/>
      <c r="D2" s="443"/>
      <c r="E2" s="443"/>
      <c r="F2" s="443"/>
    </row>
    <row r="3" spans="1:6" ht="52.5" customHeight="1" x14ac:dyDescent="0.45">
      <c r="A3" s="444" t="s">
        <v>78</v>
      </c>
      <c r="B3" s="444"/>
      <c r="C3" s="444"/>
      <c r="D3" s="444"/>
      <c r="E3" s="444"/>
      <c r="F3" s="444"/>
    </row>
    <row r="4" spans="1:6" s="146" customFormat="1" ht="19.5" customHeight="1" thickBot="1" x14ac:dyDescent="0.65">
      <c r="A4" s="445" t="s">
        <v>79</v>
      </c>
      <c r="B4" s="445"/>
      <c r="C4" s="445"/>
      <c r="D4" s="445"/>
      <c r="E4" s="445"/>
      <c r="F4" s="445"/>
    </row>
    <row r="5" spans="1:6" ht="19.5" customHeight="1" x14ac:dyDescent="0.4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55000000000000004">
      <c r="A6" s="151"/>
      <c r="B6" s="152" t="s">
        <v>80</v>
      </c>
      <c r="C6" s="153" t="s">
        <v>81</v>
      </c>
      <c r="D6" s="446" t="s">
        <v>82</v>
      </c>
      <c r="E6" s="446"/>
      <c r="F6" s="447"/>
    </row>
    <row r="7" spans="1:6" ht="15.75" customHeight="1" x14ac:dyDescent="0.4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4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4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4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4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4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4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4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4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4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4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4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4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4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4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4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4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4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4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4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4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4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4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5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4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4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4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4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4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4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4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4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4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4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4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4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4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4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4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4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4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4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4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4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4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4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4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5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4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4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4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4" x14ac:dyDescent="0.4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4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4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4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4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4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15.4" x14ac:dyDescent="0.4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4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4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4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4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4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4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4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0" x14ac:dyDescent="0.4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4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4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0" x14ac:dyDescent="0.4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4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5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4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4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4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4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4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4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4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4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4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4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4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4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4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4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4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4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4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4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4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4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4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5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4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4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45">
      <c r="A102" s="448" t="s">
        <v>128</v>
      </c>
      <c r="B102" s="449"/>
      <c r="C102" s="449"/>
      <c r="D102" s="449"/>
      <c r="E102" s="449"/>
      <c r="F102" s="449"/>
    </row>
    <row r="103" spans="1:6" ht="15.4" x14ac:dyDescent="0.45">
      <c r="A103" s="213" t="s">
        <v>129</v>
      </c>
      <c r="B103" s="217"/>
      <c r="C103" s="217"/>
      <c r="D103" s="217"/>
      <c r="E103" s="217"/>
      <c r="F103" s="217"/>
    </row>
    <row r="104" spans="1:6" ht="15.4" x14ac:dyDescent="0.45">
      <c r="A104" s="213" t="s">
        <v>130</v>
      </c>
      <c r="B104" s="217"/>
      <c r="C104" s="217"/>
      <c r="D104" s="217"/>
      <c r="E104" s="217"/>
      <c r="F104" s="217"/>
    </row>
    <row r="105" spans="1:6" ht="15.4" x14ac:dyDescent="0.4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4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4.25" x14ac:dyDescent="0.45"/>
  <cols>
    <col min="2" max="2" width="35.265625" customWidth="1"/>
    <col min="3" max="3" width="12" style="35" customWidth="1"/>
    <col min="4" max="4" width="8.265625" customWidth="1"/>
    <col min="5" max="5" width="3" customWidth="1"/>
    <col min="6" max="6" width="23.265625" customWidth="1"/>
    <col min="7" max="7" width="16.73046875" style="35" customWidth="1"/>
    <col min="8" max="8" width="13" customWidth="1"/>
  </cols>
  <sheetData>
    <row r="1" spans="1:8" ht="14.65" thickBot="1" x14ac:dyDescent="0.5"/>
    <row r="2" spans="1:8" ht="14.65" thickBot="1" x14ac:dyDescent="0.5">
      <c r="A2" s="54" t="s">
        <v>37</v>
      </c>
      <c r="B2" s="55" t="s">
        <v>38</v>
      </c>
      <c r="C2" s="56" t="s">
        <v>18</v>
      </c>
      <c r="D2" s="347" t="s">
        <v>21</v>
      </c>
      <c r="E2" s="348"/>
      <c r="F2" s="57" t="s">
        <v>32</v>
      </c>
      <c r="G2" s="1" t="s">
        <v>24</v>
      </c>
    </row>
    <row r="3" spans="1:8" x14ac:dyDescent="0.45">
      <c r="A3" s="81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f>40619316.42-G3</f>
        <v>10022991.91</v>
      </c>
      <c r="G3" s="36">
        <v>30596324.510000002</v>
      </c>
      <c r="H3" s="34"/>
    </row>
    <row r="4" spans="1:8" x14ac:dyDescent="0.45">
      <c r="A4" s="82">
        <v>2</v>
      </c>
      <c r="B4" s="87" t="s">
        <v>25</v>
      </c>
      <c r="C4" s="88" t="s">
        <v>19</v>
      </c>
      <c r="D4" s="366">
        <f>676.624</f>
        <v>676.62400000000002</v>
      </c>
      <c r="E4" s="367"/>
      <c r="F4" s="89">
        <f>77526903.96-G4</f>
        <v>28449520.749999993</v>
      </c>
      <c r="G4" s="36">
        <v>49077383.210000001</v>
      </c>
      <c r="H4" s="34"/>
    </row>
    <row r="5" spans="1:8" x14ac:dyDescent="0.45">
      <c r="A5" s="82">
        <v>3</v>
      </c>
      <c r="B5" s="87" t="s">
        <v>26</v>
      </c>
      <c r="C5" s="88" t="s">
        <v>19</v>
      </c>
      <c r="D5" s="366">
        <v>295.15199999999999</v>
      </c>
      <c r="E5" s="367"/>
      <c r="F5" s="89">
        <f>35252578.16-G5</f>
        <v>12410042.859999996</v>
      </c>
      <c r="G5" s="36">
        <v>22842535.300000001</v>
      </c>
      <c r="H5" s="34"/>
    </row>
    <row r="6" spans="1:8" x14ac:dyDescent="0.45">
      <c r="A6" s="82">
        <v>4</v>
      </c>
      <c r="B6" s="87" t="s">
        <v>8</v>
      </c>
      <c r="C6" s="88" t="s">
        <v>19</v>
      </c>
      <c r="D6" s="366">
        <v>284.85599999999999</v>
      </c>
      <c r="E6" s="367"/>
      <c r="F6" s="89">
        <f>54348406.96-G6</f>
        <v>29847559.98</v>
      </c>
      <c r="G6" s="36">
        <v>24500846.98</v>
      </c>
      <c r="H6" s="34"/>
    </row>
    <row r="7" spans="1:8" x14ac:dyDescent="0.45">
      <c r="A7" s="82">
        <v>5</v>
      </c>
      <c r="B7" s="87" t="s">
        <v>1</v>
      </c>
      <c r="C7" s="88" t="s">
        <v>19</v>
      </c>
      <c r="D7" s="366">
        <v>103.27200000000001</v>
      </c>
      <c r="E7" s="367"/>
      <c r="F7" s="89">
        <f>14658524.85-G7</f>
        <v>6218924.8699999992</v>
      </c>
      <c r="G7" s="36">
        <v>8439599.9800000004</v>
      </c>
      <c r="H7" s="34"/>
    </row>
    <row r="8" spans="1:8" x14ac:dyDescent="0.45">
      <c r="A8" s="82">
        <v>6</v>
      </c>
      <c r="B8" s="87" t="s">
        <v>2</v>
      </c>
      <c r="C8" s="88" t="s">
        <v>19</v>
      </c>
      <c r="D8" s="366">
        <v>66.872</v>
      </c>
      <c r="E8" s="367"/>
      <c r="F8" s="89">
        <f>9352168.79-G8</f>
        <v>4525782.0099999988</v>
      </c>
      <c r="G8" s="36">
        <v>4826386.78</v>
      </c>
      <c r="H8" s="34"/>
    </row>
    <row r="9" spans="1:8" x14ac:dyDescent="0.45">
      <c r="A9" s="82">
        <v>7</v>
      </c>
      <c r="B9" s="87" t="s">
        <v>3</v>
      </c>
      <c r="C9" s="88" t="s">
        <v>19</v>
      </c>
      <c r="D9" s="366">
        <v>233.27199999999999</v>
      </c>
      <c r="E9" s="367"/>
      <c r="F9" s="89">
        <f>34523672.98-G9</f>
        <v>17401032.069999997</v>
      </c>
      <c r="G9" s="36">
        <v>17122640.91</v>
      </c>
      <c r="H9" s="34"/>
    </row>
    <row r="10" spans="1:8" ht="14.65" thickBot="1" x14ac:dyDescent="0.5">
      <c r="A10" s="83">
        <v>8</v>
      </c>
      <c r="B10" s="90" t="s">
        <v>4</v>
      </c>
      <c r="C10" s="91" t="s">
        <v>19</v>
      </c>
      <c r="D10" s="368">
        <v>4.3680000000000003</v>
      </c>
      <c r="E10" s="369"/>
      <c r="F10" s="92">
        <f>1043243.99-G10</f>
        <v>714028.58000000007</v>
      </c>
      <c r="G10" s="36">
        <v>329215.40999999997</v>
      </c>
      <c r="H10" s="34"/>
    </row>
    <row r="11" spans="1:8" ht="14.65" thickTop="1" x14ac:dyDescent="0.45">
      <c r="A11" s="53">
        <v>9</v>
      </c>
      <c r="B11" s="50" t="s">
        <v>27</v>
      </c>
      <c r="C11" s="42" t="s">
        <v>29</v>
      </c>
      <c r="D11" s="370" t="s">
        <v>31</v>
      </c>
      <c r="E11" s="371"/>
      <c r="F11" s="43"/>
      <c r="G11" s="36">
        <v>6065255.7000000002</v>
      </c>
    </row>
    <row r="12" spans="1:8" x14ac:dyDescent="0.45">
      <c r="A12" s="52">
        <v>10</v>
      </c>
      <c r="B12" s="51" t="s">
        <v>28</v>
      </c>
      <c r="C12" s="40" t="s">
        <v>29</v>
      </c>
      <c r="D12" s="372" t="s">
        <v>30</v>
      </c>
      <c r="E12" s="373"/>
      <c r="F12" s="29"/>
      <c r="G12" s="36">
        <v>7146142.3799999999</v>
      </c>
    </row>
    <row r="13" spans="1:8" ht="14.65" thickBot="1" x14ac:dyDescent="0.5">
      <c r="A13" s="70">
        <v>11</v>
      </c>
      <c r="B13" s="71" t="s">
        <v>17</v>
      </c>
      <c r="C13" s="72" t="s">
        <v>20</v>
      </c>
      <c r="D13" s="374">
        <f>47.6596*100</f>
        <v>4765.96</v>
      </c>
      <c r="E13" s="375"/>
      <c r="F13" s="73"/>
      <c r="G13" s="36"/>
    </row>
    <row r="14" spans="1:8" ht="6" customHeight="1" thickBot="1" x14ac:dyDescent="0.5">
      <c r="A14" s="74"/>
      <c r="B14" s="75"/>
      <c r="C14" s="76"/>
      <c r="D14" s="77"/>
      <c r="E14" s="77"/>
      <c r="F14" s="78"/>
    </row>
    <row r="15" spans="1:8" ht="19.5" customHeight="1" thickBot="1" x14ac:dyDescent="0.5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5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14.65" thickBot="1" x14ac:dyDescent="0.5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5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5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5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5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45">
      <c r="C22"/>
      <c r="G22" s="39"/>
    </row>
    <row r="23" spans="1:8" ht="28.5" x14ac:dyDescent="0.4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4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4.25" x14ac:dyDescent="0.45"/>
  <cols>
    <col min="2" max="2" width="35.265625" customWidth="1"/>
    <col min="3" max="3" width="15.3984375" customWidth="1"/>
    <col min="4" max="4" width="20.3984375" customWidth="1"/>
    <col min="5" max="5" width="27.59765625" customWidth="1"/>
    <col min="6" max="6" width="16.73046875" style="35" customWidth="1"/>
  </cols>
  <sheetData>
    <row r="1" spans="2:7" ht="14.65" thickBot="1" x14ac:dyDescent="0.5"/>
    <row r="2" spans="2:7" ht="28.5" x14ac:dyDescent="0.4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4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28.5" x14ac:dyDescent="0.4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4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4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4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4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4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4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4.65" thickBot="1" x14ac:dyDescent="0.5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5" thickTop="1" thickBot="1" x14ac:dyDescent="0.5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5">
      <c r="B13" s="17"/>
      <c r="C13" s="17"/>
      <c r="D13" s="17"/>
      <c r="E13" s="18"/>
    </row>
    <row r="14" spans="2:7" ht="14.65" thickBot="1" x14ac:dyDescent="0.5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45">
      <c r="C15" s="25">
        <f>C14-E14</f>
        <v>-12687817.409999996</v>
      </c>
    </row>
    <row r="16" spans="2:7" ht="14.65" thickBot="1" x14ac:dyDescent="0.5">
      <c r="E16" s="16">
        <f>E14/E12</f>
        <v>92227.530812926139</v>
      </c>
    </row>
    <row r="18" spans="4:4" x14ac:dyDescent="0.4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BZ38"/>
  <sheetViews>
    <sheetView zoomScale="80" zoomScaleNormal="80" workbookViewId="0">
      <selection activeCell="K15" sqref="K15"/>
    </sheetView>
  </sheetViews>
  <sheetFormatPr defaultRowHeight="14.25" x14ac:dyDescent="0.45"/>
  <cols>
    <col min="1" max="1" width="7.59765625" style="307" customWidth="1"/>
    <col min="2" max="2" width="37.3984375" customWidth="1"/>
    <col min="3" max="3" width="12.3984375" bestFit="1" customWidth="1"/>
    <col min="4" max="4" width="14.86328125" bestFit="1" customWidth="1"/>
    <col min="5" max="5" width="7.86328125" customWidth="1"/>
    <col min="6" max="6" width="19.265625" customWidth="1"/>
    <col min="8" max="8" width="7.59765625" style="307" customWidth="1"/>
    <col min="9" max="9" width="37.3984375" customWidth="1"/>
    <col min="10" max="10" width="11.59765625" customWidth="1"/>
    <col min="11" max="11" width="14.1328125" customWidth="1"/>
    <col min="12" max="12" width="15.59765625" customWidth="1"/>
    <col min="13" max="13" width="19.265625" customWidth="1"/>
    <col min="14" max="14" width="11.73046875" customWidth="1"/>
    <col min="15" max="15" width="9" customWidth="1"/>
    <col min="16" max="16" width="9.265625" style="307" customWidth="1"/>
    <col min="17" max="17" width="37.59765625" customWidth="1"/>
    <col min="18" max="18" width="11.59765625" customWidth="1"/>
    <col min="19" max="19" width="8.59765625" customWidth="1"/>
    <col min="20" max="20" width="9.3984375" customWidth="1"/>
    <col min="21" max="21" width="22.265625" customWidth="1"/>
    <col min="22" max="22" width="10.86328125" bestFit="1" customWidth="1"/>
    <col min="23" max="23" width="14.86328125" bestFit="1" customWidth="1"/>
    <col min="26" max="26" width="36" customWidth="1"/>
    <col min="30" max="30" width="13.59765625" bestFit="1" customWidth="1"/>
    <col min="31" max="31" width="9.86328125" style="25" bestFit="1" customWidth="1"/>
    <col min="32" max="33" width="9.1328125" style="25"/>
    <col min="34" max="34" width="12.3984375" style="25" bestFit="1" customWidth="1"/>
    <col min="35" max="35" width="9.1328125" style="25"/>
  </cols>
  <sheetData>
    <row r="1" spans="1:78" ht="51.75" customHeight="1" thickBot="1" x14ac:dyDescent="0.55000000000000004">
      <c r="A1" s="383" t="s">
        <v>211</v>
      </c>
      <c r="B1" s="384"/>
      <c r="C1" s="384"/>
      <c r="D1" s="384"/>
      <c r="E1" s="384"/>
      <c r="F1" s="385"/>
      <c r="H1" s="383" t="s">
        <v>212</v>
      </c>
      <c r="I1" s="384"/>
      <c r="J1" s="384"/>
      <c r="K1" s="384"/>
      <c r="L1" s="384"/>
      <c r="M1" s="385"/>
      <c r="N1" s="323"/>
      <c r="P1" s="329"/>
      <c r="Q1" s="384" t="s">
        <v>213</v>
      </c>
      <c r="R1" s="384"/>
      <c r="S1" s="384"/>
      <c r="T1" s="384"/>
      <c r="U1" s="385"/>
    </row>
    <row r="2" spans="1:78" ht="27.75" customHeight="1" thickBot="1" x14ac:dyDescent="0.5">
      <c r="A2" s="297" t="s">
        <v>58</v>
      </c>
      <c r="B2" s="55" t="s">
        <v>73</v>
      </c>
      <c r="C2" s="315" t="s">
        <v>18</v>
      </c>
      <c r="D2" s="347" t="s">
        <v>21</v>
      </c>
      <c r="E2" s="348"/>
      <c r="F2" s="57" t="s">
        <v>32</v>
      </c>
      <c r="H2" s="297" t="s">
        <v>58</v>
      </c>
      <c r="I2" s="55" t="s">
        <v>73</v>
      </c>
      <c r="J2" s="315" t="s">
        <v>18</v>
      </c>
      <c r="K2" s="347" t="s">
        <v>21</v>
      </c>
      <c r="L2" s="348"/>
      <c r="M2" s="57" t="s">
        <v>32</v>
      </c>
      <c r="P2" s="297" t="s">
        <v>58</v>
      </c>
      <c r="Q2" s="55" t="s">
        <v>73</v>
      </c>
      <c r="R2" s="315" t="s">
        <v>18</v>
      </c>
      <c r="S2" s="347" t="s">
        <v>21</v>
      </c>
      <c r="T2" s="348"/>
      <c r="U2" s="57" t="s">
        <v>32</v>
      </c>
    </row>
    <row r="3" spans="1:78" x14ac:dyDescent="0.45">
      <c r="A3" s="298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v>10022991.91</v>
      </c>
      <c r="H3" s="298">
        <v>1</v>
      </c>
      <c r="I3" s="84" t="s">
        <v>0</v>
      </c>
      <c r="J3" s="85" t="s">
        <v>19</v>
      </c>
      <c r="K3" s="349">
        <f>404.352+9.256</f>
        <v>413.60799999999995</v>
      </c>
      <c r="L3" s="350"/>
      <c r="M3" s="86">
        <v>10022991.91</v>
      </c>
      <c r="P3" s="298">
        <v>1</v>
      </c>
      <c r="Q3" s="351" t="s">
        <v>47</v>
      </c>
      <c r="R3" s="391" t="s">
        <v>19</v>
      </c>
      <c r="S3" s="360">
        <v>2078.02</v>
      </c>
      <c r="T3" s="361"/>
      <c r="U3" s="388">
        <v>162211085.97999999</v>
      </c>
    </row>
    <row r="4" spans="1:78" ht="28.5" x14ac:dyDescent="0.45">
      <c r="A4" s="299">
        <v>2</v>
      </c>
      <c r="B4" s="87" t="s">
        <v>159</v>
      </c>
      <c r="C4" s="88" t="s">
        <v>19</v>
      </c>
      <c r="D4" s="349">
        <f>676.624+295.152</f>
        <v>971.77600000000007</v>
      </c>
      <c r="E4" s="350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49">
        <f>676.624+295.152</f>
        <v>971.77600000000007</v>
      </c>
      <c r="L4" s="350"/>
      <c r="M4" s="89">
        <f>28449520.75+12410042.86</f>
        <v>40859563.609999999</v>
      </c>
      <c r="P4" s="299">
        <v>2</v>
      </c>
      <c r="Q4" s="352"/>
      <c r="R4" s="392"/>
      <c r="S4" s="362"/>
      <c r="T4" s="363"/>
      <c r="U4" s="389"/>
    </row>
    <row r="5" spans="1:78" x14ac:dyDescent="0.45">
      <c r="A5" s="299">
        <v>3</v>
      </c>
      <c r="B5" s="87" t="s">
        <v>8</v>
      </c>
      <c r="C5" s="88" t="s">
        <v>19</v>
      </c>
      <c r="D5" s="366">
        <v>284.85599999999999</v>
      </c>
      <c r="E5" s="367"/>
      <c r="F5" s="89">
        <v>29847559.98</v>
      </c>
      <c r="H5" s="299">
        <v>3</v>
      </c>
      <c r="I5" s="87" t="s">
        <v>8</v>
      </c>
      <c r="J5" s="88" t="s">
        <v>19</v>
      </c>
      <c r="K5" s="366">
        <v>284.85599999999999</v>
      </c>
      <c r="L5" s="367"/>
      <c r="M5" s="89">
        <v>29847559.98</v>
      </c>
      <c r="P5" s="299">
        <v>3</v>
      </c>
      <c r="Q5" s="352"/>
      <c r="R5" s="392"/>
      <c r="S5" s="362"/>
      <c r="T5" s="363"/>
      <c r="U5" s="389"/>
      <c r="Y5" s="35"/>
      <c r="Z5" s="338"/>
      <c r="AA5" s="338"/>
      <c r="AB5" s="338"/>
      <c r="AC5" s="308"/>
      <c r="AD5" s="271"/>
      <c r="AE5" s="341"/>
    </row>
    <row r="6" spans="1:78" x14ac:dyDescent="0.45">
      <c r="A6" s="299">
        <v>4</v>
      </c>
      <c r="B6" s="87" t="s">
        <v>1</v>
      </c>
      <c r="C6" s="88" t="s">
        <v>19</v>
      </c>
      <c r="D6" s="366">
        <v>103.27200000000001</v>
      </c>
      <c r="E6" s="367"/>
      <c r="F6" s="89">
        <v>6218924.8699999992</v>
      </c>
      <c r="H6" s="299">
        <v>4</v>
      </c>
      <c r="I6" s="87" t="s">
        <v>1</v>
      </c>
      <c r="J6" s="88" t="s">
        <v>19</v>
      </c>
      <c r="K6" s="366">
        <v>103.27200000000001</v>
      </c>
      <c r="L6" s="367"/>
      <c r="M6" s="89">
        <v>6218924.8699999992</v>
      </c>
      <c r="P6" s="299">
        <v>4</v>
      </c>
      <c r="Q6" s="352"/>
      <c r="R6" s="392"/>
      <c r="S6" s="362"/>
      <c r="T6" s="363"/>
      <c r="U6" s="389"/>
      <c r="Y6" s="35"/>
      <c r="Z6" s="338"/>
      <c r="AA6" s="338"/>
      <c r="AB6" s="338"/>
      <c r="AC6" s="308"/>
      <c r="AD6" s="271"/>
      <c r="AE6" s="341"/>
    </row>
    <row r="7" spans="1:78" x14ac:dyDescent="0.45">
      <c r="A7" s="299">
        <v>5</v>
      </c>
      <c r="B7" s="87" t="s">
        <v>2</v>
      </c>
      <c r="C7" s="88" t="s">
        <v>19</v>
      </c>
      <c r="D7" s="366">
        <v>66.872</v>
      </c>
      <c r="E7" s="367"/>
      <c r="F7" s="89">
        <v>4525782.0099999988</v>
      </c>
      <c r="H7" s="299">
        <v>5</v>
      </c>
      <c r="I7" s="87" t="s">
        <v>2</v>
      </c>
      <c r="J7" s="88" t="s">
        <v>19</v>
      </c>
      <c r="K7" s="366">
        <v>66.872</v>
      </c>
      <c r="L7" s="367"/>
      <c r="M7" s="89">
        <v>4525782.0099999988</v>
      </c>
      <c r="P7" s="299">
        <v>5</v>
      </c>
      <c r="Q7" s="352"/>
      <c r="R7" s="392"/>
      <c r="S7" s="362"/>
      <c r="T7" s="363"/>
      <c r="U7" s="389"/>
    </row>
    <row r="8" spans="1:78" x14ac:dyDescent="0.45">
      <c r="A8" s="299">
        <v>6</v>
      </c>
      <c r="B8" s="87" t="s">
        <v>3</v>
      </c>
      <c r="C8" s="88" t="s">
        <v>19</v>
      </c>
      <c r="D8" s="366">
        <v>233.27199999999999</v>
      </c>
      <c r="E8" s="367"/>
      <c r="F8" s="89">
        <v>17401032.069999997</v>
      </c>
      <c r="H8" s="299">
        <v>6</v>
      </c>
      <c r="I8" s="87" t="s">
        <v>3</v>
      </c>
      <c r="J8" s="88" t="s">
        <v>19</v>
      </c>
      <c r="K8" s="366">
        <v>233.27199999999999</v>
      </c>
      <c r="L8" s="367"/>
      <c r="M8" s="89">
        <v>17401032.069999997</v>
      </c>
      <c r="P8" s="299">
        <v>6</v>
      </c>
      <c r="Q8" s="352"/>
      <c r="R8" s="392"/>
      <c r="S8" s="362"/>
      <c r="T8" s="363"/>
      <c r="U8" s="389"/>
    </row>
    <row r="9" spans="1:78" ht="14.65" thickBot="1" x14ac:dyDescent="0.5">
      <c r="A9" s="300">
        <v>7</v>
      </c>
      <c r="B9" s="90" t="s">
        <v>4</v>
      </c>
      <c r="C9" s="91" t="s">
        <v>19</v>
      </c>
      <c r="D9" s="368">
        <v>4.3680000000000003</v>
      </c>
      <c r="E9" s="369"/>
      <c r="F9" s="92">
        <v>714028.58000000007</v>
      </c>
      <c r="H9" s="300">
        <v>7</v>
      </c>
      <c r="I9" s="90" t="s">
        <v>4</v>
      </c>
      <c r="J9" s="91" t="s">
        <v>19</v>
      </c>
      <c r="K9" s="368">
        <v>4.3680000000000003</v>
      </c>
      <c r="L9" s="369"/>
      <c r="M9" s="92">
        <v>714028.58000000007</v>
      </c>
      <c r="P9" s="300">
        <v>7</v>
      </c>
      <c r="Q9" s="353"/>
      <c r="R9" s="393"/>
      <c r="S9" s="364"/>
      <c r="T9" s="365"/>
      <c r="U9" s="390"/>
    </row>
    <row r="10" spans="1:78" s="312" customFormat="1" ht="27" customHeight="1" thickTop="1" x14ac:dyDescent="0.45">
      <c r="A10" s="310">
        <v>8</v>
      </c>
      <c r="B10" s="311" t="s">
        <v>187</v>
      </c>
      <c r="C10" s="42" t="s">
        <v>29</v>
      </c>
      <c r="D10" s="381" t="s">
        <v>162</v>
      </c>
      <c r="E10" s="382"/>
      <c r="F10" s="43">
        <v>3704032.4099999992</v>
      </c>
      <c r="H10" s="310">
        <v>8</v>
      </c>
      <c r="I10" s="311" t="s">
        <v>187</v>
      </c>
      <c r="J10" s="42" t="s">
        <v>29</v>
      </c>
      <c r="K10" s="381" t="s">
        <v>162</v>
      </c>
      <c r="L10" s="382"/>
      <c r="M10" s="43">
        <v>3704032.4099999992</v>
      </c>
      <c r="N10" s="25"/>
      <c r="P10" s="310">
        <v>8</v>
      </c>
      <c r="Q10" s="311" t="s">
        <v>187</v>
      </c>
      <c r="R10" s="42" t="s">
        <v>29</v>
      </c>
      <c r="S10" s="396" t="s">
        <v>185</v>
      </c>
      <c r="T10" s="397"/>
      <c r="U10" s="43">
        <v>3704032.4099999992</v>
      </c>
      <c r="AE10" s="341"/>
      <c r="AF10" s="341"/>
      <c r="AG10" s="341"/>
      <c r="AH10" s="341"/>
      <c r="AI10" s="341"/>
    </row>
    <row r="11" spans="1:78" s="312" customFormat="1" ht="24.75" customHeight="1" x14ac:dyDescent="0.45">
      <c r="A11" s="313">
        <v>9</v>
      </c>
      <c r="B11" s="314" t="s">
        <v>28</v>
      </c>
      <c r="C11" s="40" t="s">
        <v>29</v>
      </c>
      <c r="D11" s="376" t="s">
        <v>163</v>
      </c>
      <c r="E11" s="377"/>
      <c r="F11" s="29">
        <v>15227354.290000003</v>
      </c>
      <c r="H11" s="313">
        <v>9</v>
      </c>
      <c r="I11" s="314" t="s">
        <v>28</v>
      </c>
      <c r="J11" s="40" t="s">
        <v>29</v>
      </c>
      <c r="K11" s="376" t="s">
        <v>163</v>
      </c>
      <c r="L11" s="377"/>
      <c r="M11" s="29">
        <v>15227354.290000003</v>
      </c>
      <c r="N11"/>
      <c r="P11" s="313">
        <v>9</v>
      </c>
      <c r="Q11" s="314" t="s">
        <v>28</v>
      </c>
      <c r="R11" s="40" t="s">
        <v>29</v>
      </c>
      <c r="S11" s="394" t="s">
        <v>186</v>
      </c>
      <c r="T11" s="395"/>
      <c r="U11" s="29">
        <v>15227354.290000003</v>
      </c>
      <c r="AE11" s="341"/>
      <c r="AF11" s="341"/>
      <c r="AG11" s="341"/>
      <c r="AH11" s="341"/>
      <c r="AI11" s="341"/>
    </row>
    <row r="12" spans="1:78" s="291" customFormat="1" ht="25.5" customHeight="1" thickBot="1" x14ac:dyDescent="0.5">
      <c r="A12" s="301">
        <v>10</v>
      </c>
      <c r="B12" s="289" t="s">
        <v>17</v>
      </c>
      <c r="C12" s="290" t="s">
        <v>20</v>
      </c>
      <c r="D12" s="378">
        <f>47.6596*100</f>
        <v>4765.96</v>
      </c>
      <c r="E12" s="379"/>
      <c r="F12" s="33">
        <v>1105733.3899999999</v>
      </c>
      <c r="H12" s="301">
        <v>10</v>
      </c>
      <c r="I12" s="289" t="s">
        <v>17</v>
      </c>
      <c r="J12" s="290" t="s">
        <v>20</v>
      </c>
      <c r="K12" s="378">
        <f>47.6596*100</f>
        <v>4765.96</v>
      </c>
      <c r="L12" s="379"/>
      <c r="M12" s="33">
        <v>1105733.3899999999</v>
      </c>
      <c r="N12"/>
      <c r="O12"/>
      <c r="P12" s="301">
        <v>10</v>
      </c>
      <c r="Q12" s="289" t="s">
        <v>17</v>
      </c>
      <c r="R12" s="290" t="s">
        <v>20</v>
      </c>
      <c r="S12" s="378">
        <v>4765.96</v>
      </c>
      <c r="T12" s="379"/>
      <c r="U12" s="33">
        <v>1105733.3899999999</v>
      </c>
      <c r="V12"/>
      <c r="W12"/>
      <c r="X12"/>
      <c r="Y12"/>
      <c r="Z12"/>
      <c r="AA12"/>
      <c r="AB12"/>
      <c r="AC12"/>
      <c r="AD12"/>
      <c r="AE12" s="25"/>
      <c r="AF12" s="25"/>
      <c r="AG12" s="25"/>
      <c r="AH12" s="25"/>
      <c r="AI12" s="25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5" thickTop="1" thickBot="1" x14ac:dyDescent="0.5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P13" s="302">
        <v>11</v>
      </c>
      <c r="Q13" s="59" t="s">
        <v>22</v>
      </c>
      <c r="R13" s="60"/>
      <c r="S13" s="270">
        <v>2078.0239999999999</v>
      </c>
      <c r="T13" s="333" t="s">
        <v>19</v>
      </c>
      <c r="U13" s="63">
        <f>SUM(U3:U12)</f>
        <v>182248206.06999996</v>
      </c>
      <c r="W13" s="25">
        <f>M13-U13</f>
        <v>-52621202.949999958</v>
      </c>
    </row>
    <row r="14" spans="1:78" ht="28.9" thickBot="1" x14ac:dyDescent="0.5">
      <c r="A14" s="303">
        <v>12</v>
      </c>
      <c r="B14" s="58"/>
      <c r="C14" s="41"/>
      <c r="D14" s="45"/>
      <c r="E14" s="46"/>
      <c r="F14" s="316">
        <v>0</v>
      </c>
      <c r="H14" s="303">
        <v>12</v>
      </c>
      <c r="I14" s="58" t="s">
        <v>204</v>
      </c>
      <c r="J14" s="41"/>
      <c r="K14" s="45"/>
      <c r="L14" s="46"/>
      <c r="M14" s="316">
        <v>2722167.09</v>
      </c>
      <c r="P14" s="303">
        <v>12</v>
      </c>
      <c r="Q14" s="58" t="s">
        <v>204</v>
      </c>
      <c r="R14" s="41"/>
      <c r="S14" s="334"/>
      <c r="T14" s="335"/>
      <c r="U14" s="325">
        <v>3827212.36</v>
      </c>
    </row>
    <row r="15" spans="1:78" ht="60.75" customHeight="1" thickBot="1" x14ac:dyDescent="0.5">
      <c r="A15" s="302">
        <v>13</v>
      </c>
      <c r="B15" s="59"/>
      <c r="C15" s="60"/>
      <c r="D15" s="45"/>
      <c r="E15" s="62"/>
      <c r="F15" s="287">
        <v>0</v>
      </c>
      <c r="H15" s="302">
        <v>13</v>
      </c>
      <c r="I15" s="59" t="s">
        <v>214</v>
      </c>
      <c r="J15" s="60"/>
      <c r="K15" s="45"/>
      <c r="L15" s="62"/>
      <c r="M15" s="287">
        <f>2220749.32/1.2*4</f>
        <v>7402497.7333333334</v>
      </c>
      <c r="P15" s="302">
        <v>13</v>
      </c>
      <c r="Q15" s="59" t="s">
        <v>214</v>
      </c>
      <c r="R15" s="60"/>
      <c r="S15" s="45"/>
      <c r="T15" s="333"/>
      <c r="U15" s="287">
        <f>2220749.32/1.2*4</f>
        <v>7402497.7333333334</v>
      </c>
    </row>
    <row r="16" spans="1:78" ht="28.5" customHeight="1" thickBot="1" x14ac:dyDescent="0.5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P16" s="302">
        <v>14</v>
      </c>
      <c r="Q16" s="59" t="s">
        <v>22</v>
      </c>
      <c r="R16" s="60"/>
      <c r="S16" s="45"/>
      <c r="T16" s="333"/>
      <c r="U16" s="63">
        <f>U13+U14+U15</f>
        <v>193477916.1633333</v>
      </c>
    </row>
    <row r="17" spans="1:23" ht="34.5" customHeight="1" thickBot="1" x14ac:dyDescent="0.5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P17" s="303">
        <v>15</v>
      </c>
      <c r="Q17" s="58" t="s">
        <v>23</v>
      </c>
      <c r="R17" s="41"/>
      <c r="S17" s="45"/>
      <c r="T17" s="336"/>
      <c r="U17" s="272">
        <f>U16*0.03</f>
        <v>5804337.4848999986</v>
      </c>
    </row>
    <row r="18" spans="1:23" ht="28.5" customHeight="1" thickBot="1" x14ac:dyDescent="0.5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P18" s="303">
        <v>16</v>
      </c>
      <c r="Q18" s="265" t="s">
        <v>36</v>
      </c>
      <c r="R18" s="266"/>
      <c r="S18" s="267"/>
      <c r="T18" s="337"/>
      <c r="U18" s="47">
        <f>U16+U17</f>
        <v>199282253.64823329</v>
      </c>
    </row>
    <row r="19" spans="1:23" ht="50.25" customHeight="1" thickBot="1" x14ac:dyDescent="0.5">
      <c r="A19" s="306">
        <v>18</v>
      </c>
      <c r="B19" s="64" t="s">
        <v>198</v>
      </c>
      <c r="C19" s="48"/>
      <c r="D19" s="65"/>
      <c r="E19" s="44"/>
      <c r="F19" s="66">
        <v>159709185.41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P19" s="331">
        <v>17</v>
      </c>
      <c r="Q19" s="282" t="s">
        <v>203</v>
      </c>
      <c r="R19" s="283">
        <v>1.0329999999999999</v>
      </c>
      <c r="S19" s="330"/>
      <c r="T19" s="327"/>
      <c r="U19" s="47">
        <f>U18*1.033</f>
        <v>205858568.01862499</v>
      </c>
    </row>
    <row r="20" spans="1:23" ht="30.75" customHeight="1" thickBot="1" x14ac:dyDescent="0.5">
      <c r="A20" s="303">
        <v>19</v>
      </c>
      <c r="B20" s="58" t="s">
        <v>33</v>
      </c>
      <c r="C20" s="41"/>
      <c r="D20" s="45"/>
      <c r="E20" s="46"/>
      <c r="F20" s="47">
        <f>F19*0.2</f>
        <v>31941837.082000002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P20" s="306">
        <v>18</v>
      </c>
      <c r="Q20" s="64" t="s">
        <v>210</v>
      </c>
      <c r="R20" s="48"/>
      <c r="S20" s="386"/>
      <c r="T20" s="387"/>
      <c r="U20" s="66">
        <f>M20</f>
        <v>174949743.41</v>
      </c>
      <c r="W20" s="25"/>
    </row>
    <row r="21" spans="1:23" ht="25.5" customHeight="1" thickBot="1" x14ac:dyDescent="0.5">
      <c r="A21" s="302">
        <v>20</v>
      </c>
      <c r="B21" s="59" t="s">
        <v>34</v>
      </c>
      <c r="C21" s="60"/>
      <c r="D21" s="61"/>
      <c r="E21" s="62"/>
      <c r="F21" s="107">
        <f>F19+F20</f>
        <v>191651022.49199998</v>
      </c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P21" s="303">
        <v>19</v>
      </c>
      <c r="Q21" s="58" t="s">
        <v>33</v>
      </c>
      <c r="R21" s="41"/>
      <c r="S21" s="45"/>
      <c r="T21" s="336"/>
      <c r="U21" s="47">
        <f>U20*0.2</f>
        <v>34989948.682000004</v>
      </c>
    </row>
    <row r="22" spans="1:23" ht="14.65" thickBot="1" x14ac:dyDescent="0.5"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P22" s="302">
        <v>20</v>
      </c>
      <c r="Q22" s="59" t="s">
        <v>34</v>
      </c>
      <c r="R22" s="60"/>
      <c r="S22" s="61"/>
      <c r="T22" s="333"/>
      <c r="U22" s="107">
        <v>220000000</v>
      </c>
      <c r="V22" s="25">
        <v>220000</v>
      </c>
    </row>
    <row r="23" spans="1:23" x14ac:dyDescent="0.45">
      <c r="A23" s="35"/>
      <c r="B23" s="338"/>
      <c r="C23" s="338"/>
      <c r="D23" s="338"/>
      <c r="E23" s="308"/>
      <c r="F23" s="271"/>
    </row>
    <row r="24" spans="1:23" ht="44.25" customHeight="1" x14ac:dyDescent="0.45">
      <c r="A24" s="35"/>
      <c r="B24" s="339"/>
      <c r="C24" s="339"/>
      <c r="D24" s="339"/>
      <c r="E24" s="340"/>
      <c r="F24" s="271"/>
      <c r="H24" s="35" t="s">
        <v>209</v>
      </c>
      <c r="I24" s="338" t="s">
        <v>207</v>
      </c>
      <c r="J24" s="346">
        <v>121.3</v>
      </c>
      <c r="K24" s="346"/>
      <c r="L24" s="346"/>
      <c r="M24" s="271">
        <v>646623.74</v>
      </c>
      <c r="N24" s="271"/>
      <c r="P24" s="35" t="s">
        <v>209</v>
      </c>
      <c r="Q24" s="338" t="s">
        <v>207</v>
      </c>
      <c r="R24" s="346">
        <v>121.3</v>
      </c>
      <c r="S24" s="346"/>
      <c r="T24" s="346"/>
      <c r="U24" s="271">
        <v>646623.74</v>
      </c>
    </row>
    <row r="25" spans="1:23" ht="44.25" customHeight="1" x14ac:dyDescent="0.45">
      <c r="A25"/>
      <c r="B25" s="338"/>
      <c r="C25" s="338"/>
      <c r="D25" s="338"/>
      <c r="E25" s="308"/>
      <c r="F25" s="342"/>
      <c r="H25" s="35" t="s">
        <v>209</v>
      </c>
      <c r="I25" s="338" t="s">
        <v>208</v>
      </c>
      <c r="J25" s="346">
        <v>53.09</v>
      </c>
      <c r="K25" s="346"/>
      <c r="L25" s="346"/>
      <c r="M25" s="271">
        <v>455242.52</v>
      </c>
      <c r="N25" s="271"/>
      <c r="P25" s="35" t="s">
        <v>209</v>
      </c>
      <c r="Q25" s="338" t="s">
        <v>208</v>
      </c>
      <c r="R25" s="346">
        <v>53.09</v>
      </c>
      <c r="S25" s="346"/>
      <c r="T25" s="346"/>
      <c r="U25" s="271">
        <v>455242.52</v>
      </c>
    </row>
    <row r="26" spans="1:23" ht="23.25" customHeight="1" x14ac:dyDescent="0.45">
      <c r="A26"/>
      <c r="B26" s="338"/>
      <c r="C26" s="338"/>
      <c r="D26" s="338"/>
      <c r="E26" s="308"/>
      <c r="F26" s="271"/>
      <c r="H26"/>
      <c r="I26" s="338"/>
      <c r="J26" s="338"/>
      <c r="K26" s="338"/>
      <c r="L26" s="308"/>
      <c r="M26" s="332">
        <f>M22+M24+M25</f>
        <v>211041558.35200003</v>
      </c>
      <c r="N26" s="271"/>
      <c r="P26"/>
      <c r="Q26" s="338"/>
      <c r="R26" s="338"/>
      <c r="S26" s="338"/>
      <c r="T26" s="308"/>
      <c r="U26" s="332">
        <f>U22+U24+U25</f>
        <v>221101866.26000002</v>
      </c>
    </row>
    <row r="27" spans="1:23" ht="44.25" customHeight="1" x14ac:dyDescent="0.45">
      <c r="A27"/>
      <c r="B27" s="380" t="s">
        <v>190</v>
      </c>
      <c r="C27" s="380"/>
      <c r="D27" s="380"/>
      <c r="E27" s="308"/>
      <c r="F27" s="271">
        <f>F21/D13</f>
        <v>92227.530813888574</v>
      </c>
      <c r="H27"/>
      <c r="I27" s="328"/>
      <c r="J27" s="328"/>
      <c r="K27" s="328"/>
      <c r="L27" s="308"/>
      <c r="M27" s="271"/>
      <c r="N27" s="271"/>
      <c r="P27"/>
      <c r="Q27" s="328"/>
      <c r="R27" s="328"/>
      <c r="S27" s="308"/>
      <c r="T27" s="308"/>
      <c r="U27" s="271"/>
    </row>
    <row r="28" spans="1:23" ht="37.5" customHeight="1" x14ac:dyDescent="0.45">
      <c r="H28"/>
      <c r="I28" s="380" t="s">
        <v>190</v>
      </c>
      <c r="J28" s="380"/>
      <c r="K28" s="380"/>
      <c r="L28" s="308"/>
      <c r="M28" s="271">
        <f>M22/K13</f>
        <v>101028.52137030179</v>
      </c>
      <c r="N28" s="271"/>
      <c r="P28"/>
      <c r="Q28" s="271"/>
      <c r="R28" s="271"/>
      <c r="S28" s="308"/>
      <c r="T28" s="308"/>
      <c r="U28" s="271">
        <f>U22/S13</f>
        <v>105869.80708596244</v>
      </c>
      <c r="W28" s="263">
        <f>U28*1791.69</f>
        <v>189685874.65784806</v>
      </c>
    </row>
    <row r="29" spans="1:23" x14ac:dyDescent="0.45">
      <c r="W29" s="25">
        <f>W28+U24+U25</f>
        <v>190787740.91784808</v>
      </c>
    </row>
    <row r="34" spans="9:12" x14ac:dyDescent="0.45">
      <c r="I34" s="25"/>
      <c r="J34" s="243"/>
      <c r="K34" s="243"/>
      <c r="L34" s="243"/>
    </row>
    <row r="35" spans="9:12" x14ac:dyDescent="0.45">
      <c r="J35" s="243"/>
      <c r="K35" s="243"/>
      <c r="L35" s="243"/>
    </row>
    <row r="36" spans="9:12" x14ac:dyDescent="0.45">
      <c r="J36" s="243"/>
      <c r="K36" s="243"/>
      <c r="L36" s="243"/>
    </row>
    <row r="37" spans="9:12" x14ac:dyDescent="0.45">
      <c r="J37" s="243"/>
      <c r="K37" s="243"/>
      <c r="L37" s="243"/>
    </row>
    <row r="38" spans="9:12" x14ac:dyDescent="0.45">
      <c r="J38" s="243"/>
      <c r="K38" s="243"/>
      <c r="L38" s="243"/>
    </row>
  </sheetData>
  <mergeCells count="36">
    <mergeCell ref="K6:L6"/>
    <mergeCell ref="K3:L3"/>
    <mergeCell ref="K4:L4"/>
    <mergeCell ref="H1:M1"/>
    <mergeCell ref="Q1:U1"/>
    <mergeCell ref="K2:L2"/>
    <mergeCell ref="S2:T2"/>
    <mergeCell ref="S20:T20"/>
    <mergeCell ref="I28:K28"/>
    <mergeCell ref="U3:U9"/>
    <mergeCell ref="S3:T9"/>
    <mergeCell ref="R3:R9"/>
    <mergeCell ref="Q3:Q9"/>
    <mergeCell ref="K11:L11"/>
    <mergeCell ref="S11:T11"/>
    <mergeCell ref="K12:L12"/>
    <mergeCell ref="S12:T12"/>
    <mergeCell ref="K9:L9"/>
    <mergeCell ref="K10:L10"/>
    <mergeCell ref="S10:T10"/>
    <mergeCell ref="K7:L7"/>
    <mergeCell ref="K8:L8"/>
    <mergeCell ref="K5:L5"/>
    <mergeCell ref="A1:F1"/>
    <mergeCell ref="D2:E2"/>
    <mergeCell ref="D3:E3"/>
    <mergeCell ref="D4:E4"/>
    <mergeCell ref="D5:E5"/>
    <mergeCell ref="D11:E11"/>
    <mergeCell ref="D12:E12"/>
    <mergeCell ref="B27:D27"/>
    <mergeCell ref="D6:E6"/>
    <mergeCell ref="D7:E7"/>
    <mergeCell ref="D8:E8"/>
    <mergeCell ref="D9:E9"/>
    <mergeCell ref="D10:E10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34F9-4BCE-4233-8EAD-F9D7A6E50936}">
  <sheetPr>
    <tabColor rgb="FFFF0000"/>
    <pageSetUpPr fitToPage="1"/>
  </sheetPr>
  <dimension ref="E3:G39"/>
  <sheetViews>
    <sheetView tabSelected="1" workbookViewId="0">
      <selection sqref="A1:XFD1048576"/>
    </sheetView>
  </sheetViews>
  <sheetFormatPr defaultRowHeight="14.25" x14ac:dyDescent="0.45"/>
  <cols>
    <col min="6" max="6" width="91.3984375" bestFit="1" customWidth="1"/>
    <col min="7" max="7" width="28.73046875" bestFit="1" customWidth="1"/>
  </cols>
  <sheetData>
    <row r="3" spans="5:7" ht="22.5" customHeight="1" x14ac:dyDescent="0.45">
      <c r="E3" s="450" t="s">
        <v>229</v>
      </c>
      <c r="F3" s="450"/>
      <c r="G3" s="450"/>
    </row>
    <row r="4" spans="5:7" x14ac:dyDescent="0.45">
      <c r="E4" s="344" t="s">
        <v>37</v>
      </c>
      <c r="F4" s="344" t="s">
        <v>218</v>
      </c>
      <c r="G4" s="344" t="s">
        <v>219</v>
      </c>
    </row>
    <row r="5" spans="5:7" x14ac:dyDescent="0.45">
      <c r="E5" s="451">
        <v>1</v>
      </c>
      <c r="F5" s="343" t="s">
        <v>215</v>
      </c>
      <c r="G5" s="2">
        <v>155057461.56</v>
      </c>
    </row>
    <row r="6" spans="5:7" x14ac:dyDescent="0.45">
      <c r="E6" s="451">
        <v>2</v>
      </c>
      <c r="F6" s="343" t="s">
        <v>216</v>
      </c>
      <c r="G6" s="2">
        <v>4651723.8499999996</v>
      </c>
    </row>
    <row r="7" spans="5:7" x14ac:dyDescent="0.45">
      <c r="E7" s="451">
        <v>3</v>
      </c>
      <c r="F7" s="343" t="s">
        <v>217</v>
      </c>
      <c r="G7" s="2">
        <f>G5+G6</f>
        <v>159709185.41</v>
      </c>
    </row>
    <row r="8" spans="5:7" x14ac:dyDescent="0.45">
      <c r="E8" s="451">
        <v>4</v>
      </c>
      <c r="F8" s="343" t="s">
        <v>33</v>
      </c>
      <c r="G8" s="2">
        <f>G7*1.2</f>
        <v>191651022.49199998</v>
      </c>
    </row>
    <row r="9" spans="5:7" hidden="1" x14ac:dyDescent="0.45">
      <c r="E9" s="343"/>
      <c r="F9" s="343"/>
      <c r="G9" s="343"/>
    </row>
    <row r="10" spans="5:7" hidden="1" x14ac:dyDescent="0.45">
      <c r="E10" s="343"/>
      <c r="F10" s="343"/>
      <c r="G10" s="343"/>
    </row>
    <row r="11" spans="5:7" ht="22.5" hidden="1" customHeight="1" x14ac:dyDescent="0.45">
      <c r="E11" s="450" t="s">
        <v>230</v>
      </c>
      <c r="F11" s="450"/>
      <c r="G11" s="450"/>
    </row>
    <row r="12" spans="5:7" hidden="1" x14ac:dyDescent="0.45">
      <c r="E12" s="344" t="s">
        <v>37</v>
      </c>
      <c r="F12" s="344" t="s">
        <v>218</v>
      </c>
      <c r="G12" s="344" t="s">
        <v>21</v>
      </c>
    </row>
    <row r="13" spans="5:7" hidden="1" x14ac:dyDescent="0.45">
      <c r="E13" s="452">
        <v>1</v>
      </c>
      <c r="F13" s="343" t="s">
        <v>220</v>
      </c>
      <c r="G13" s="2">
        <v>2078.02</v>
      </c>
    </row>
    <row r="14" spans="5:7" hidden="1" x14ac:dyDescent="0.45">
      <c r="E14" s="452">
        <v>2</v>
      </c>
      <c r="F14" s="343" t="s">
        <v>221</v>
      </c>
      <c r="G14" s="2">
        <f>56.7+54</f>
        <v>110.7</v>
      </c>
    </row>
    <row r="15" spans="5:7" hidden="1" x14ac:dyDescent="0.45">
      <c r="E15" s="452">
        <v>3</v>
      </c>
      <c r="F15" s="343" t="s">
        <v>222</v>
      </c>
      <c r="G15" s="453"/>
    </row>
    <row r="16" spans="5:7" hidden="1" x14ac:dyDescent="0.45">
      <c r="E16" s="343"/>
      <c r="F16" s="343"/>
      <c r="G16" s="453"/>
    </row>
    <row r="17" spans="5:7" ht="23.25" hidden="1" customHeight="1" x14ac:dyDescent="0.45">
      <c r="E17" s="450" t="s">
        <v>233</v>
      </c>
      <c r="F17" s="450"/>
      <c r="G17" s="450"/>
    </row>
    <row r="18" spans="5:7" hidden="1" x14ac:dyDescent="0.45">
      <c r="E18" s="451">
        <v>1</v>
      </c>
      <c r="F18" s="343" t="s">
        <v>228</v>
      </c>
      <c r="G18" s="2">
        <f>G13+G14</f>
        <v>2188.7199999999998</v>
      </c>
    </row>
    <row r="19" spans="5:7" hidden="1" x14ac:dyDescent="0.45">
      <c r="E19" s="451">
        <v>2</v>
      </c>
      <c r="F19" s="343" t="s">
        <v>223</v>
      </c>
      <c r="G19" s="2">
        <f>G8/G18</f>
        <v>87563.060826419096</v>
      </c>
    </row>
    <row r="20" spans="5:7" hidden="1" x14ac:dyDescent="0.45">
      <c r="E20" s="451">
        <v>3</v>
      </c>
      <c r="F20" s="343" t="s">
        <v>224</v>
      </c>
      <c r="G20" s="2">
        <f>G8/G13</f>
        <v>92227.708343519305</v>
      </c>
    </row>
    <row r="21" spans="5:7" hidden="1" x14ac:dyDescent="0.45">
      <c r="E21" s="343"/>
      <c r="F21" s="343"/>
      <c r="G21" s="343"/>
    </row>
    <row r="22" spans="5:7" ht="23.25" customHeight="1" x14ac:dyDescent="0.45">
      <c r="E22" s="450" t="s">
        <v>231</v>
      </c>
      <c r="F22" s="450"/>
      <c r="G22" s="450"/>
    </row>
    <row r="23" spans="5:7" x14ac:dyDescent="0.45">
      <c r="E23" s="451">
        <v>1</v>
      </c>
      <c r="F23" s="343" t="s">
        <v>238</v>
      </c>
      <c r="G23" s="2">
        <v>9767601.6199999992</v>
      </c>
    </row>
    <row r="24" spans="5:7" x14ac:dyDescent="0.45">
      <c r="E24" s="451">
        <v>2</v>
      </c>
      <c r="F24" s="343" t="s">
        <v>225</v>
      </c>
      <c r="G24" s="2">
        <f>G23+G5</f>
        <v>164825063.18000001</v>
      </c>
    </row>
    <row r="25" spans="5:7" x14ac:dyDescent="0.45">
      <c r="E25" s="451">
        <v>3</v>
      </c>
      <c r="F25" s="343" t="s">
        <v>226</v>
      </c>
      <c r="G25" s="2">
        <f>G24*0.03</f>
        <v>4944751.8953999998</v>
      </c>
    </row>
    <row r="26" spans="5:7" x14ac:dyDescent="0.45">
      <c r="E26" s="451">
        <v>4</v>
      </c>
      <c r="F26" s="343" t="s">
        <v>214</v>
      </c>
      <c r="G26" s="2">
        <v>7402497.7333333334</v>
      </c>
    </row>
    <row r="27" spans="5:7" x14ac:dyDescent="0.45">
      <c r="E27" s="451">
        <v>5</v>
      </c>
      <c r="F27" s="343" t="s">
        <v>227</v>
      </c>
      <c r="G27" s="2">
        <f>G24+G25+G26</f>
        <v>177172312.80873331</v>
      </c>
    </row>
    <row r="28" spans="5:7" x14ac:dyDescent="0.45">
      <c r="E28" s="451">
        <v>6</v>
      </c>
      <c r="F28" s="343" t="s">
        <v>203</v>
      </c>
      <c r="G28" s="2">
        <f>G27*1.033</f>
        <v>183018999.13142151</v>
      </c>
    </row>
    <row r="29" spans="5:7" x14ac:dyDescent="0.45">
      <c r="E29" s="344">
        <v>7</v>
      </c>
      <c r="F29" s="454" t="s">
        <v>232</v>
      </c>
      <c r="G29" s="455">
        <f>G28*1.2</f>
        <v>219622798.9577058</v>
      </c>
    </row>
    <row r="30" spans="5:7" hidden="1" x14ac:dyDescent="0.45">
      <c r="E30" s="343"/>
      <c r="F30" s="343"/>
      <c r="G30" s="343"/>
    </row>
    <row r="31" spans="5:7" hidden="1" x14ac:dyDescent="0.45">
      <c r="E31" s="451">
        <v>1</v>
      </c>
      <c r="F31" s="343" t="s">
        <v>223</v>
      </c>
      <c r="G31" s="2">
        <f>G29/G18</f>
        <v>100343.03106733882</v>
      </c>
    </row>
    <row r="32" spans="5:7" hidden="1" x14ac:dyDescent="0.45">
      <c r="E32" s="451">
        <v>2</v>
      </c>
      <c r="F32" s="343" t="s">
        <v>224</v>
      </c>
      <c r="G32" s="2">
        <f>G29/G13</f>
        <v>105688.49142823736</v>
      </c>
    </row>
    <row r="33" spans="5:7" hidden="1" x14ac:dyDescent="0.45">
      <c r="E33" s="343"/>
      <c r="F33" s="343"/>
      <c r="G33" s="343"/>
    </row>
    <row r="34" spans="5:7" ht="23.25" customHeight="1" x14ac:dyDescent="0.45">
      <c r="E34" s="450" t="s">
        <v>234</v>
      </c>
      <c r="F34" s="450"/>
      <c r="G34" s="450"/>
    </row>
    <row r="35" spans="5:7" x14ac:dyDescent="0.45">
      <c r="E35" s="451">
        <v>1</v>
      </c>
      <c r="F35" s="343" t="s">
        <v>235</v>
      </c>
      <c r="G35" s="2">
        <v>646623.74</v>
      </c>
    </row>
    <row r="36" spans="5:7" x14ac:dyDescent="0.45">
      <c r="E36" s="451">
        <v>2</v>
      </c>
      <c r="F36" s="343" t="s">
        <v>236</v>
      </c>
      <c r="G36" s="2">
        <v>455242.52</v>
      </c>
    </row>
    <row r="37" spans="5:7" x14ac:dyDescent="0.45">
      <c r="E37" s="451">
        <v>3</v>
      </c>
      <c r="F37" s="343" t="s">
        <v>232</v>
      </c>
      <c r="G37" s="2">
        <f>SUM(G35:G36)</f>
        <v>1101866.26</v>
      </c>
    </row>
    <row r="39" spans="5:7" ht="20.25" customHeight="1" x14ac:dyDescent="0.45">
      <c r="E39" s="398" t="s">
        <v>237</v>
      </c>
      <c r="F39" s="399"/>
      <c r="G39" s="345">
        <f>G37+G29</f>
        <v>220724665.21770579</v>
      </c>
    </row>
  </sheetData>
  <mergeCells count="6">
    <mergeCell ref="E39:F39"/>
    <mergeCell ref="E3:G3"/>
    <mergeCell ref="E11:G11"/>
    <mergeCell ref="E22:G22"/>
    <mergeCell ref="E17:G17"/>
    <mergeCell ref="E34:G3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4.25" x14ac:dyDescent="0.45"/>
  <cols>
    <col min="1" max="1" width="3.1328125" style="307" customWidth="1"/>
    <col min="2" max="2" width="37.3984375" customWidth="1"/>
    <col min="3" max="3" width="11.59765625" customWidth="1"/>
    <col min="4" max="4" width="8.59765625" customWidth="1"/>
    <col min="5" max="5" width="7.86328125" customWidth="1"/>
    <col min="6" max="6" width="19.265625" customWidth="1"/>
    <col min="7" max="7" width="17.1328125" customWidth="1"/>
    <col min="8" max="8" width="4.86328125" customWidth="1"/>
    <col min="9" max="9" width="3.1328125" style="307" customWidth="1"/>
    <col min="10" max="10" width="34" customWidth="1"/>
    <col min="11" max="11" width="11.59765625" customWidth="1"/>
    <col min="12" max="12" width="8.59765625" customWidth="1"/>
    <col min="13" max="13" width="9.3984375" customWidth="1"/>
    <col min="14" max="14" width="22.265625" customWidth="1"/>
    <col min="15" max="15" width="4" customWidth="1"/>
  </cols>
  <sheetData>
    <row r="1" spans="1:72" ht="51.75" customHeight="1" thickBot="1" x14ac:dyDescent="0.55000000000000004">
      <c r="A1" s="383" t="s">
        <v>201</v>
      </c>
      <c r="B1" s="384"/>
      <c r="C1" s="384"/>
      <c r="D1" s="384"/>
      <c r="E1" s="384"/>
      <c r="F1" s="385"/>
      <c r="G1" s="323"/>
      <c r="I1" s="324"/>
      <c r="J1" s="384" t="s">
        <v>206</v>
      </c>
      <c r="K1" s="384"/>
      <c r="L1" s="384"/>
      <c r="M1" s="384"/>
      <c r="N1" s="385"/>
    </row>
    <row r="2" spans="1:72" ht="27.75" customHeight="1" thickBot="1" x14ac:dyDescent="0.5">
      <c r="A2" s="297" t="s">
        <v>58</v>
      </c>
      <c r="B2" s="55" t="s">
        <v>73</v>
      </c>
      <c r="C2" s="315" t="s">
        <v>18</v>
      </c>
      <c r="D2" s="347" t="s">
        <v>21</v>
      </c>
      <c r="E2" s="348"/>
      <c r="F2" s="57" t="s">
        <v>32</v>
      </c>
      <c r="I2" s="297" t="s">
        <v>58</v>
      </c>
      <c r="J2" s="55" t="s">
        <v>73</v>
      </c>
      <c r="K2" s="315" t="s">
        <v>18</v>
      </c>
      <c r="L2" s="401" t="s">
        <v>21</v>
      </c>
      <c r="M2" s="348"/>
      <c r="N2" s="57" t="s">
        <v>32</v>
      </c>
    </row>
    <row r="3" spans="1:72" x14ac:dyDescent="0.45">
      <c r="A3" s="298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v>10022991.91</v>
      </c>
      <c r="I3" s="298">
        <v>1</v>
      </c>
      <c r="J3" s="84" t="s">
        <v>0</v>
      </c>
      <c r="K3" s="85" t="s">
        <v>19</v>
      </c>
      <c r="L3" s="349">
        <f>404.352+9.256</f>
        <v>413.60799999999995</v>
      </c>
      <c r="M3" s="350"/>
      <c r="N3" s="86">
        <v>10022991.91</v>
      </c>
    </row>
    <row r="4" spans="1:72" ht="28.5" x14ac:dyDescent="0.45">
      <c r="A4" s="299">
        <v>2</v>
      </c>
      <c r="B4" s="87" t="s">
        <v>159</v>
      </c>
      <c r="C4" s="88" t="s">
        <v>19</v>
      </c>
      <c r="D4" s="349">
        <f>676.624+295.152</f>
        <v>971.77600000000007</v>
      </c>
      <c r="E4" s="350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49">
        <f>676.624+295.152</f>
        <v>971.77600000000007</v>
      </c>
      <c r="M4" s="350"/>
      <c r="N4" s="89">
        <f>28449520.75+12410042.86</f>
        <v>40859563.609999999</v>
      </c>
    </row>
    <row r="5" spans="1:72" x14ac:dyDescent="0.45">
      <c r="A5" s="299">
        <v>3</v>
      </c>
      <c r="B5" s="87" t="s">
        <v>8</v>
      </c>
      <c r="C5" s="88" t="s">
        <v>19</v>
      </c>
      <c r="D5" s="366">
        <v>284.85599999999999</v>
      </c>
      <c r="E5" s="367"/>
      <c r="F5" s="89">
        <v>29847559.98</v>
      </c>
      <c r="I5" s="299">
        <v>3</v>
      </c>
      <c r="J5" s="87" t="s">
        <v>8</v>
      </c>
      <c r="K5" s="88" t="s">
        <v>19</v>
      </c>
      <c r="L5" s="366">
        <v>284.85599999999999</v>
      </c>
      <c r="M5" s="367"/>
      <c r="N5" s="89">
        <v>29847559.98</v>
      </c>
    </row>
    <row r="6" spans="1:72" x14ac:dyDescent="0.45">
      <c r="A6" s="299">
        <v>4</v>
      </c>
      <c r="B6" s="87" t="s">
        <v>1</v>
      </c>
      <c r="C6" s="88" t="s">
        <v>19</v>
      </c>
      <c r="D6" s="366">
        <v>103.27200000000001</v>
      </c>
      <c r="E6" s="367"/>
      <c r="F6" s="89">
        <v>6218924.8699999992</v>
      </c>
      <c r="I6" s="299">
        <v>4</v>
      </c>
      <c r="J6" s="87" t="s">
        <v>1</v>
      </c>
      <c r="K6" s="88" t="s">
        <v>19</v>
      </c>
      <c r="L6" s="366">
        <v>103.27200000000001</v>
      </c>
      <c r="M6" s="367"/>
      <c r="N6" s="89">
        <v>6218924.8699999992</v>
      </c>
    </row>
    <row r="7" spans="1:72" x14ac:dyDescent="0.45">
      <c r="A7" s="299">
        <v>5</v>
      </c>
      <c r="B7" s="87" t="s">
        <v>2</v>
      </c>
      <c r="C7" s="88" t="s">
        <v>19</v>
      </c>
      <c r="D7" s="366">
        <v>66.872</v>
      </c>
      <c r="E7" s="367"/>
      <c r="F7" s="89">
        <v>4525782.0099999988</v>
      </c>
      <c r="I7" s="299">
        <v>5</v>
      </c>
      <c r="J7" s="87" t="s">
        <v>2</v>
      </c>
      <c r="K7" s="88" t="s">
        <v>19</v>
      </c>
      <c r="L7" s="366">
        <v>66.872</v>
      </c>
      <c r="M7" s="367"/>
      <c r="N7" s="89">
        <v>4525782.0099999988</v>
      </c>
    </row>
    <row r="8" spans="1:72" x14ac:dyDescent="0.45">
      <c r="A8" s="299">
        <v>6</v>
      </c>
      <c r="B8" s="87" t="s">
        <v>3</v>
      </c>
      <c r="C8" s="88" t="s">
        <v>19</v>
      </c>
      <c r="D8" s="366">
        <v>233.27199999999999</v>
      </c>
      <c r="E8" s="367"/>
      <c r="F8" s="89">
        <v>17401032.069999997</v>
      </c>
      <c r="I8" s="299">
        <v>6</v>
      </c>
      <c r="J8" s="87" t="s">
        <v>3</v>
      </c>
      <c r="K8" s="88" t="s">
        <v>19</v>
      </c>
      <c r="L8" s="366">
        <v>233.27199999999999</v>
      </c>
      <c r="M8" s="367"/>
      <c r="N8" s="89">
        <v>17401032.069999997</v>
      </c>
    </row>
    <row r="9" spans="1:72" ht="14.65" thickBot="1" x14ac:dyDescent="0.5">
      <c r="A9" s="300">
        <v>7</v>
      </c>
      <c r="B9" s="90" t="s">
        <v>4</v>
      </c>
      <c r="C9" s="91" t="s">
        <v>19</v>
      </c>
      <c r="D9" s="368">
        <v>4.3680000000000003</v>
      </c>
      <c r="E9" s="369"/>
      <c r="F9" s="92">
        <v>714028.58000000007</v>
      </c>
      <c r="I9" s="300">
        <v>7</v>
      </c>
      <c r="J9" s="90" t="s">
        <v>4</v>
      </c>
      <c r="K9" s="91" t="s">
        <v>19</v>
      </c>
      <c r="L9" s="368">
        <v>4.3680000000000003</v>
      </c>
      <c r="M9" s="369"/>
      <c r="N9" s="92">
        <v>714028.58000000007</v>
      </c>
    </row>
    <row r="10" spans="1:72" s="312" customFormat="1" ht="27" customHeight="1" thickTop="1" x14ac:dyDescent="0.45">
      <c r="A10" s="310">
        <v>8</v>
      </c>
      <c r="B10" s="311" t="s">
        <v>187</v>
      </c>
      <c r="C10" s="42" t="s">
        <v>29</v>
      </c>
      <c r="D10" s="381" t="s">
        <v>162</v>
      </c>
      <c r="E10" s="382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02" t="s">
        <v>185</v>
      </c>
      <c r="M10" s="397"/>
      <c r="N10" s="43">
        <v>3704032.4099999992</v>
      </c>
    </row>
    <row r="11" spans="1:72" s="312" customFormat="1" ht="24.75" customHeight="1" x14ac:dyDescent="0.45">
      <c r="A11" s="313">
        <v>9</v>
      </c>
      <c r="B11" s="314" t="s">
        <v>28</v>
      </c>
      <c r="C11" s="40" t="s">
        <v>29</v>
      </c>
      <c r="D11" s="376" t="s">
        <v>163</v>
      </c>
      <c r="E11" s="377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03" t="s">
        <v>186</v>
      </c>
      <c r="M11" s="395"/>
      <c r="N11" s="29">
        <v>15227354.290000003</v>
      </c>
    </row>
    <row r="12" spans="1:72" s="291" customFormat="1" ht="25.5" customHeight="1" thickBot="1" x14ac:dyDescent="0.5">
      <c r="A12" s="301">
        <v>10</v>
      </c>
      <c r="B12" s="289" t="s">
        <v>17</v>
      </c>
      <c r="C12" s="290" t="s">
        <v>20</v>
      </c>
      <c r="D12" s="378">
        <f>47.6596*100</f>
        <v>4765.96</v>
      </c>
      <c r="E12" s="379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404">
        <v>4765.96</v>
      </c>
      <c r="M12" s="379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5" thickTop="1" thickBot="1" x14ac:dyDescent="0.5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92">
        <v>2078.0239999999999</v>
      </c>
      <c r="M13" s="62" t="s">
        <v>19</v>
      </c>
      <c r="N13" s="63">
        <f>SUM(N3:N12)</f>
        <v>129627003.12</v>
      </c>
    </row>
    <row r="14" spans="1:72" ht="28.9" thickBot="1" x14ac:dyDescent="0.5">
      <c r="A14" s="303">
        <v>12</v>
      </c>
      <c r="B14" s="58" t="s">
        <v>204</v>
      </c>
      <c r="C14" s="41"/>
      <c r="D14" s="45"/>
      <c r="E14" s="46"/>
      <c r="F14" s="316">
        <v>2722167.09</v>
      </c>
      <c r="I14" s="303">
        <v>12</v>
      </c>
      <c r="J14" s="58" t="s">
        <v>196</v>
      </c>
      <c r="K14" s="41"/>
      <c r="L14" s="317"/>
      <c r="M14" s="318"/>
      <c r="N14" s="325" t="s">
        <v>199</v>
      </c>
    </row>
    <row r="15" spans="1:72" ht="50.25" customHeight="1" thickBot="1" x14ac:dyDescent="0.5">
      <c r="A15" s="302">
        <v>13</v>
      </c>
      <c r="B15" s="59" t="s">
        <v>200</v>
      </c>
      <c r="C15" s="60"/>
      <c r="D15" s="45"/>
      <c r="E15" s="62"/>
      <c r="F15" s="287">
        <f>2220749.32*4</f>
        <v>8882997.2799999993</v>
      </c>
      <c r="I15" s="302">
        <v>13</v>
      </c>
      <c r="J15" s="59" t="s">
        <v>200</v>
      </c>
      <c r="K15" s="60"/>
      <c r="L15" s="293"/>
      <c r="M15" s="62"/>
      <c r="N15" s="287">
        <f>2220749.32*4</f>
        <v>8882997.2799999993</v>
      </c>
    </row>
    <row r="16" spans="1:72" ht="28.5" customHeight="1" thickBot="1" x14ac:dyDescent="0.5">
      <c r="A16" s="302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2">
        <v>14</v>
      </c>
      <c r="J16" s="59" t="s">
        <v>22</v>
      </c>
      <c r="K16" s="60"/>
      <c r="L16" s="293"/>
      <c r="M16" s="62"/>
      <c r="N16" s="63">
        <v>140407250.5</v>
      </c>
    </row>
    <row r="17" spans="1:14" ht="34.5" customHeight="1" thickBot="1" x14ac:dyDescent="0.5">
      <c r="A17" s="303">
        <v>15</v>
      </c>
      <c r="B17" s="58" t="s">
        <v>23</v>
      </c>
      <c r="C17" s="41"/>
      <c r="D17" s="45"/>
      <c r="E17" s="46"/>
      <c r="F17" s="272">
        <f>F16*0.03</f>
        <v>4236965.0247</v>
      </c>
      <c r="I17" s="303">
        <v>15</v>
      </c>
      <c r="J17" s="58" t="s">
        <v>23</v>
      </c>
      <c r="K17" s="41"/>
      <c r="L17" s="293"/>
      <c r="M17" s="46"/>
      <c r="N17" s="272">
        <f>N16*0.03</f>
        <v>4212217.5149999997</v>
      </c>
    </row>
    <row r="18" spans="1:14" ht="28.5" customHeight="1" thickBot="1" x14ac:dyDescent="0.5">
      <c r="A18" s="303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3">
        <v>16</v>
      </c>
      <c r="J18" s="265" t="s">
        <v>36</v>
      </c>
      <c r="K18" s="266"/>
      <c r="L18" s="294"/>
      <c r="M18" s="268"/>
      <c r="N18" s="47">
        <f>N16+N17</f>
        <v>144619468.01499999</v>
      </c>
    </row>
    <row r="19" spans="1:14" ht="50.25" customHeight="1" thickBot="1" x14ac:dyDescent="0.5">
      <c r="A19" s="331">
        <v>17</v>
      </c>
      <c r="B19" s="58" t="s">
        <v>202</v>
      </c>
      <c r="C19" s="41"/>
      <c r="D19" s="45"/>
      <c r="E19" s="46"/>
      <c r="F19" s="47">
        <f>F18*1.033</f>
        <v>150269613.88768509</v>
      </c>
      <c r="I19" s="331">
        <v>17</v>
      </c>
      <c r="J19" s="282" t="s">
        <v>203</v>
      </c>
      <c r="K19" s="283">
        <v>1.0329999999999999</v>
      </c>
      <c r="L19" s="326"/>
      <c r="M19" s="284"/>
      <c r="N19" s="47">
        <f>N18*1.033</f>
        <v>149391910.45949498</v>
      </c>
    </row>
    <row r="20" spans="1:14" ht="30.75" customHeight="1" thickBot="1" x14ac:dyDescent="0.5">
      <c r="A20" s="306">
        <v>18</v>
      </c>
      <c r="B20" s="64" t="s">
        <v>198</v>
      </c>
      <c r="C20" s="48"/>
      <c r="D20" s="65"/>
      <c r="E20" s="44"/>
      <c r="F20" s="66">
        <v>176534045.16</v>
      </c>
      <c r="I20" s="306">
        <v>18</v>
      </c>
      <c r="J20" s="64" t="s">
        <v>198</v>
      </c>
      <c r="K20" s="48"/>
      <c r="L20" s="400"/>
      <c r="M20" s="387"/>
      <c r="N20" s="66">
        <v>176038516.52000001</v>
      </c>
    </row>
    <row r="21" spans="1:14" ht="25.5" customHeight="1" thickBot="1" x14ac:dyDescent="0.5">
      <c r="A21" s="303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21" t="s">
        <v>197</v>
      </c>
      <c r="I21" s="303">
        <v>19</v>
      </c>
      <c r="J21" s="58" t="s">
        <v>33</v>
      </c>
      <c r="K21" s="41"/>
      <c r="L21" s="293"/>
      <c r="M21" s="46"/>
      <c r="N21" s="47">
        <f>N20*0.2</f>
        <v>35207703.304000005</v>
      </c>
    </row>
    <row r="22" spans="1:14" ht="14.65" thickBot="1" x14ac:dyDescent="0.5">
      <c r="A22" s="302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296"/>
      <c r="M22" s="62"/>
      <c r="N22" s="107">
        <f>N20+N21</f>
        <v>211246219.824</v>
      </c>
    </row>
    <row r="24" spans="1:14" ht="3.75" customHeight="1" x14ac:dyDescent="0.45">
      <c r="A24"/>
      <c r="B24" s="309"/>
      <c r="C24" s="309"/>
      <c r="D24" s="309"/>
      <c r="E24" s="308"/>
      <c r="F24" s="271"/>
      <c r="G24" s="271"/>
      <c r="H24" s="271"/>
      <c r="I24"/>
      <c r="J24" s="309"/>
      <c r="K24" s="309"/>
      <c r="L24" s="308"/>
      <c r="M24" s="308"/>
      <c r="N24" s="271"/>
    </row>
    <row r="25" spans="1:14" ht="37.5" customHeight="1" x14ac:dyDescent="0.45">
      <c r="A25"/>
      <c r="B25" s="380" t="s">
        <v>190</v>
      </c>
      <c r="C25" s="380"/>
      <c r="D25" s="380"/>
      <c r="E25" s="308"/>
      <c r="F25" s="271">
        <f>F22/D13</f>
        <v>101943.41075560244</v>
      </c>
      <c r="G25" s="271"/>
      <c r="H25" s="271"/>
      <c r="I25"/>
      <c r="J25" s="271"/>
      <c r="K25" s="271"/>
      <c r="L25" s="308"/>
      <c r="M25" s="308"/>
      <c r="N25" s="271">
        <f>N22/L13</f>
        <v>101657.25700184406</v>
      </c>
    </row>
    <row r="28" spans="1:14" x14ac:dyDescent="0.45">
      <c r="B28" t="s">
        <v>205</v>
      </c>
    </row>
  </sheetData>
  <mergeCells count="26">
    <mergeCell ref="A1:F1"/>
    <mergeCell ref="D3:E3"/>
    <mergeCell ref="D8:E8"/>
    <mergeCell ref="D9:E9"/>
    <mergeCell ref="D2:E2"/>
    <mergeCell ref="B25:D25"/>
    <mergeCell ref="D12:E12"/>
    <mergeCell ref="D11:E11"/>
    <mergeCell ref="D10:E10"/>
    <mergeCell ref="D4:E4"/>
    <mergeCell ref="D5:E5"/>
    <mergeCell ref="D6:E6"/>
    <mergeCell ref="D7:E7"/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70" zoomScaleNormal="70" workbookViewId="0">
      <selection activeCell="I30" sqref="I30"/>
    </sheetView>
  </sheetViews>
  <sheetFormatPr defaultRowHeight="14.25" x14ac:dyDescent="0.45"/>
  <cols>
    <col min="1" max="1" width="3.1328125" style="307" customWidth="1"/>
    <col min="2" max="2" width="23.86328125" customWidth="1"/>
    <col min="3" max="3" width="7.265625" customWidth="1"/>
    <col min="4" max="4" width="8.59765625" customWidth="1"/>
    <col min="5" max="5" width="4.265625" customWidth="1"/>
    <col min="6" max="6" width="16.265625" customWidth="1"/>
    <col min="7" max="7" width="8.59765625" customWidth="1"/>
    <col min="8" max="8" width="6.265625" customWidth="1"/>
    <col min="9" max="9" width="18.265625" customWidth="1"/>
    <col min="10" max="10" width="8.59765625" customWidth="1"/>
    <col min="11" max="11" width="5.73046875" customWidth="1"/>
    <col min="12" max="12" width="18.1328125" customWidth="1"/>
    <col min="13" max="13" width="8.73046875" customWidth="1"/>
    <col min="14" max="14" width="6.265625" customWidth="1"/>
    <col min="15" max="15" width="18.1328125" customWidth="1"/>
    <col min="16" max="16" width="8.86328125" customWidth="1"/>
    <col min="17" max="17" width="6.265625" customWidth="1"/>
    <col min="18" max="18" width="19.59765625" customWidth="1"/>
    <col min="19" max="19" width="9.59765625" customWidth="1"/>
    <col min="20" max="20" width="5.265625" customWidth="1"/>
    <col min="21" max="21" width="18.265625" customWidth="1"/>
    <col min="22" max="22" width="8.73046875" customWidth="1"/>
    <col min="23" max="23" width="6" customWidth="1"/>
    <col min="24" max="24" width="17.73046875" customWidth="1"/>
    <col min="25" max="25" width="8.86328125" customWidth="1"/>
    <col min="26" max="26" width="5.265625" customWidth="1"/>
    <col min="27" max="27" width="20.86328125" customWidth="1"/>
  </cols>
  <sheetData>
    <row r="1" spans="1:111" ht="51.75" customHeight="1" thickBot="1" x14ac:dyDescent="0.5">
      <c r="A1" s="405" t="s">
        <v>165</v>
      </c>
      <c r="B1" s="406"/>
      <c r="C1" s="406"/>
      <c r="D1" s="406"/>
      <c r="E1" s="406"/>
      <c r="F1" s="407"/>
      <c r="G1" s="405" t="s">
        <v>178</v>
      </c>
      <c r="H1" s="406"/>
      <c r="I1" s="407"/>
      <c r="J1" s="415" t="s">
        <v>179</v>
      </c>
      <c r="K1" s="416"/>
      <c r="L1" s="417"/>
      <c r="M1" s="415" t="s">
        <v>180</v>
      </c>
      <c r="N1" s="416"/>
      <c r="O1" s="417"/>
      <c r="P1" s="415" t="s">
        <v>181</v>
      </c>
      <c r="Q1" s="416"/>
      <c r="R1" s="417"/>
      <c r="S1" s="415" t="s">
        <v>182</v>
      </c>
      <c r="T1" s="416"/>
      <c r="U1" s="417"/>
      <c r="V1" s="415" t="s">
        <v>183</v>
      </c>
      <c r="W1" s="416"/>
      <c r="X1" s="417"/>
      <c r="Y1" s="415" t="s">
        <v>184</v>
      </c>
      <c r="Z1" s="416"/>
      <c r="AA1" s="417"/>
    </row>
    <row r="2" spans="1:111" ht="27.75" customHeight="1" thickBot="1" x14ac:dyDescent="0.5">
      <c r="A2" s="297" t="s">
        <v>58</v>
      </c>
      <c r="B2" s="55" t="s">
        <v>73</v>
      </c>
      <c r="C2" s="315" t="s">
        <v>18</v>
      </c>
      <c r="D2" s="347" t="s">
        <v>21</v>
      </c>
      <c r="E2" s="348"/>
      <c r="F2" s="57" t="s">
        <v>32</v>
      </c>
      <c r="G2" s="401" t="s">
        <v>21</v>
      </c>
      <c r="H2" s="348"/>
      <c r="I2" s="57" t="s">
        <v>32</v>
      </c>
      <c r="J2" s="401" t="s">
        <v>21</v>
      </c>
      <c r="K2" s="348"/>
      <c r="L2" s="57" t="s">
        <v>32</v>
      </c>
      <c r="M2" s="401" t="s">
        <v>21</v>
      </c>
      <c r="N2" s="348"/>
      <c r="O2" s="57" t="s">
        <v>32</v>
      </c>
      <c r="P2" s="401" t="s">
        <v>21</v>
      </c>
      <c r="Q2" s="348"/>
      <c r="R2" s="57" t="s">
        <v>32</v>
      </c>
      <c r="S2" s="401" t="s">
        <v>21</v>
      </c>
      <c r="T2" s="348"/>
      <c r="U2" s="57" t="s">
        <v>32</v>
      </c>
      <c r="V2" s="401" t="s">
        <v>21</v>
      </c>
      <c r="W2" s="348"/>
      <c r="X2" s="57" t="s">
        <v>32</v>
      </c>
      <c r="Y2" s="401" t="s">
        <v>21</v>
      </c>
      <c r="Z2" s="348"/>
      <c r="AA2" s="57" t="s">
        <v>32</v>
      </c>
    </row>
    <row r="3" spans="1:111" x14ac:dyDescent="0.45">
      <c r="A3" s="298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v>10022991.91</v>
      </c>
      <c r="G3" s="408">
        <v>292.42</v>
      </c>
      <c r="H3" s="409"/>
      <c r="I3" s="86">
        <v>7165777.4999999963</v>
      </c>
      <c r="J3" s="412">
        <v>1791.69</v>
      </c>
      <c r="K3" s="361"/>
      <c r="L3" s="388">
        <v>139860049.75999999</v>
      </c>
      <c r="M3" s="412">
        <v>1791.69</v>
      </c>
      <c r="N3" s="361"/>
      <c r="O3" s="388">
        <v>139860049.75999999</v>
      </c>
      <c r="P3" s="412">
        <v>1791.69</v>
      </c>
      <c r="Q3" s="361"/>
      <c r="R3" s="388">
        <v>139860049.75999999</v>
      </c>
      <c r="S3" s="412">
        <v>1791.69</v>
      </c>
      <c r="T3" s="361"/>
      <c r="U3" s="388">
        <v>139860049.75999999</v>
      </c>
      <c r="V3" s="412">
        <v>1791.69</v>
      </c>
      <c r="W3" s="361"/>
      <c r="X3" s="388">
        <v>139860049.75999999</v>
      </c>
      <c r="Y3" s="412">
        <v>1791.69</v>
      </c>
      <c r="Z3" s="361"/>
      <c r="AA3" s="388">
        <v>139860049.75999999</v>
      </c>
    </row>
    <row r="4" spans="1:111" ht="42.75" x14ac:dyDescent="0.45">
      <c r="A4" s="299">
        <v>2</v>
      </c>
      <c r="B4" s="87" t="s">
        <v>159</v>
      </c>
      <c r="C4" s="88" t="s">
        <v>19</v>
      </c>
      <c r="D4" s="349">
        <f>676.624+295.152</f>
        <v>971.77600000000007</v>
      </c>
      <c r="E4" s="350"/>
      <c r="F4" s="89">
        <f>28449520.75+12410042.86</f>
        <v>40859563.609999999</v>
      </c>
      <c r="G4" s="410">
        <f>941.29+53.14</f>
        <v>994.43</v>
      </c>
      <c r="H4" s="367"/>
      <c r="I4" s="89">
        <f>39932164.78+2234339.1</f>
        <v>42166503.880000003</v>
      </c>
      <c r="J4" s="413"/>
      <c r="K4" s="363"/>
      <c r="L4" s="389"/>
      <c r="M4" s="413"/>
      <c r="N4" s="363"/>
      <c r="O4" s="389"/>
      <c r="P4" s="413"/>
      <c r="Q4" s="363"/>
      <c r="R4" s="389"/>
      <c r="S4" s="413"/>
      <c r="T4" s="363"/>
      <c r="U4" s="389"/>
      <c r="V4" s="413"/>
      <c r="W4" s="363"/>
      <c r="X4" s="389"/>
      <c r="Y4" s="413"/>
      <c r="Z4" s="363"/>
      <c r="AA4" s="389"/>
    </row>
    <row r="5" spans="1:111" ht="28.5" x14ac:dyDescent="0.45">
      <c r="A5" s="299">
        <v>3</v>
      </c>
      <c r="B5" s="87" t="s">
        <v>8</v>
      </c>
      <c r="C5" s="88" t="s">
        <v>19</v>
      </c>
      <c r="D5" s="366">
        <v>284.85599999999999</v>
      </c>
      <c r="E5" s="367"/>
      <c r="F5" s="89">
        <v>29847559.98</v>
      </c>
      <c r="G5" s="410">
        <v>213.17</v>
      </c>
      <c r="H5" s="367"/>
      <c r="I5" s="89">
        <v>22336213.16</v>
      </c>
      <c r="J5" s="413"/>
      <c r="K5" s="363"/>
      <c r="L5" s="389"/>
      <c r="M5" s="413"/>
      <c r="N5" s="363"/>
      <c r="O5" s="389"/>
      <c r="P5" s="413"/>
      <c r="Q5" s="363"/>
      <c r="R5" s="389"/>
      <c r="S5" s="413"/>
      <c r="T5" s="363"/>
      <c r="U5" s="389"/>
      <c r="V5" s="413"/>
      <c r="W5" s="363"/>
      <c r="X5" s="389"/>
      <c r="Y5" s="413"/>
      <c r="Z5" s="363"/>
      <c r="AA5" s="389"/>
    </row>
    <row r="6" spans="1:111" x14ac:dyDescent="0.45">
      <c r="A6" s="299">
        <v>4</v>
      </c>
      <c r="B6" s="87" t="s">
        <v>1</v>
      </c>
      <c r="C6" s="88" t="s">
        <v>19</v>
      </c>
      <c r="D6" s="366">
        <v>103.27200000000001</v>
      </c>
      <c r="E6" s="367"/>
      <c r="F6" s="89">
        <v>6218924.8699999992</v>
      </c>
      <c r="G6" s="410">
        <v>61.69</v>
      </c>
      <c r="H6" s="367"/>
      <c r="I6" s="89">
        <v>3714903.1500000004</v>
      </c>
      <c r="J6" s="413"/>
      <c r="K6" s="363"/>
      <c r="L6" s="389"/>
      <c r="M6" s="413"/>
      <c r="N6" s="363"/>
      <c r="O6" s="389"/>
      <c r="P6" s="413"/>
      <c r="Q6" s="363"/>
      <c r="R6" s="389"/>
      <c r="S6" s="413"/>
      <c r="T6" s="363"/>
      <c r="U6" s="389"/>
      <c r="V6" s="413"/>
      <c r="W6" s="363"/>
      <c r="X6" s="389"/>
      <c r="Y6" s="413"/>
      <c r="Z6" s="363"/>
      <c r="AA6" s="389"/>
    </row>
    <row r="7" spans="1:111" ht="28.5" x14ac:dyDescent="0.45">
      <c r="A7" s="299">
        <v>5</v>
      </c>
      <c r="B7" s="87" t="s">
        <v>2</v>
      </c>
      <c r="C7" s="88" t="s">
        <v>19</v>
      </c>
      <c r="D7" s="366">
        <v>66.872</v>
      </c>
      <c r="E7" s="367"/>
      <c r="F7" s="89">
        <v>4525782.0099999988</v>
      </c>
      <c r="G7" s="410">
        <v>41.95</v>
      </c>
      <c r="H7" s="367"/>
      <c r="I7" s="89">
        <v>2839000</v>
      </c>
      <c r="J7" s="413"/>
      <c r="K7" s="363"/>
      <c r="L7" s="389"/>
      <c r="M7" s="413"/>
      <c r="N7" s="363"/>
      <c r="O7" s="389"/>
      <c r="P7" s="413"/>
      <c r="Q7" s="363"/>
      <c r="R7" s="389"/>
      <c r="S7" s="413"/>
      <c r="T7" s="363"/>
      <c r="U7" s="389"/>
      <c r="V7" s="413"/>
      <c r="W7" s="363"/>
      <c r="X7" s="389"/>
      <c r="Y7" s="413"/>
      <c r="Z7" s="363"/>
      <c r="AA7" s="389"/>
    </row>
    <row r="8" spans="1:111" x14ac:dyDescent="0.45">
      <c r="A8" s="299">
        <v>6</v>
      </c>
      <c r="B8" s="87" t="s">
        <v>3</v>
      </c>
      <c r="C8" s="88" t="s">
        <v>19</v>
      </c>
      <c r="D8" s="366">
        <v>233.27199999999999</v>
      </c>
      <c r="E8" s="367"/>
      <c r="F8" s="89">
        <v>17401032.069999997</v>
      </c>
      <c r="G8" s="410">
        <v>182.95</v>
      </c>
      <c r="H8" s="367"/>
      <c r="I8" s="89">
        <v>13647239.470000003</v>
      </c>
      <c r="J8" s="413"/>
      <c r="K8" s="363"/>
      <c r="L8" s="389"/>
      <c r="M8" s="413"/>
      <c r="N8" s="363"/>
      <c r="O8" s="389"/>
      <c r="P8" s="413"/>
      <c r="Q8" s="363"/>
      <c r="R8" s="389"/>
      <c r="S8" s="413"/>
      <c r="T8" s="363"/>
      <c r="U8" s="389"/>
      <c r="V8" s="413"/>
      <c r="W8" s="363"/>
      <c r="X8" s="389"/>
      <c r="Y8" s="413"/>
      <c r="Z8" s="363"/>
      <c r="AA8" s="389"/>
    </row>
    <row r="9" spans="1:111" ht="14.65" thickBot="1" x14ac:dyDescent="0.5">
      <c r="A9" s="300">
        <v>7</v>
      </c>
      <c r="B9" s="90" t="s">
        <v>4</v>
      </c>
      <c r="C9" s="91" t="s">
        <v>19</v>
      </c>
      <c r="D9" s="368">
        <v>4.3680000000000003</v>
      </c>
      <c r="E9" s="369"/>
      <c r="F9" s="92">
        <v>714028.58000000007</v>
      </c>
      <c r="G9" s="411">
        <v>5.08</v>
      </c>
      <c r="H9" s="369"/>
      <c r="I9" s="92">
        <v>831105.78</v>
      </c>
      <c r="J9" s="414"/>
      <c r="K9" s="365"/>
      <c r="L9" s="390"/>
      <c r="M9" s="414"/>
      <c r="N9" s="365"/>
      <c r="O9" s="390"/>
      <c r="P9" s="414"/>
      <c r="Q9" s="365"/>
      <c r="R9" s="390"/>
      <c r="S9" s="414"/>
      <c r="T9" s="365"/>
      <c r="U9" s="390"/>
      <c r="V9" s="414"/>
      <c r="W9" s="365"/>
      <c r="X9" s="390"/>
      <c r="Y9" s="414"/>
      <c r="Z9" s="365"/>
      <c r="AA9" s="390"/>
    </row>
    <row r="10" spans="1:111" s="312" customFormat="1" ht="27" customHeight="1" thickTop="1" x14ac:dyDescent="0.45">
      <c r="A10" s="310">
        <v>8</v>
      </c>
      <c r="B10" s="311" t="s">
        <v>187</v>
      </c>
      <c r="C10" s="42" t="s">
        <v>29</v>
      </c>
      <c r="D10" s="381" t="s">
        <v>162</v>
      </c>
      <c r="E10" s="382"/>
      <c r="F10" s="43">
        <v>3704032.4099999992</v>
      </c>
      <c r="G10" s="402" t="s">
        <v>185</v>
      </c>
      <c r="H10" s="397"/>
      <c r="I10" s="43">
        <v>3807347.4499999997</v>
      </c>
      <c r="J10" s="402" t="s">
        <v>185</v>
      </c>
      <c r="K10" s="397"/>
      <c r="L10" s="43">
        <v>3807347.4499999997</v>
      </c>
      <c r="M10" s="402" t="s">
        <v>185</v>
      </c>
      <c r="N10" s="397"/>
      <c r="O10" s="43">
        <v>3807347.4499999997</v>
      </c>
      <c r="P10" s="402" t="s">
        <v>185</v>
      </c>
      <c r="Q10" s="397"/>
      <c r="R10" s="43">
        <v>3807347.4499999997</v>
      </c>
      <c r="S10" s="402" t="s">
        <v>185</v>
      </c>
      <c r="T10" s="397"/>
      <c r="U10" s="43">
        <v>3807347.4499999997</v>
      </c>
      <c r="V10" s="402" t="s">
        <v>185</v>
      </c>
      <c r="W10" s="397"/>
      <c r="X10" s="43">
        <v>3807347.4499999997</v>
      </c>
      <c r="Y10" s="402" t="s">
        <v>185</v>
      </c>
      <c r="Z10" s="397"/>
      <c r="AA10" s="43">
        <v>3807347.4499999997</v>
      </c>
    </row>
    <row r="11" spans="1:111" s="312" customFormat="1" ht="24.75" customHeight="1" x14ac:dyDescent="0.45">
      <c r="A11" s="313">
        <v>9</v>
      </c>
      <c r="B11" s="314" t="s">
        <v>28</v>
      </c>
      <c r="C11" s="40" t="s">
        <v>29</v>
      </c>
      <c r="D11" s="376" t="s">
        <v>163</v>
      </c>
      <c r="E11" s="377"/>
      <c r="F11" s="29">
        <v>15227354.290000003</v>
      </c>
      <c r="G11" s="403" t="s">
        <v>186</v>
      </c>
      <c r="H11" s="395"/>
      <c r="I11" s="29">
        <v>14168223.84</v>
      </c>
      <c r="J11" s="403" t="s">
        <v>186</v>
      </c>
      <c r="K11" s="395"/>
      <c r="L11" s="29">
        <v>14168223.84</v>
      </c>
      <c r="M11" s="403" t="s">
        <v>186</v>
      </c>
      <c r="N11" s="395"/>
      <c r="O11" s="29">
        <v>14168223.84</v>
      </c>
      <c r="P11" s="403" t="s">
        <v>186</v>
      </c>
      <c r="Q11" s="395"/>
      <c r="R11" s="29">
        <v>14168223.84</v>
      </c>
      <c r="S11" s="403" t="s">
        <v>186</v>
      </c>
      <c r="T11" s="395"/>
      <c r="U11" s="29">
        <v>14168223.84</v>
      </c>
      <c r="V11" s="403" t="s">
        <v>186</v>
      </c>
      <c r="W11" s="395"/>
      <c r="X11" s="29">
        <v>14168223.84</v>
      </c>
      <c r="Y11" s="403" t="s">
        <v>186</v>
      </c>
      <c r="Z11" s="395"/>
      <c r="AA11" s="29">
        <v>14168223.84</v>
      </c>
    </row>
    <row r="12" spans="1:111" s="291" customFormat="1" ht="25.5" customHeight="1" thickBot="1" x14ac:dyDescent="0.5">
      <c r="A12" s="301">
        <v>10</v>
      </c>
      <c r="B12" s="289" t="s">
        <v>17</v>
      </c>
      <c r="C12" s="290" t="s">
        <v>20</v>
      </c>
      <c r="D12" s="378">
        <f>47.6596*100</f>
        <v>4765.96</v>
      </c>
      <c r="E12" s="379"/>
      <c r="F12" s="33">
        <v>1105733.3899999999</v>
      </c>
      <c r="G12" s="404">
        <v>4765.96</v>
      </c>
      <c r="H12" s="379"/>
      <c r="I12" s="33">
        <v>1105733.3899999999</v>
      </c>
      <c r="J12" s="404">
        <v>4765.96</v>
      </c>
      <c r="K12" s="379"/>
      <c r="L12" s="33">
        <v>1105733.3899999999</v>
      </c>
      <c r="M12" s="404">
        <v>4765.96</v>
      </c>
      <c r="N12" s="379"/>
      <c r="O12" s="33">
        <v>1105733.3899999999</v>
      </c>
      <c r="P12" s="404">
        <v>4765.96</v>
      </c>
      <c r="Q12" s="379"/>
      <c r="R12" s="33">
        <v>1105733.3899999999</v>
      </c>
      <c r="S12" s="404">
        <v>4765.96</v>
      </c>
      <c r="T12" s="379"/>
      <c r="U12" s="33">
        <v>1105733.3899999999</v>
      </c>
      <c r="V12" s="404">
        <v>4765.96</v>
      </c>
      <c r="W12" s="379"/>
      <c r="X12" s="33">
        <v>1105733.3899999999</v>
      </c>
      <c r="Y12" s="404">
        <v>4765.96</v>
      </c>
      <c r="Z12" s="379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5" thickTop="1" thickBot="1" x14ac:dyDescent="0.5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14.65" thickBot="1" x14ac:dyDescent="0.5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5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28.9" thickBot="1" x14ac:dyDescent="0.5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4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2.75" x14ac:dyDescent="0.4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5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400" t="s">
        <v>155</v>
      </c>
      <c r="H19" s="387"/>
      <c r="I19" s="66">
        <v>137606949.4666667</v>
      </c>
      <c r="J19" s="400" t="s">
        <v>169</v>
      </c>
      <c r="K19" s="387"/>
      <c r="L19" s="66">
        <v>137606949.4666667</v>
      </c>
      <c r="M19" s="400" t="s">
        <v>171</v>
      </c>
      <c r="N19" s="387"/>
      <c r="O19" s="66">
        <v>159709185.41</v>
      </c>
      <c r="P19" s="400" t="s">
        <v>169</v>
      </c>
      <c r="Q19" s="387"/>
      <c r="R19" s="66">
        <v>147270803.80000001</v>
      </c>
      <c r="S19" s="400" t="s">
        <v>171</v>
      </c>
      <c r="T19" s="387"/>
      <c r="U19" s="66">
        <v>169413352.53</v>
      </c>
      <c r="V19" s="400" t="s">
        <v>169</v>
      </c>
      <c r="W19" s="387"/>
      <c r="X19" s="66">
        <v>157676066.63</v>
      </c>
      <c r="Y19" s="400" t="s">
        <v>171</v>
      </c>
      <c r="Z19" s="387"/>
      <c r="AA19" s="66">
        <v>179818616.16</v>
      </c>
    </row>
    <row r="20" spans="1:35" ht="25.5" customHeight="1" thickBot="1" x14ac:dyDescent="0.5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4.65" thickBot="1" x14ac:dyDescent="0.5">
      <c r="A21" s="302">
        <v>19</v>
      </c>
      <c r="B21" s="59" t="s">
        <v>34</v>
      </c>
      <c r="C21" s="60"/>
      <c r="D21" s="61"/>
      <c r="E21" s="62"/>
      <c r="F21" s="107">
        <v>191651022.49200001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45">
      <c r="A23"/>
      <c r="B23" s="380" t="s">
        <v>188</v>
      </c>
      <c r="C23" s="380"/>
      <c r="D23" s="380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4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45">
      <c r="A25"/>
      <c r="B25" s="380" t="s">
        <v>189</v>
      </c>
      <c r="C25" s="380"/>
      <c r="D25" s="380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4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45">
      <c r="A27"/>
      <c r="B27" s="380" t="s">
        <v>190</v>
      </c>
      <c r="C27" s="380"/>
      <c r="D27" s="380"/>
      <c r="E27" s="308"/>
      <c r="F27" s="271">
        <f>F21/D13</f>
        <v>92227.530813888588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4.25" x14ac:dyDescent="0.45"/>
  <cols>
    <col min="1" max="1" width="7.86328125" customWidth="1"/>
    <col min="2" max="2" width="52.59765625" customWidth="1"/>
    <col min="3" max="3" width="7.73046875" customWidth="1"/>
    <col min="4" max="4" width="9.73046875" customWidth="1"/>
    <col min="5" max="5" width="4.86328125" customWidth="1"/>
    <col min="6" max="6" width="23" customWidth="1"/>
    <col min="7" max="7" width="29.1328125" customWidth="1"/>
    <col min="8" max="8" width="22.73046875" customWidth="1"/>
    <col min="9" max="9" width="25.59765625" customWidth="1"/>
  </cols>
  <sheetData>
    <row r="1" spans="1:16" ht="14.65" thickBot="1" x14ac:dyDescent="0.5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5">
      <c r="A2" s="54" t="s">
        <v>58</v>
      </c>
      <c r="B2" s="55" t="s">
        <v>73</v>
      </c>
      <c r="C2" s="56" t="s">
        <v>18</v>
      </c>
      <c r="D2" s="347" t="s">
        <v>21</v>
      </c>
      <c r="E2" s="348"/>
      <c r="F2" s="57" t="s">
        <v>32</v>
      </c>
    </row>
    <row r="3" spans="1:16" x14ac:dyDescent="0.45">
      <c r="A3" s="81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v>10022991.91</v>
      </c>
    </row>
    <row r="4" spans="1:16" x14ac:dyDescent="0.45">
      <c r="A4" s="82">
        <v>2</v>
      </c>
      <c r="B4" s="87" t="s">
        <v>159</v>
      </c>
      <c r="C4" s="88" t="s">
        <v>19</v>
      </c>
      <c r="D4" s="349">
        <f>676.624+295.152</f>
        <v>971.77600000000007</v>
      </c>
      <c r="E4" s="350"/>
      <c r="F4" s="89">
        <f>28449520.75+12410042.86</f>
        <v>40859563.609999999</v>
      </c>
    </row>
    <row r="5" spans="1:16" x14ac:dyDescent="0.45">
      <c r="A5" s="82">
        <v>3</v>
      </c>
      <c r="B5" s="87" t="s">
        <v>8</v>
      </c>
      <c r="C5" s="88" t="s">
        <v>19</v>
      </c>
      <c r="D5" s="366">
        <v>284.85599999999999</v>
      </c>
      <c r="E5" s="367"/>
      <c r="F5" s="89">
        <v>29847559.98</v>
      </c>
    </row>
    <row r="6" spans="1:16" x14ac:dyDescent="0.45">
      <c r="A6" s="82">
        <v>4</v>
      </c>
      <c r="B6" s="87" t="s">
        <v>1</v>
      </c>
      <c r="C6" s="88" t="s">
        <v>19</v>
      </c>
      <c r="D6" s="366">
        <v>103.27200000000001</v>
      </c>
      <c r="E6" s="367"/>
      <c r="F6" s="89">
        <v>6218924.8699999992</v>
      </c>
    </row>
    <row r="7" spans="1:16" x14ac:dyDescent="0.45">
      <c r="A7" s="82">
        <v>5</v>
      </c>
      <c r="B7" s="87" t="s">
        <v>2</v>
      </c>
      <c r="C7" s="88" t="s">
        <v>19</v>
      </c>
      <c r="D7" s="366">
        <v>66.872</v>
      </c>
      <c r="E7" s="367"/>
      <c r="F7" s="89">
        <v>4525782.0099999988</v>
      </c>
    </row>
    <row r="8" spans="1:16" x14ac:dyDescent="0.45">
      <c r="A8" s="82">
        <v>6</v>
      </c>
      <c r="B8" s="87" t="s">
        <v>3</v>
      </c>
      <c r="C8" s="88" t="s">
        <v>19</v>
      </c>
      <c r="D8" s="366">
        <v>233.27199999999999</v>
      </c>
      <c r="E8" s="367"/>
      <c r="F8" s="89">
        <v>17401032.069999997</v>
      </c>
    </row>
    <row r="9" spans="1:16" ht="14.65" thickBot="1" x14ac:dyDescent="0.5">
      <c r="A9" s="83">
        <v>7</v>
      </c>
      <c r="B9" s="90" t="s">
        <v>4</v>
      </c>
      <c r="C9" s="91" t="s">
        <v>19</v>
      </c>
      <c r="D9" s="368">
        <v>4.3680000000000003</v>
      </c>
      <c r="E9" s="369"/>
      <c r="F9" s="92">
        <v>714028.58000000007</v>
      </c>
    </row>
    <row r="10" spans="1:16" ht="14.65" thickTop="1" x14ac:dyDescent="0.45">
      <c r="A10" s="53">
        <v>8</v>
      </c>
      <c r="B10" s="50" t="s">
        <v>136</v>
      </c>
      <c r="C10" s="42" t="s">
        <v>29</v>
      </c>
      <c r="D10" s="381" t="s">
        <v>162</v>
      </c>
      <c r="E10" s="382"/>
      <c r="F10" s="43">
        <v>3704032.4099999992</v>
      </c>
    </row>
    <row r="11" spans="1:16" x14ac:dyDescent="0.45">
      <c r="A11" s="52">
        <v>9</v>
      </c>
      <c r="B11" s="51" t="s">
        <v>28</v>
      </c>
      <c r="C11" s="40" t="s">
        <v>29</v>
      </c>
      <c r="D11" s="376" t="s">
        <v>163</v>
      </c>
      <c r="E11" s="377"/>
      <c r="F11" s="29">
        <v>15227354.290000003</v>
      </c>
    </row>
    <row r="12" spans="1:16" ht="14.65" thickBot="1" x14ac:dyDescent="0.5">
      <c r="A12" s="70">
        <v>10</v>
      </c>
      <c r="B12" s="71" t="s">
        <v>17</v>
      </c>
      <c r="C12" s="72" t="s">
        <v>20</v>
      </c>
      <c r="D12" s="374">
        <f>47.6596*100</f>
        <v>4765.96</v>
      </c>
      <c r="E12" s="375"/>
      <c r="F12" s="73">
        <v>1105733.3899999999</v>
      </c>
    </row>
    <row r="13" spans="1:16" ht="1.5" customHeight="1" thickBot="1" x14ac:dyDescent="0.5">
      <c r="A13" s="74"/>
      <c r="B13" s="75"/>
      <c r="C13" s="76"/>
      <c r="D13" s="77"/>
      <c r="E13" s="77"/>
      <c r="F13" s="78">
        <v>1105733.3899999999</v>
      </c>
    </row>
    <row r="14" spans="1:16" ht="14.65" thickBot="1" x14ac:dyDescent="0.5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4.65" thickBot="1" x14ac:dyDescent="0.5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4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4.65" thickBot="1" x14ac:dyDescent="0.5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18" t="s">
        <v>164</v>
      </c>
      <c r="H17" s="419"/>
      <c r="I17" s="419"/>
    </row>
    <row r="18" spans="1:9" ht="25.5" customHeight="1" thickBot="1" x14ac:dyDescent="0.5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4.65" thickBot="1" x14ac:dyDescent="0.5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149999999999999" thickBot="1" x14ac:dyDescent="0.55000000000000004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5">
      <c r="A21" s="54" t="s">
        <v>58</v>
      </c>
      <c r="B21" s="55" t="s">
        <v>73</v>
      </c>
      <c r="C21" s="56" t="s">
        <v>18</v>
      </c>
      <c r="D21" s="347" t="s">
        <v>21</v>
      </c>
      <c r="E21" s="348"/>
      <c r="F21" s="57" t="s">
        <v>32</v>
      </c>
    </row>
    <row r="22" spans="1:9" x14ac:dyDescent="0.45">
      <c r="A22" s="81">
        <v>1</v>
      </c>
      <c r="B22" s="84" t="s">
        <v>0</v>
      </c>
      <c r="C22" s="85" t="s">
        <v>19</v>
      </c>
      <c r="D22" s="349">
        <v>292.42</v>
      </c>
      <c r="E22" s="350"/>
      <c r="F22" s="86">
        <v>7165777.4999999963</v>
      </c>
    </row>
    <row r="23" spans="1:9" x14ac:dyDescent="0.45">
      <c r="A23" s="82">
        <v>2</v>
      </c>
      <c r="B23" s="87" t="s">
        <v>159</v>
      </c>
      <c r="C23" s="88" t="s">
        <v>19</v>
      </c>
      <c r="D23" s="349">
        <f>941.29+53.14</f>
        <v>994.43</v>
      </c>
      <c r="E23" s="350"/>
      <c r="F23" s="89">
        <f>39932164.78+2234339.1</f>
        <v>42166503.880000003</v>
      </c>
    </row>
    <row r="24" spans="1:9" x14ac:dyDescent="0.45">
      <c r="A24" s="82">
        <v>3</v>
      </c>
      <c r="B24" s="87" t="s">
        <v>8</v>
      </c>
      <c r="C24" s="88" t="s">
        <v>19</v>
      </c>
      <c r="D24" s="366">
        <v>213.17</v>
      </c>
      <c r="E24" s="367"/>
      <c r="F24" s="89">
        <v>22336213.16</v>
      </c>
    </row>
    <row r="25" spans="1:9" x14ac:dyDescent="0.45">
      <c r="A25" s="82">
        <v>4</v>
      </c>
      <c r="B25" s="87" t="s">
        <v>1</v>
      </c>
      <c r="C25" s="88" t="s">
        <v>19</v>
      </c>
      <c r="D25" s="366">
        <v>61.69</v>
      </c>
      <c r="E25" s="367"/>
      <c r="F25" s="89">
        <v>3714903.1500000004</v>
      </c>
    </row>
    <row r="26" spans="1:9" x14ac:dyDescent="0.45">
      <c r="A26" s="82">
        <v>5</v>
      </c>
      <c r="B26" s="87" t="s">
        <v>2</v>
      </c>
      <c r="C26" s="88" t="s">
        <v>19</v>
      </c>
      <c r="D26" s="366">
        <v>41.95</v>
      </c>
      <c r="E26" s="367"/>
      <c r="F26" s="89">
        <v>2839000</v>
      </c>
    </row>
    <row r="27" spans="1:9" x14ac:dyDescent="0.45">
      <c r="A27" s="82">
        <v>6</v>
      </c>
      <c r="B27" s="87" t="s">
        <v>3</v>
      </c>
      <c r="C27" s="88" t="s">
        <v>19</v>
      </c>
      <c r="D27" s="366">
        <v>182.95</v>
      </c>
      <c r="E27" s="367"/>
      <c r="F27" s="89">
        <v>13647239.470000003</v>
      </c>
    </row>
    <row r="28" spans="1:9" ht="14.65" thickBot="1" x14ac:dyDescent="0.5">
      <c r="A28" s="83">
        <v>7</v>
      </c>
      <c r="B28" s="90" t="s">
        <v>4</v>
      </c>
      <c r="C28" s="91" t="s">
        <v>19</v>
      </c>
      <c r="D28" s="368">
        <v>5.08</v>
      </c>
      <c r="E28" s="369"/>
      <c r="F28" s="92">
        <v>831105.78</v>
      </c>
    </row>
    <row r="29" spans="1:9" ht="14.65" thickTop="1" x14ac:dyDescent="0.45">
      <c r="A29" s="53">
        <v>8</v>
      </c>
      <c r="B29" s="50" t="s">
        <v>136</v>
      </c>
      <c r="C29" s="42" t="s">
        <v>29</v>
      </c>
      <c r="D29" s="420" t="s">
        <v>160</v>
      </c>
      <c r="E29" s="421"/>
      <c r="F29" s="43">
        <v>3807347.4499999997</v>
      </c>
    </row>
    <row r="30" spans="1:9" x14ac:dyDescent="0.45">
      <c r="A30" s="52">
        <v>9</v>
      </c>
      <c r="B30" s="51" t="s">
        <v>28</v>
      </c>
      <c r="C30" s="40" t="s">
        <v>29</v>
      </c>
      <c r="D30" s="394" t="s">
        <v>161</v>
      </c>
      <c r="E30" s="395"/>
      <c r="F30" s="29">
        <v>14168223.84</v>
      </c>
    </row>
    <row r="31" spans="1:9" ht="14.65" thickBot="1" x14ac:dyDescent="0.5">
      <c r="A31" s="70">
        <v>10</v>
      </c>
      <c r="B31" s="71" t="s">
        <v>17</v>
      </c>
      <c r="C31" s="72" t="s">
        <v>20</v>
      </c>
      <c r="D31" s="374">
        <v>4765.96</v>
      </c>
      <c r="E31" s="375"/>
      <c r="F31" s="73">
        <v>1105733.3899999999</v>
      </c>
    </row>
    <row r="32" spans="1:9" ht="1.5" customHeight="1" thickBot="1" x14ac:dyDescent="0.5">
      <c r="A32" s="74"/>
      <c r="B32" s="75"/>
      <c r="C32" s="76"/>
      <c r="D32" s="77"/>
      <c r="E32" s="77"/>
      <c r="F32" s="78">
        <v>1105733.3899999999</v>
      </c>
    </row>
    <row r="33" spans="1:16" ht="14.65" thickBot="1" x14ac:dyDescent="0.5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4.65" thickBot="1" x14ac:dyDescent="0.5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4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4.65" thickBot="1" x14ac:dyDescent="0.5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18" t="s">
        <v>164</v>
      </c>
      <c r="H36" s="419"/>
      <c r="I36" s="419"/>
    </row>
    <row r="37" spans="1:16" ht="25.5" customHeight="1" thickBot="1" x14ac:dyDescent="0.5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4.65" thickBot="1" x14ac:dyDescent="0.5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4.65" thickBot="1" x14ac:dyDescent="0.5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5">
      <c r="A40" s="54" t="s">
        <v>58</v>
      </c>
      <c r="B40" s="55" t="s">
        <v>73</v>
      </c>
      <c r="C40" s="56" t="s">
        <v>18</v>
      </c>
      <c r="D40" s="347" t="s">
        <v>21</v>
      </c>
      <c r="E40" s="348"/>
      <c r="F40" s="57" t="s">
        <v>32</v>
      </c>
    </row>
    <row r="41" spans="1:16" ht="36" customHeight="1" thickBot="1" x14ac:dyDescent="0.5">
      <c r="A41" s="277" t="s">
        <v>168</v>
      </c>
      <c r="B41" s="278" t="s">
        <v>47</v>
      </c>
      <c r="C41" s="279" t="s">
        <v>19</v>
      </c>
      <c r="D41" s="422">
        <v>1791.69</v>
      </c>
      <c r="E41" s="423"/>
      <c r="F41" s="280">
        <v>139860049.75999999</v>
      </c>
    </row>
    <row r="42" spans="1:16" ht="14.65" thickTop="1" x14ac:dyDescent="0.45">
      <c r="A42" s="53">
        <v>8</v>
      </c>
      <c r="B42" s="50" t="s">
        <v>136</v>
      </c>
      <c r="C42" s="42" t="s">
        <v>29</v>
      </c>
      <c r="D42" s="420" t="s">
        <v>160</v>
      </c>
      <c r="E42" s="421"/>
      <c r="F42" s="43">
        <v>3807347.4499999997</v>
      </c>
    </row>
    <row r="43" spans="1:16" x14ac:dyDescent="0.45">
      <c r="A43" s="52">
        <v>9</v>
      </c>
      <c r="B43" s="51" t="s">
        <v>28</v>
      </c>
      <c r="C43" s="40" t="s">
        <v>29</v>
      </c>
      <c r="D43" s="394" t="s">
        <v>161</v>
      </c>
      <c r="E43" s="395"/>
      <c r="F43" s="29">
        <v>14168223.84</v>
      </c>
    </row>
    <row r="44" spans="1:16" ht="14.65" thickBot="1" x14ac:dyDescent="0.5">
      <c r="A44" s="70">
        <v>10</v>
      </c>
      <c r="B44" s="71" t="s">
        <v>17</v>
      </c>
      <c r="C44" s="72" t="s">
        <v>20</v>
      </c>
      <c r="D44" s="374">
        <v>4765.96</v>
      </c>
      <c r="E44" s="375"/>
      <c r="F44" s="73">
        <v>1105733.3899999999</v>
      </c>
    </row>
    <row r="45" spans="1:16" ht="1.5" customHeight="1" thickBot="1" x14ac:dyDescent="0.5">
      <c r="A45" s="74"/>
      <c r="B45" s="75"/>
      <c r="C45" s="76"/>
      <c r="D45" s="77"/>
      <c r="E45" s="77"/>
      <c r="F45" s="78">
        <v>1105733.3899999999</v>
      </c>
    </row>
    <row r="46" spans="1:16" ht="14.65" thickBot="1" x14ac:dyDescent="0.5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4.65" thickBot="1" x14ac:dyDescent="0.5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4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4.65" thickBot="1" x14ac:dyDescent="0.5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18" t="s">
        <v>164</v>
      </c>
      <c r="H49" s="419"/>
      <c r="I49" s="419"/>
    </row>
    <row r="50" spans="1:16" ht="25.5" customHeight="1" thickBot="1" x14ac:dyDescent="0.5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4.65" thickBot="1" x14ac:dyDescent="0.5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4.65" thickBot="1" x14ac:dyDescent="0.5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5">
      <c r="A53" s="54" t="s">
        <v>58</v>
      </c>
      <c r="B53" s="55" t="s">
        <v>73</v>
      </c>
      <c r="C53" s="56" t="s">
        <v>18</v>
      </c>
      <c r="D53" s="347" t="s">
        <v>21</v>
      </c>
      <c r="E53" s="348"/>
      <c r="F53" s="57" t="s">
        <v>32</v>
      </c>
    </row>
    <row r="54" spans="1:16" ht="36" customHeight="1" thickBot="1" x14ac:dyDescent="0.5">
      <c r="A54" s="277" t="s">
        <v>168</v>
      </c>
      <c r="B54" s="278" t="s">
        <v>47</v>
      </c>
      <c r="C54" s="279" t="s">
        <v>19</v>
      </c>
      <c r="D54" s="422">
        <v>1791.69</v>
      </c>
      <c r="E54" s="423"/>
      <c r="F54" s="280">
        <v>139860049.75999999</v>
      </c>
    </row>
    <row r="55" spans="1:16" ht="14.65" thickTop="1" x14ac:dyDescent="0.45">
      <c r="A55" s="53">
        <v>8</v>
      </c>
      <c r="B55" s="50" t="s">
        <v>136</v>
      </c>
      <c r="C55" s="42" t="s">
        <v>29</v>
      </c>
      <c r="D55" s="420" t="s">
        <v>160</v>
      </c>
      <c r="E55" s="421"/>
      <c r="F55" s="43">
        <v>3807347.4499999997</v>
      </c>
    </row>
    <row r="56" spans="1:16" x14ac:dyDescent="0.45">
      <c r="A56" s="52">
        <v>9</v>
      </c>
      <c r="B56" s="51" t="s">
        <v>28</v>
      </c>
      <c r="C56" s="40" t="s">
        <v>29</v>
      </c>
      <c r="D56" s="394" t="s">
        <v>161</v>
      </c>
      <c r="E56" s="395"/>
      <c r="F56" s="29">
        <v>14168223.84</v>
      </c>
    </row>
    <row r="57" spans="1:16" ht="14.65" thickBot="1" x14ac:dyDescent="0.5">
      <c r="A57" s="70">
        <v>10</v>
      </c>
      <c r="B57" s="71" t="s">
        <v>17</v>
      </c>
      <c r="C57" s="72" t="s">
        <v>20</v>
      </c>
      <c r="D57" s="374">
        <v>4765.96</v>
      </c>
      <c r="E57" s="375"/>
      <c r="F57" s="73">
        <v>1105733.3899999999</v>
      </c>
    </row>
    <row r="58" spans="1:16" ht="1.5" customHeight="1" thickBot="1" x14ac:dyDescent="0.5">
      <c r="A58" s="74"/>
      <c r="B58" s="75"/>
      <c r="C58" s="76"/>
      <c r="D58" s="77"/>
      <c r="E58" s="77"/>
      <c r="F58" s="78">
        <v>1105733.3899999999</v>
      </c>
    </row>
    <row r="59" spans="1:16" ht="14.65" thickBot="1" x14ac:dyDescent="0.5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4.65" thickBot="1" x14ac:dyDescent="0.5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4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4.65" thickBot="1" x14ac:dyDescent="0.5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18" t="s">
        <v>164</v>
      </c>
      <c r="H62" s="419"/>
      <c r="I62" s="419"/>
    </row>
    <row r="63" spans="1:16" ht="25.5" customHeight="1" thickBot="1" x14ac:dyDescent="0.5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4.65" thickBot="1" x14ac:dyDescent="0.5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4.65" thickBot="1" x14ac:dyDescent="0.5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5">
      <c r="A66" s="54" t="s">
        <v>58</v>
      </c>
      <c r="B66" s="55" t="s">
        <v>73</v>
      </c>
      <c r="C66" s="56" t="s">
        <v>18</v>
      </c>
      <c r="D66" s="347" t="s">
        <v>21</v>
      </c>
      <c r="E66" s="348"/>
      <c r="F66" s="57" t="s">
        <v>32</v>
      </c>
    </row>
    <row r="67" spans="1:16" ht="36" customHeight="1" thickBot="1" x14ac:dyDescent="0.5">
      <c r="A67" s="277" t="s">
        <v>168</v>
      </c>
      <c r="B67" s="278" t="s">
        <v>47</v>
      </c>
      <c r="C67" s="279" t="s">
        <v>19</v>
      </c>
      <c r="D67" s="422">
        <v>1791.69</v>
      </c>
      <c r="E67" s="423"/>
      <c r="F67" s="280">
        <v>139860049.75999999</v>
      </c>
    </row>
    <row r="68" spans="1:16" ht="14.65" thickTop="1" x14ac:dyDescent="0.45">
      <c r="A68" s="53">
        <v>8</v>
      </c>
      <c r="B68" s="50" t="s">
        <v>136</v>
      </c>
      <c r="C68" s="42" t="s">
        <v>29</v>
      </c>
      <c r="D68" s="420" t="s">
        <v>160</v>
      </c>
      <c r="E68" s="421"/>
      <c r="F68" s="43">
        <v>3807347.4499999997</v>
      </c>
    </row>
    <row r="69" spans="1:16" x14ac:dyDescent="0.45">
      <c r="A69" s="52">
        <v>9</v>
      </c>
      <c r="B69" s="51" t="s">
        <v>28</v>
      </c>
      <c r="C69" s="40" t="s">
        <v>29</v>
      </c>
      <c r="D69" s="394" t="s">
        <v>161</v>
      </c>
      <c r="E69" s="395"/>
      <c r="F69" s="29">
        <v>14168223.84</v>
      </c>
    </row>
    <row r="70" spans="1:16" ht="14.65" thickBot="1" x14ac:dyDescent="0.5">
      <c r="A70" s="70">
        <v>10</v>
      </c>
      <c r="B70" s="71" t="s">
        <v>17</v>
      </c>
      <c r="C70" s="72" t="s">
        <v>20</v>
      </c>
      <c r="D70" s="374">
        <v>4765.96</v>
      </c>
      <c r="E70" s="375"/>
      <c r="F70" s="73">
        <v>1105733.3899999999</v>
      </c>
    </row>
    <row r="71" spans="1:16" ht="1.5" customHeight="1" thickBot="1" x14ac:dyDescent="0.5">
      <c r="A71" s="74"/>
      <c r="B71" s="75"/>
      <c r="C71" s="76"/>
      <c r="D71" s="77"/>
      <c r="E71" s="77"/>
      <c r="F71" s="78">
        <v>1105733.3899999999</v>
      </c>
    </row>
    <row r="72" spans="1:16" ht="14.65" thickBot="1" x14ac:dyDescent="0.5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4.65" thickBot="1" x14ac:dyDescent="0.5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4.65" thickBot="1" x14ac:dyDescent="0.5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4.65" thickBot="1" x14ac:dyDescent="0.5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4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4.65" thickBot="1" x14ac:dyDescent="0.5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18" t="s">
        <v>164</v>
      </c>
      <c r="H77" s="419"/>
      <c r="I77" s="419"/>
    </row>
    <row r="78" spans="1:16" ht="25.5" customHeight="1" thickBot="1" x14ac:dyDescent="0.5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4.65" thickBot="1" x14ac:dyDescent="0.5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4.65" thickBot="1" x14ac:dyDescent="0.5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5">
      <c r="A81" s="54" t="s">
        <v>58</v>
      </c>
      <c r="B81" s="55" t="s">
        <v>73</v>
      </c>
      <c r="C81" s="56" t="s">
        <v>18</v>
      </c>
      <c r="D81" s="347" t="s">
        <v>21</v>
      </c>
      <c r="E81" s="348"/>
      <c r="F81" s="57" t="s">
        <v>32</v>
      </c>
    </row>
    <row r="82" spans="1:16" ht="36" customHeight="1" thickBot="1" x14ac:dyDescent="0.5">
      <c r="A82" s="277" t="s">
        <v>168</v>
      </c>
      <c r="B82" s="278" t="s">
        <v>47</v>
      </c>
      <c r="C82" s="279" t="s">
        <v>19</v>
      </c>
      <c r="D82" s="422">
        <v>1791.69</v>
      </c>
      <c r="E82" s="423"/>
      <c r="F82" s="280">
        <v>139860049.75999999</v>
      </c>
    </row>
    <row r="83" spans="1:16" ht="14.65" thickTop="1" x14ac:dyDescent="0.45">
      <c r="A83" s="53">
        <v>8</v>
      </c>
      <c r="B83" s="50" t="s">
        <v>136</v>
      </c>
      <c r="C83" s="42" t="s">
        <v>29</v>
      </c>
      <c r="D83" s="420" t="s">
        <v>160</v>
      </c>
      <c r="E83" s="421"/>
      <c r="F83" s="43">
        <v>3807347.4499999997</v>
      </c>
    </row>
    <row r="84" spans="1:16" x14ac:dyDescent="0.45">
      <c r="A84" s="52">
        <v>9</v>
      </c>
      <c r="B84" s="51" t="s">
        <v>28</v>
      </c>
      <c r="C84" s="40" t="s">
        <v>29</v>
      </c>
      <c r="D84" s="394" t="s">
        <v>161</v>
      </c>
      <c r="E84" s="395"/>
      <c r="F84" s="29">
        <v>14168223.84</v>
      </c>
    </row>
    <row r="85" spans="1:16" ht="14.65" thickBot="1" x14ac:dyDescent="0.5">
      <c r="A85" s="70">
        <v>10</v>
      </c>
      <c r="B85" s="71" t="s">
        <v>17</v>
      </c>
      <c r="C85" s="72" t="s">
        <v>20</v>
      </c>
      <c r="D85" s="374">
        <v>4765.96</v>
      </c>
      <c r="E85" s="375"/>
      <c r="F85" s="73">
        <v>1105733.3899999999</v>
      </c>
    </row>
    <row r="86" spans="1:16" ht="1.5" customHeight="1" thickBot="1" x14ac:dyDescent="0.5">
      <c r="A86" s="74"/>
      <c r="B86" s="75"/>
      <c r="C86" s="76"/>
      <c r="D86" s="77"/>
      <c r="E86" s="77"/>
      <c r="F86" s="78">
        <v>1105733.3899999999</v>
      </c>
    </row>
    <row r="87" spans="1:16" ht="14.65" thickBot="1" x14ac:dyDescent="0.5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4.65" thickBot="1" x14ac:dyDescent="0.5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4.65" thickBot="1" x14ac:dyDescent="0.5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4.65" thickBot="1" x14ac:dyDescent="0.5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4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4.65" thickBot="1" x14ac:dyDescent="0.5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18" t="s">
        <v>164</v>
      </c>
      <c r="H92" s="419"/>
      <c r="I92" s="419"/>
    </row>
    <row r="93" spans="1:16" ht="25.5" customHeight="1" thickBot="1" x14ac:dyDescent="0.5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4.65" thickBot="1" x14ac:dyDescent="0.5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4.65" thickBot="1" x14ac:dyDescent="0.5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5">
      <c r="A96" s="54" t="s">
        <v>58</v>
      </c>
      <c r="B96" s="55" t="s">
        <v>73</v>
      </c>
      <c r="C96" s="56" t="s">
        <v>18</v>
      </c>
      <c r="D96" s="347" t="s">
        <v>21</v>
      </c>
      <c r="E96" s="348"/>
      <c r="F96" s="57" t="s">
        <v>32</v>
      </c>
    </row>
    <row r="97" spans="1:16" ht="36" customHeight="1" thickBot="1" x14ac:dyDescent="0.5">
      <c r="A97" s="277" t="s">
        <v>168</v>
      </c>
      <c r="B97" s="278" t="s">
        <v>47</v>
      </c>
      <c r="C97" s="279" t="s">
        <v>19</v>
      </c>
      <c r="D97" s="422">
        <v>1791.69</v>
      </c>
      <c r="E97" s="423"/>
      <c r="F97" s="280">
        <v>139860049.75999999</v>
      </c>
    </row>
    <row r="98" spans="1:16" ht="14.65" thickTop="1" x14ac:dyDescent="0.45">
      <c r="A98" s="53">
        <v>8</v>
      </c>
      <c r="B98" s="50" t="s">
        <v>136</v>
      </c>
      <c r="C98" s="42" t="s">
        <v>29</v>
      </c>
      <c r="D98" s="420" t="s">
        <v>160</v>
      </c>
      <c r="E98" s="421"/>
      <c r="F98" s="43">
        <v>3807347.4499999997</v>
      </c>
    </row>
    <row r="99" spans="1:16" x14ac:dyDescent="0.45">
      <c r="A99" s="52">
        <v>9</v>
      </c>
      <c r="B99" s="51" t="s">
        <v>28</v>
      </c>
      <c r="C99" s="40" t="s">
        <v>29</v>
      </c>
      <c r="D99" s="394" t="s">
        <v>161</v>
      </c>
      <c r="E99" s="395"/>
      <c r="F99" s="29">
        <v>14168223.84</v>
      </c>
    </row>
    <row r="100" spans="1:16" ht="14.65" thickBot="1" x14ac:dyDescent="0.5">
      <c r="A100" s="70">
        <v>10</v>
      </c>
      <c r="B100" s="71" t="s">
        <v>17</v>
      </c>
      <c r="C100" s="72" t="s">
        <v>20</v>
      </c>
      <c r="D100" s="374">
        <v>4765.96</v>
      </c>
      <c r="E100" s="375"/>
      <c r="F100" s="73">
        <v>1105733.3899999999</v>
      </c>
    </row>
    <row r="101" spans="1:16" ht="1.5" customHeight="1" thickBot="1" x14ac:dyDescent="0.5">
      <c r="A101" s="74"/>
      <c r="B101" s="75"/>
      <c r="C101" s="76"/>
      <c r="D101" s="77"/>
      <c r="E101" s="77"/>
      <c r="F101" s="78">
        <v>1105733.3899999999</v>
      </c>
    </row>
    <row r="102" spans="1:16" ht="14.65" thickBot="1" x14ac:dyDescent="0.5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4.65" thickBot="1" x14ac:dyDescent="0.5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4.65" thickBot="1" x14ac:dyDescent="0.5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4.65" thickBot="1" x14ac:dyDescent="0.5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4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4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18"/>
      <c r="H107" s="419"/>
      <c r="I107" s="419"/>
    </row>
    <row r="108" spans="1:16" ht="14.65" thickBot="1" x14ac:dyDescent="0.5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18" t="s">
        <v>164</v>
      </c>
      <c r="H108" s="419"/>
      <c r="I108" s="419"/>
    </row>
    <row r="109" spans="1:16" ht="25.5" customHeight="1" thickBot="1" x14ac:dyDescent="0.5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4.65" thickBot="1" x14ac:dyDescent="0.5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4.65" thickBot="1" x14ac:dyDescent="0.5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5">
      <c r="A112" s="54" t="s">
        <v>58</v>
      </c>
      <c r="B112" s="55" t="s">
        <v>73</v>
      </c>
      <c r="C112" s="56" t="s">
        <v>18</v>
      </c>
      <c r="D112" s="347" t="s">
        <v>21</v>
      </c>
      <c r="E112" s="348"/>
      <c r="F112" s="57" t="s">
        <v>32</v>
      </c>
    </row>
    <row r="113" spans="1:16" ht="36" customHeight="1" thickBot="1" x14ac:dyDescent="0.5">
      <c r="A113" s="277" t="s">
        <v>168</v>
      </c>
      <c r="B113" s="278" t="s">
        <v>47</v>
      </c>
      <c r="C113" s="279" t="s">
        <v>19</v>
      </c>
      <c r="D113" s="422">
        <v>1791.69</v>
      </c>
      <c r="E113" s="423"/>
      <c r="F113" s="280">
        <v>139860049.75999999</v>
      </c>
    </row>
    <row r="114" spans="1:16" ht="14.65" thickTop="1" x14ac:dyDescent="0.45">
      <c r="A114" s="53">
        <v>8</v>
      </c>
      <c r="B114" s="50" t="s">
        <v>136</v>
      </c>
      <c r="C114" s="42" t="s">
        <v>29</v>
      </c>
      <c r="D114" s="420" t="s">
        <v>160</v>
      </c>
      <c r="E114" s="421"/>
      <c r="F114" s="43">
        <v>3807347.4499999997</v>
      </c>
    </row>
    <row r="115" spans="1:16" x14ac:dyDescent="0.45">
      <c r="A115" s="52">
        <v>9</v>
      </c>
      <c r="B115" s="51" t="s">
        <v>28</v>
      </c>
      <c r="C115" s="40" t="s">
        <v>29</v>
      </c>
      <c r="D115" s="394" t="s">
        <v>161</v>
      </c>
      <c r="E115" s="395"/>
      <c r="F115" s="29">
        <v>14168223.84</v>
      </c>
    </row>
    <row r="116" spans="1:16" ht="14.65" thickBot="1" x14ac:dyDescent="0.5">
      <c r="A116" s="70">
        <v>10</v>
      </c>
      <c r="B116" s="71" t="s">
        <v>17</v>
      </c>
      <c r="C116" s="72" t="s">
        <v>20</v>
      </c>
      <c r="D116" s="374">
        <v>4765.96</v>
      </c>
      <c r="E116" s="375"/>
      <c r="F116" s="73">
        <v>1105733.3899999999</v>
      </c>
    </row>
    <row r="117" spans="1:16" ht="1.5" customHeight="1" thickBot="1" x14ac:dyDescent="0.5">
      <c r="A117" s="74"/>
      <c r="B117" s="75"/>
      <c r="C117" s="76"/>
      <c r="D117" s="77"/>
      <c r="E117" s="77"/>
      <c r="F117" s="78">
        <v>1105733.3899999999</v>
      </c>
    </row>
    <row r="118" spans="1:16" ht="14.65" thickBot="1" x14ac:dyDescent="0.5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4.65" thickBot="1" x14ac:dyDescent="0.5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4.65" thickBot="1" x14ac:dyDescent="0.5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4.65" thickBot="1" x14ac:dyDescent="0.5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4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4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18"/>
      <c r="H123" s="419"/>
      <c r="I123" s="419"/>
    </row>
    <row r="124" spans="1:16" ht="14.65" thickBot="1" x14ac:dyDescent="0.5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18" t="s">
        <v>164</v>
      </c>
      <c r="H124" s="419"/>
      <c r="I124" s="419"/>
    </row>
    <row r="125" spans="1:16" ht="25.5" customHeight="1" thickBot="1" x14ac:dyDescent="0.5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4.65" thickBot="1" x14ac:dyDescent="0.5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4.25" x14ac:dyDescent="0.45"/>
  <cols>
    <col min="1" max="1" width="4.73046875" customWidth="1"/>
    <col min="2" max="2" width="27.86328125" customWidth="1"/>
    <col min="3" max="3" width="12" style="35" customWidth="1"/>
    <col min="4" max="4" width="8.265625" customWidth="1"/>
    <col min="5" max="5" width="4.265625" customWidth="1"/>
    <col min="6" max="6" width="23.265625" customWidth="1"/>
    <col min="7" max="7" width="1.1328125" style="35" customWidth="1"/>
    <col min="8" max="8" width="4.73046875" customWidth="1"/>
    <col min="9" max="9" width="27.86328125" customWidth="1"/>
    <col min="10" max="10" width="12" style="35" customWidth="1"/>
    <col min="11" max="11" width="12.265625" customWidth="1"/>
    <col min="12" max="12" width="3.3984375" customWidth="1"/>
    <col min="13" max="13" width="23.265625" customWidth="1"/>
    <col min="14" max="14" width="1.1328125" style="35" customWidth="1"/>
    <col min="15" max="15" width="10" style="35" hidden="1" customWidth="1"/>
    <col min="16" max="16" width="4.73046875" customWidth="1"/>
    <col min="17" max="17" width="27.86328125" customWidth="1"/>
    <col min="18" max="18" width="12" style="35" customWidth="1"/>
    <col min="19" max="19" width="12.265625" customWidth="1"/>
    <col min="20" max="20" width="3.3984375" customWidth="1"/>
    <col min="21" max="21" width="23.265625" customWidth="1"/>
    <col min="22" max="22" width="1.3984375" style="35" customWidth="1"/>
    <col min="23" max="23" width="0.86328125" style="35" customWidth="1"/>
  </cols>
  <sheetData>
    <row r="1" spans="1:23" ht="38.25" customHeight="1" thickBot="1" x14ac:dyDescent="0.5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4.65" thickBot="1" x14ac:dyDescent="0.5">
      <c r="A2" s="54" t="s">
        <v>58</v>
      </c>
      <c r="B2" s="55" t="s">
        <v>73</v>
      </c>
      <c r="C2" s="56" t="s">
        <v>18</v>
      </c>
      <c r="D2" s="347" t="s">
        <v>21</v>
      </c>
      <c r="E2" s="348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47" t="s">
        <v>21</v>
      </c>
      <c r="L2" s="348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47" t="s">
        <v>21</v>
      </c>
      <c r="T2" s="348"/>
      <c r="U2" s="57" t="s">
        <v>32</v>
      </c>
      <c r="V2" s="1" t="s">
        <v>24</v>
      </c>
    </row>
    <row r="3" spans="1:23" ht="15" customHeight="1" x14ac:dyDescent="0.45">
      <c r="A3" s="81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35">
        <v>292.42</v>
      </c>
      <c r="L3" s="436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25">
        <v>1791.6900000000003</v>
      </c>
      <c r="T3" s="426"/>
      <c r="U3" s="354">
        <v>139860049.75999999</v>
      </c>
      <c r="V3" s="249">
        <v>30596324.510000002</v>
      </c>
      <c r="W3" s="249">
        <f>L3-S3</f>
        <v>-1791.6900000000003</v>
      </c>
    </row>
    <row r="4" spans="1:23" x14ac:dyDescent="0.45">
      <c r="A4" s="82">
        <v>2</v>
      </c>
      <c r="B4" s="87" t="s">
        <v>25</v>
      </c>
      <c r="C4" s="88" t="s">
        <v>19</v>
      </c>
      <c r="D4" s="349">
        <f>676.624</f>
        <v>676.62400000000002</v>
      </c>
      <c r="E4" s="350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37">
        <v>941.29</v>
      </c>
      <c r="L4" s="438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27"/>
      <c r="T4" s="428"/>
      <c r="U4" s="355"/>
      <c r="V4" s="249">
        <v>49077383.210000001</v>
      </c>
      <c r="W4" s="249">
        <f t="shared" ref="W4:W5" si="1">L4-S4</f>
        <v>0</v>
      </c>
    </row>
    <row r="5" spans="1:23" x14ac:dyDescent="0.45">
      <c r="A5" s="82">
        <v>3</v>
      </c>
      <c r="B5" s="87" t="s">
        <v>26</v>
      </c>
      <c r="C5" s="88" t="s">
        <v>19</v>
      </c>
      <c r="D5" s="366">
        <v>295.15199999999999</v>
      </c>
      <c r="E5" s="367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35">
        <v>53.14</v>
      </c>
      <c r="L5" s="436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27"/>
      <c r="T5" s="428"/>
      <c r="U5" s="355"/>
      <c r="V5" s="249">
        <v>22842535.300000001</v>
      </c>
      <c r="W5" s="249">
        <f t="shared" si="1"/>
        <v>0</v>
      </c>
    </row>
    <row r="6" spans="1:23" ht="28.5" x14ac:dyDescent="0.45">
      <c r="A6" s="82">
        <v>4</v>
      </c>
      <c r="B6" s="87" t="s">
        <v>8</v>
      </c>
      <c r="C6" s="88" t="s">
        <v>19</v>
      </c>
      <c r="D6" s="366">
        <v>284.85599999999999</v>
      </c>
      <c r="E6" s="367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37">
        <v>213.17</v>
      </c>
      <c r="L6" s="438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27"/>
      <c r="T6" s="428"/>
      <c r="U6" s="355"/>
      <c r="V6" s="249">
        <v>24500846.98</v>
      </c>
      <c r="W6" s="249">
        <f>L6-S6</f>
        <v>0</v>
      </c>
    </row>
    <row r="7" spans="1:23" x14ac:dyDescent="0.45">
      <c r="A7" s="82">
        <v>5</v>
      </c>
      <c r="B7" s="87" t="s">
        <v>1</v>
      </c>
      <c r="C7" s="88" t="s">
        <v>19</v>
      </c>
      <c r="D7" s="366">
        <v>103.27200000000001</v>
      </c>
      <c r="E7" s="367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37">
        <v>61.69</v>
      </c>
      <c r="L7" s="438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27"/>
      <c r="T7" s="428"/>
      <c r="U7" s="355"/>
      <c r="V7" s="249">
        <v>8362361.75</v>
      </c>
      <c r="W7" s="249">
        <f>L7-S7</f>
        <v>0</v>
      </c>
    </row>
    <row r="8" spans="1:23" x14ac:dyDescent="0.45">
      <c r="A8" s="82">
        <v>6</v>
      </c>
      <c r="B8" s="87" t="s">
        <v>2</v>
      </c>
      <c r="C8" s="88" t="s">
        <v>19</v>
      </c>
      <c r="D8" s="366">
        <v>66.872</v>
      </c>
      <c r="E8" s="367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37">
        <v>41.95</v>
      </c>
      <c r="L8" s="438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27"/>
      <c r="T8" s="428"/>
      <c r="U8" s="355"/>
      <c r="V8" s="249">
        <v>4788692.25</v>
      </c>
      <c r="W8" s="249">
        <f>L8-S8</f>
        <v>0</v>
      </c>
    </row>
    <row r="9" spans="1:23" x14ac:dyDescent="0.45">
      <c r="A9" s="82">
        <v>7</v>
      </c>
      <c r="B9" s="87" t="s">
        <v>3</v>
      </c>
      <c r="C9" s="88" t="s">
        <v>19</v>
      </c>
      <c r="D9" s="366">
        <v>233.27199999999999</v>
      </c>
      <c r="E9" s="367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39">
        <v>182.95</v>
      </c>
      <c r="L9" s="440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27"/>
      <c r="T9" s="428"/>
      <c r="U9" s="355"/>
      <c r="V9" s="249">
        <v>17062170.469999999</v>
      </c>
      <c r="W9" s="249">
        <f t="shared" ref="W9:W10" si="3">L9-S9</f>
        <v>0</v>
      </c>
    </row>
    <row r="10" spans="1:23" ht="14.65" thickBot="1" x14ac:dyDescent="0.5">
      <c r="A10" s="83">
        <v>8</v>
      </c>
      <c r="B10" s="90" t="s">
        <v>4</v>
      </c>
      <c r="C10" s="91" t="s">
        <v>19</v>
      </c>
      <c r="D10" s="368">
        <v>4.3680000000000003</v>
      </c>
      <c r="E10" s="369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68">
        <v>5.08</v>
      </c>
      <c r="L10" s="369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29"/>
      <c r="T10" s="430"/>
      <c r="U10" s="356"/>
      <c r="V10" s="249">
        <v>329215.40999999997</v>
      </c>
      <c r="W10" s="249">
        <f t="shared" si="3"/>
        <v>0</v>
      </c>
    </row>
    <row r="11" spans="1:23" ht="2.25" customHeight="1" thickTop="1" x14ac:dyDescent="0.4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45">
      <c r="A12" s="53">
        <v>9</v>
      </c>
      <c r="B12" s="50" t="s">
        <v>136</v>
      </c>
      <c r="C12" s="42" t="s">
        <v>29</v>
      </c>
      <c r="D12" s="370" t="s">
        <v>139</v>
      </c>
      <c r="E12" s="37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31" t="s">
        <v>141</v>
      </c>
      <c r="L12" s="432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31" t="s">
        <v>141</v>
      </c>
      <c r="T12" s="432"/>
      <c r="U12" s="252">
        <f>3419291.82+388055.63</f>
        <v>3807347.4499999997</v>
      </c>
      <c r="V12" s="249">
        <v>5678876.6900000004</v>
      </c>
    </row>
    <row r="13" spans="1:23" x14ac:dyDescent="0.45">
      <c r="A13" s="52">
        <v>10</v>
      </c>
      <c r="B13" s="51" t="s">
        <v>28</v>
      </c>
      <c r="C13" s="40" t="s">
        <v>29</v>
      </c>
      <c r="D13" s="372" t="s">
        <v>142</v>
      </c>
      <c r="E13" s="37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33" t="s">
        <v>140</v>
      </c>
      <c r="L13" s="434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33" t="s">
        <v>140</v>
      </c>
      <c r="T13" s="434"/>
      <c r="U13" s="253">
        <f>13237387.5+493072.33+437764.01</f>
        <v>14168223.84</v>
      </c>
      <c r="V13" s="249">
        <v>6649088.5499999998</v>
      </c>
    </row>
    <row r="14" spans="1:23" ht="14.65" thickBot="1" x14ac:dyDescent="0.5">
      <c r="A14" s="70">
        <v>11</v>
      </c>
      <c r="B14" s="71" t="s">
        <v>17</v>
      </c>
      <c r="C14" s="72" t="s">
        <v>20</v>
      </c>
      <c r="D14" s="374">
        <f>47.6596*100</f>
        <v>4765.96</v>
      </c>
      <c r="E14" s="37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74">
        <f>47.6596*100</f>
        <v>4765.96</v>
      </c>
      <c r="L14" s="375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374">
        <f>47.6596*100</f>
        <v>4765.96</v>
      </c>
      <c r="T14" s="375"/>
      <c r="U14" s="254">
        <v>1105733.3899999999</v>
      </c>
      <c r="V14" s="249"/>
    </row>
    <row r="15" spans="1:23" ht="6" customHeight="1" thickBot="1" x14ac:dyDescent="0.5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5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14.65" thickBot="1" x14ac:dyDescent="0.5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28.9" thickBot="1" x14ac:dyDescent="0.5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28.9" thickBot="1" x14ac:dyDescent="0.5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5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5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5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45">
      <c r="C23"/>
      <c r="G23" s="39"/>
      <c r="J23"/>
      <c r="N23" s="39"/>
      <c r="R23"/>
      <c r="V23" s="39"/>
    </row>
    <row r="24" spans="1:22" ht="35.25" customHeight="1" x14ac:dyDescent="0.45">
      <c r="B24" s="424" t="s">
        <v>53</v>
      </c>
      <c r="C24" s="424"/>
      <c r="D24" s="424"/>
      <c r="E24" s="79"/>
      <c r="F24" s="93">
        <f>(F3+F4+F5+F6+F7+F8+F9+F10)*G19*1.2/D16</f>
        <v>75700.428816399144</v>
      </c>
      <c r="G24" s="39"/>
      <c r="I24" s="424" t="s">
        <v>53</v>
      </c>
      <c r="J24" s="424"/>
      <c r="K24" s="424"/>
      <c r="L24" s="79"/>
      <c r="M24" s="93">
        <f>(M3+M4+M5+M6+M7+M8+M9+M10)*N19*1.2/K16</f>
        <v>74204.915168345775</v>
      </c>
      <c r="N24" s="39"/>
      <c r="Q24" s="424" t="s">
        <v>53</v>
      </c>
      <c r="R24" s="424"/>
      <c r="S24" s="424"/>
      <c r="T24" s="79"/>
      <c r="U24" s="93">
        <f>(U3+U4+U5+U6+U7+U8+U9+U10)*V19*1.2/S16</f>
        <v>78736.895615993679</v>
      </c>
      <c r="V24" s="39"/>
    </row>
    <row r="25" spans="1:22" ht="30.75" customHeight="1" x14ac:dyDescent="0.45">
      <c r="B25" s="424" t="s">
        <v>54</v>
      </c>
      <c r="C25" s="424"/>
      <c r="D25" s="424"/>
      <c r="E25" s="79"/>
      <c r="F25" s="93">
        <f>F16*G19*1.2/D16</f>
        <v>89541.292052319011</v>
      </c>
      <c r="G25" s="39"/>
      <c r="I25" s="424" t="s">
        <v>54</v>
      </c>
      <c r="J25" s="424"/>
      <c r="K25" s="424"/>
      <c r="L25" s="79"/>
      <c r="M25" s="93">
        <f>M16*N19*1.2/K16</f>
        <v>89479.081804145753</v>
      </c>
      <c r="N25" s="39"/>
      <c r="Q25" s="424" t="s">
        <v>54</v>
      </c>
      <c r="R25" s="424"/>
      <c r="S25" s="424"/>
      <c r="T25" s="79"/>
      <c r="U25" s="93">
        <f>U16*V19*1.2/S16</f>
        <v>89479.081804145724</v>
      </c>
      <c r="V25" s="39"/>
    </row>
    <row r="26" spans="1:22" ht="37.5" customHeight="1" x14ac:dyDescent="0.45">
      <c r="B26" s="424" t="s">
        <v>55</v>
      </c>
      <c r="C26" s="424"/>
      <c r="D26" s="424"/>
      <c r="E26" s="79"/>
      <c r="F26" s="93">
        <f>F22/D16</f>
        <v>92227.530813888574</v>
      </c>
      <c r="G26" s="39"/>
      <c r="I26" s="424" t="s">
        <v>55</v>
      </c>
      <c r="J26" s="424"/>
      <c r="K26" s="424"/>
      <c r="L26" s="79"/>
      <c r="M26" s="93">
        <f>M22/K16</f>
        <v>92163.45425827014</v>
      </c>
      <c r="N26" s="39"/>
      <c r="Q26" s="424" t="s">
        <v>55</v>
      </c>
      <c r="R26" s="424"/>
      <c r="S26" s="424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4.25" x14ac:dyDescent="0.45"/>
  <cols>
    <col min="2" max="2" width="35.265625" customWidth="1"/>
    <col min="3" max="3" width="15.3984375" customWidth="1"/>
    <col min="4" max="4" width="20.3984375" customWidth="1"/>
    <col min="5" max="5" width="27.59765625" customWidth="1"/>
  </cols>
  <sheetData>
    <row r="1" spans="2:6" ht="14.65" thickBot="1" x14ac:dyDescent="0.5"/>
    <row r="2" spans="2:6" ht="28.5" x14ac:dyDescent="0.4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4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28.5" x14ac:dyDescent="0.4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4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4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4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4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4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4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4.65" thickBot="1" x14ac:dyDescent="0.5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5" thickTop="1" thickBot="1" x14ac:dyDescent="0.5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5">
      <c r="B13" s="17"/>
      <c r="C13" s="17"/>
      <c r="D13" s="17"/>
      <c r="E13" s="18"/>
    </row>
    <row r="14" spans="2:6" ht="14.65" thickBot="1" x14ac:dyDescent="0.5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45">
      <c r="C15" s="25">
        <f>C14-E14</f>
        <v>-14169950.469999999</v>
      </c>
    </row>
    <row r="17" spans="2:6" ht="14.65" thickBot="1" x14ac:dyDescent="0.5"/>
    <row r="18" spans="2:6" ht="28.5" x14ac:dyDescent="0.4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4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28.5" x14ac:dyDescent="0.4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4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4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4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4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4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4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4.65" thickBot="1" x14ac:dyDescent="0.5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5" thickTop="1" thickBot="1" x14ac:dyDescent="0.5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4.65" thickBot="1" x14ac:dyDescent="0.5">
      <c r="B29" s="17"/>
      <c r="C29" s="17"/>
      <c r="D29" s="17"/>
      <c r="E29" s="18"/>
    </row>
    <row r="30" spans="2:6" ht="14.65" thickBot="1" x14ac:dyDescent="0.5">
      <c r="B30" s="6" t="s">
        <v>10</v>
      </c>
      <c r="C30" s="5">
        <v>149747892.84999999</v>
      </c>
      <c r="D30" s="4"/>
      <c r="E30" s="5">
        <v>163917843.31</v>
      </c>
    </row>
    <row r="31" spans="2:6" x14ac:dyDescent="0.4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4.25" x14ac:dyDescent="0.45"/>
  <cols>
    <col min="1" max="1" width="4.73046875" hidden="1" customWidth="1"/>
    <col min="2" max="2" width="27.86328125" hidden="1" customWidth="1"/>
    <col min="3" max="3" width="12" style="35" hidden="1" customWidth="1"/>
    <col min="4" max="4" width="8.265625" hidden="1" customWidth="1"/>
    <col min="5" max="5" width="3" hidden="1" customWidth="1"/>
    <col min="6" max="6" width="23.265625" hidden="1" customWidth="1"/>
    <col min="7" max="7" width="14.73046875" style="35" hidden="1" customWidth="1"/>
    <col min="8" max="8" width="2.1328125" style="35" hidden="1" customWidth="1"/>
    <col min="9" max="9" width="5" hidden="1" customWidth="1"/>
    <col min="10" max="10" width="27.86328125" hidden="1" customWidth="1"/>
    <col min="11" max="11" width="12" style="35" hidden="1" customWidth="1"/>
    <col min="12" max="12" width="8.265625" hidden="1" customWidth="1"/>
    <col min="13" max="13" width="3" hidden="1" customWidth="1"/>
    <col min="14" max="14" width="23.265625" hidden="1" customWidth="1"/>
    <col min="15" max="15" width="0.1328125" customWidth="1"/>
    <col min="16" max="16" width="3.1328125" customWidth="1"/>
    <col min="17" max="17" width="4.86328125" customWidth="1"/>
    <col min="18" max="18" width="27.86328125" customWidth="1"/>
    <col min="19" max="19" width="30.1328125" style="35" customWidth="1"/>
    <col min="20" max="20" width="8.265625" customWidth="1"/>
    <col min="21" max="21" width="3" customWidth="1"/>
    <col min="22" max="22" width="23.265625" customWidth="1"/>
    <col min="23" max="23" width="2.3984375" customWidth="1"/>
    <col min="24" max="24" width="4.86328125" customWidth="1"/>
    <col min="25" max="25" width="27.86328125" customWidth="1"/>
    <col min="26" max="26" width="20.3984375" style="35" customWidth="1"/>
    <col min="27" max="27" width="8.265625" customWidth="1"/>
    <col min="28" max="28" width="3" customWidth="1"/>
    <col min="29" max="29" width="23.265625" customWidth="1"/>
    <col min="30" max="30" width="2.3984375" customWidth="1"/>
    <col min="31" max="31" width="15.73046875" customWidth="1"/>
  </cols>
  <sheetData>
    <row r="1" spans="1:31" ht="32.65" thickBot="1" x14ac:dyDescent="0.6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4.65" thickBot="1" x14ac:dyDescent="0.5">
      <c r="A2" s="54" t="s">
        <v>58</v>
      </c>
      <c r="B2" s="55" t="s">
        <v>38</v>
      </c>
      <c r="C2" s="56" t="s">
        <v>18</v>
      </c>
      <c r="D2" s="347" t="s">
        <v>21</v>
      </c>
      <c r="E2" s="348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47" t="s">
        <v>21</v>
      </c>
      <c r="M2" s="348"/>
      <c r="N2" s="57" t="s">
        <v>32</v>
      </c>
      <c r="Q2" s="54" t="s">
        <v>58</v>
      </c>
      <c r="R2" s="55" t="s">
        <v>73</v>
      </c>
      <c r="S2" s="56" t="s">
        <v>18</v>
      </c>
      <c r="T2" s="347" t="s">
        <v>21</v>
      </c>
      <c r="U2" s="348"/>
      <c r="V2" s="57" t="s">
        <v>32</v>
      </c>
      <c r="X2" s="54" t="s">
        <v>58</v>
      </c>
      <c r="Y2" s="55" t="s">
        <v>73</v>
      </c>
      <c r="Z2" s="56" t="s">
        <v>18</v>
      </c>
      <c r="AA2" s="347" t="s">
        <v>21</v>
      </c>
      <c r="AB2" s="348"/>
      <c r="AC2" s="57" t="s">
        <v>32</v>
      </c>
    </row>
    <row r="3" spans="1:31" ht="15" customHeight="1" x14ac:dyDescent="0.45">
      <c r="A3" s="81">
        <v>1</v>
      </c>
      <c r="B3" s="84" t="s">
        <v>0</v>
      </c>
      <c r="C3" s="85" t="s">
        <v>19</v>
      </c>
      <c r="D3" s="349">
        <f>404.352+9.256</f>
        <v>413.60799999999995</v>
      </c>
      <c r="E3" s="350"/>
      <c r="F3" s="86">
        <f>40619316.42-G3</f>
        <v>10022991.91</v>
      </c>
      <c r="G3" s="36">
        <v>30596324.510000002</v>
      </c>
      <c r="H3" s="36"/>
      <c r="I3" s="81">
        <v>1</v>
      </c>
      <c r="J3" s="351" t="s">
        <v>47</v>
      </c>
      <c r="K3" s="85" t="s">
        <v>19</v>
      </c>
      <c r="L3" s="349">
        <f>404.352+9.256</f>
        <v>413.60799999999995</v>
      </c>
      <c r="M3" s="350"/>
      <c r="N3" s="354">
        <v>164516389.53999999</v>
      </c>
      <c r="Q3" s="81">
        <v>1</v>
      </c>
      <c r="R3" s="351" t="s">
        <v>47</v>
      </c>
      <c r="S3" s="357" t="s">
        <v>19</v>
      </c>
      <c r="T3" s="425">
        <v>1791.6900000000003</v>
      </c>
      <c r="U3" s="426"/>
      <c r="V3" s="354">
        <v>139860049.75999999</v>
      </c>
      <c r="X3" s="81">
        <v>1</v>
      </c>
      <c r="Y3" s="351" t="s">
        <v>47</v>
      </c>
      <c r="Z3" s="357" t="s">
        <v>19</v>
      </c>
      <c r="AA3" s="425">
        <f>T3</f>
        <v>1791.6900000000003</v>
      </c>
      <c r="AB3" s="426"/>
      <c r="AC3" s="354">
        <v>139860049.75999999</v>
      </c>
    </row>
    <row r="4" spans="1:31" ht="30" customHeight="1" x14ac:dyDescent="0.45">
      <c r="A4" s="82">
        <v>2</v>
      </c>
      <c r="B4" s="87" t="s">
        <v>25</v>
      </c>
      <c r="C4" s="88" t="s">
        <v>19</v>
      </c>
      <c r="D4" s="366">
        <f>676.624</f>
        <v>676.62400000000002</v>
      </c>
      <c r="E4" s="367"/>
      <c r="F4" s="89">
        <f>77526903.96-G4</f>
        <v>28449520.749999993</v>
      </c>
      <c r="G4" s="36">
        <v>49077383.210000001</v>
      </c>
      <c r="H4" s="36"/>
      <c r="I4" s="82">
        <v>2</v>
      </c>
      <c r="J4" s="352"/>
      <c r="K4" s="88" t="s">
        <v>19</v>
      </c>
      <c r="L4" s="366">
        <f>676.624</f>
        <v>676.62400000000002</v>
      </c>
      <c r="M4" s="367"/>
      <c r="N4" s="355"/>
      <c r="Q4" s="82">
        <v>2</v>
      </c>
      <c r="R4" s="352"/>
      <c r="S4" s="358"/>
      <c r="T4" s="427"/>
      <c r="U4" s="428"/>
      <c r="V4" s="355"/>
      <c r="X4" s="82">
        <v>2</v>
      </c>
      <c r="Y4" s="352"/>
      <c r="Z4" s="358"/>
      <c r="AA4" s="427"/>
      <c r="AB4" s="428"/>
      <c r="AC4" s="355"/>
    </row>
    <row r="5" spans="1:31" x14ac:dyDescent="0.45">
      <c r="A5" s="82">
        <v>3</v>
      </c>
      <c r="B5" s="87" t="s">
        <v>26</v>
      </c>
      <c r="C5" s="88" t="s">
        <v>19</v>
      </c>
      <c r="D5" s="366">
        <v>295.15199999999999</v>
      </c>
      <c r="E5" s="367"/>
      <c r="F5" s="89">
        <f>35252578.16-G5</f>
        <v>12410042.859999996</v>
      </c>
      <c r="G5" s="36">
        <v>22842535.300000001</v>
      </c>
      <c r="H5" s="36"/>
      <c r="I5" s="82">
        <v>3</v>
      </c>
      <c r="J5" s="352"/>
      <c r="K5" s="88" t="s">
        <v>19</v>
      </c>
      <c r="L5" s="366">
        <v>295.15199999999999</v>
      </c>
      <c r="M5" s="367"/>
      <c r="N5" s="355"/>
      <c r="Q5" s="82">
        <v>3</v>
      </c>
      <c r="R5" s="352"/>
      <c r="S5" s="358"/>
      <c r="T5" s="427"/>
      <c r="U5" s="428"/>
      <c r="V5" s="355"/>
      <c r="X5" s="82">
        <v>3</v>
      </c>
      <c r="Y5" s="352"/>
      <c r="Z5" s="358"/>
      <c r="AA5" s="427"/>
      <c r="AB5" s="428"/>
      <c r="AC5" s="355"/>
    </row>
    <row r="6" spans="1:31" ht="28.5" x14ac:dyDescent="0.45">
      <c r="A6" s="82">
        <v>4</v>
      </c>
      <c r="B6" s="87" t="s">
        <v>8</v>
      </c>
      <c r="C6" s="88" t="s">
        <v>19</v>
      </c>
      <c r="D6" s="366">
        <v>284.85599999999999</v>
      </c>
      <c r="E6" s="367"/>
      <c r="F6" s="89">
        <f>54348406.96-G6</f>
        <v>29847559.98</v>
      </c>
      <c r="G6" s="36">
        <v>24500846.98</v>
      </c>
      <c r="H6" s="36"/>
      <c r="I6" s="82">
        <v>4</v>
      </c>
      <c r="J6" s="352"/>
      <c r="K6" s="88" t="s">
        <v>19</v>
      </c>
      <c r="L6" s="366">
        <v>284.85599999999999</v>
      </c>
      <c r="M6" s="367"/>
      <c r="N6" s="355"/>
      <c r="Q6" s="82">
        <v>4</v>
      </c>
      <c r="R6" s="352"/>
      <c r="S6" s="358"/>
      <c r="T6" s="427"/>
      <c r="U6" s="428"/>
      <c r="V6" s="355"/>
      <c r="X6" s="82">
        <v>4</v>
      </c>
      <c r="Y6" s="352"/>
      <c r="Z6" s="358"/>
      <c r="AA6" s="427"/>
      <c r="AB6" s="428"/>
      <c r="AC6" s="355"/>
    </row>
    <row r="7" spans="1:31" x14ac:dyDescent="0.45">
      <c r="A7" s="82">
        <v>5</v>
      </c>
      <c r="B7" s="87" t="s">
        <v>1</v>
      </c>
      <c r="C7" s="88" t="s">
        <v>19</v>
      </c>
      <c r="D7" s="366">
        <v>103.27200000000001</v>
      </c>
      <c r="E7" s="367"/>
      <c r="F7" s="89">
        <f>14658524.85-G7</f>
        <v>6218924.8699999992</v>
      </c>
      <c r="G7" s="36">
        <v>8439599.9800000004</v>
      </c>
      <c r="H7" s="36"/>
      <c r="I7" s="82">
        <v>5</v>
      </c>
      <c r="J7" s="352"/>
      <c r="K7" s="88" t="s">
        <v>19</v>
      </c>
      <c r="L7" s="366">
        <v>103.27200000000001</v>
      </c>
      <c r="M7" s="367"/>
      <c r="N7" s="355"/>
      <c r="Q7" s="82">
        <v>5</v>
      </c>
      <c r="R7" s="352"/>
      <c r="S7" s="358"/>
      <c r="T7" s="427"/>
      <c r="U7" s="428"/>
      <c r="V7" s="355"/>
      <c r="X7" s="82">
        <v>5</v>
      </c>
      <c r="Y7" s="352"/>
      <c r="Z7" s="358"/>
      <c r="AA7" s="427"/>
      <c r="AB7" s="428"/>
      <c r="AC7" s="355"/>
    </row>
    <row r="8" spans="1:31" x14ac:dyDescent="0.45">
      <c r="A8" s="82">
        <v>6</v>
      </c>
      <c r="B8" s="87" t="s">
        <v>2</v>
      </c>
      <c r="C8" s="88" t="s">
        <v>19</v>
      </c>
      <c r="D8" s="366">
        <v>66.872</v>
      </c>
      <c r="E8" s="367"/>
      <c r="F8" s="89">
        <f>9352168.79-G8</f>
        <v>4525782.0099999988</v>
      </c>
      <c r="G8" s="36">
        <v>4826386.78</v>
      </c>
      <c r="H8" s="36"/>
      <c r="I8" s="82">
        <v>6</v>
      </c>
      <c r="J8" s="352"/>
      <c r="K8" s="88" t="s">
        <v>19</v>
      </c>
      <c r="L8" s="366">
        <v>66.872</v>
      </c>
      <c r="M8" s="367"/>
      <c r="N8" s="355"/>
      <c r="Q8" s="82">
        <v>6</v>
      </c>
      <c r="R8" s="352"/>
      <c r="S8" s="358"/>
      <c r="T8" s="427"/>
      <c r="U8" s="428"/>
      <c r="V8" s="355"/>
      <c r="X8" s="82">
        <v>6</v>
      </c>
      <c r="Y8" s="352"/>
      <c r="Z8" s="358"/>
      <c r="AA8" s="427"/>
      <c r="AB8" s="428"/>
      <c r="AC8" s="355"/>
    </row>
    <row r="9" spans="1:31" x14ac:dyDescent="0.45">
      <c r="A9" s="82">
        <v>7</v>
      </c>
      <c r="B9" s="87" t="s">
        <v>3</v>
      </c>
      <c r="C9" s="88" t="s">
        <v>19</v>
      </c>
      <c r="D9" s="366">
        <v>233.27199999999999</v>
      </c>
      <c r="E9" s="367"/>
      <c r="F9" s="89">
        <f>34523672.98-G9</f>
        <v>17401032.069999997</v>
      </c>
      <c r="G9" s="36">
        <v>17122640.91</v>
      </c>
      <c r="H9" s="36"/>
      <c r="I9" s="82">
        <v>7</v>
      </c>
      <c r="J9" s="352"/>
      <c r="K9" s="88" t="s">
        <v>19</v>
      </c>
      <c r="L9" s="366">
        <v>233.27199999999999</v>
      </c>
      <c r="M9" s="367"/>
      <c r="N9" s="355"/>
      <c r="Q9" s="82">
        <v>7</v>
      </c>
      <c r="R9" s="352"/>
      <c r="S9" s="358"/>
      <c r="T9" s="427"/>
      <c r="U9" s="428"/>
      <c r="V9" s="355"/>
      <c r="X9" s="82">
        <v>7</v>
      </c>
      <c r="Y9" s="352"/>
      <c r="Z9" s="358"/>
      <c r="AA9" s="427"/>
      <c r="AB9" s="428"/>
      <c r="AC9" s="355"/>
    </row>
    <row r="10" spans="1:31" ht="14.65" thickBot="1" x14ac:dyDescent="0.5">
      <c r="A10" s="83">
        <v>8</v>
      </c>
      <c r="B10" s="90" t="s">
        <v>4</v>
      </c>
      <c r="C10" s="91" t="s">
        <v>19</v>
      </c>
      <c r="D10" s="368">
        <v>4.3680000000000003</v>
      </c>
      <c r="E10" s="369"/>
      <c r="F10" s="92">
        <f>1043243.99-G10</f>
        <v>714028.58000000007</v>
      </c>
      <c r="G10" s="36">
        <v>329215.40999999997</v>
      </c>
      <c r="H10" s="36"/>
      <c r="I10" s="83">
        <v>8</v>
      </c>
      <c r="J10" s="353"/>
      <c r="K10" s="91" t="s">
        <v>19</v>
      </c>
      <c r="L10" s="368">
        <v>4.3680000000000003</v>
      </c>
      <c r="M10" s="369"/>
      <c r="N10" s="356"/>
      <c r="Q10" s="83">
        <v>8</v>
      </c>
      <c r="R10" s="353"/>
      <c r="S10" s="359"/>
      <c r="T10" s="429"/>
      <c r="U10" s="430"/>
      <c r="V10" s="356"/>
      <c r="X10" s="83">
        <v>8</v>
      </c>
      <c r="Y10" s="353"/>
      <c r="Z10" s="359"/>
      <c r="AA10" s="429"/>
      <c r="AB10" s="430"/>
      <c r="AC10" s="356"/>
    </row>
    <row r="11" spans="1:31" ht="2.25" customHeight="1" thickTop="1" x14ac:dyDescent="0.4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45">
      <c r="A12" s="53">
        <v>9</v>
      </c>
      <c r="B12" s="50" t="s">
        <v>27</v>
      </c>
      <c r="C12" s="42" t="s">
        <v>29</v>
      </c>
      <c r="D12" s="370" t="s">
        <v>31</v>
      </c>
      <c r="E12" s="37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70" t="s">
        <v>31</v>
      </c>
      <c r="M12" s="37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70" t="s">
        <v>31</v>
      </c>
      <c r="U12" s="371"/>
      <c r="V12" s="43">
        <v>3807347.4499999997</v>
      </c>
      <c r="X12" s="53">
        <v>9</v>
      </c>
      <c r="Y12" s="50" t="s">
        <v>27</v>
      </c>
      <c r="Z12" s="42" t="s">
        <v>29</v>
      </c>
      <c r="AA12" s="370" t="s">
        <v>31</v>
      </c>
      <c r="AB12" s="371"/>
      <c r="AC12" s="43">
        <v>3807347.4499999997</v>
      </c>
    </row>
    <row r="13" spans="1:31" x14ac:dyDescent="0.45">
      <c r="A13" s="52">
        <v>10</v>
      </c>
      <c r="B13" s="51" t="s">
        <v>28</v>
      </c>
      <c r="C13" s="40" t="s">
        <v>29</v>
      </c>
      <c r="D13" s="372" t="s">
        <v>30</v>
      </c>
      <c r="E13" s="37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72" t="s">
        <v>30</v>
      </c>
      <c r="M13" s="37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72" t="s">
        <v>30</v>
      </c>
      <c r="U13" s="373"/>
      <c r="V13" s="29">
        <v>14168223.84</v>
      </c>
      <c r="X13" s="52">
        <v>10</v>
      </c>
      <c r="Y13" s="51" t="s">
        <v>28</v>
      </c>
      <c r="Z13" s="40" t="s">
        <v>29</v>
      </c>
      <c r="AA13" s="372" t="s">
        <v>30</v>
      </c>
      <c r="AB13" s="373"/>
      <c r="AC13" s="29">
        <v>14168223.84</v>
      </c>
    </row>
    <row r="14" spans="1:31" ht="14.65" thickBot="1" x14ac:dyDescent="0.5">
      <c r="A14" s="70">
        <v>11</v>
      </c>
      <c r="B14" s="71" t="s">
        <v>17</v>
      </c>
      <c r="C14" s="72" t="s">
        <v>20</v>
      </c>
      <c r="D14" s="374">
        <f>47.6596*100</f>
        <v>4765.96</v>
      </c>
      <c r="E14" s="37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74">
        <f>47.6596*100</f>
        <v>4765.96</v>
      </c>
      <c r="M14" s="375"/>
      <c r="N14" s="73">
        <v>1105733.3899999999</v>
      </c>
      <c r="Q14" s="70">
        <v>11</v>
      </c>
      <c r="R14" s="71" t="s">
        <v>17</v>
      </c>
      <c r="S14" s="72" t="s">
        <v>20</v>
      </c>
      <c r="T14" s="374">
        <f>47.6596*100</f>
        <v>4765.96</v>
      </c>
      <c r="U14" s="375"/>
      <c r="V14" s="73">
        <v>1105733.3899999999</v>
      </c>
      <c r="X14" s="70">
        <v>11</v>
      </c>
      <c r="Y14" s="71" t="s">
        <v>17</v>
      </c>
      <c r="Z14" s="72" t="s">
        <v>20</v>
      </c>
      <c r="AA14" s="374">
        <f>47.6596*100</f>
        <v>4765.96</v>
      </c>
      <c r="AB14" s="375"/>
      <c r="AC14" s="73">
        <v>1105733.3899999999</v>
      </c>
    </row>
    <row r="15" spans="1:31" ht="6" customHeight="1" thickBot="1" x14ac:dyDescent="0.5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5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5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5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14.65" thickBot="1" x14ac:dyDescent="0.5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28.9" thickBot="1" x14ac:dyDescent="0.5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0.4" thickBot="1" x14ac:dyDescent="0.5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5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5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5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45">
      <c r="C25"/>
      <c r="G25" s="39"/>
      <c r="H25" s="39"/>
      <c r="K25"/>
      <c r="S25"/>
      <c r="Z25"/>
    </row>
    <row r="26" spans="1:31" ht="35.25" customHeight="1" x14ac:dyDescent="0.45">
      <c r="B26" s="424" t="s">
        <v>53</v>
      </c>
      <c r="C26" s="424"/>
      <c r="D26" s="424"/>
      <c r="E26" s="79"/>
      <c r="F26" s="93">
        <v>75700.428816399144</v>
      </c>
      <c r="G26" s="39"/>
      <c r="H26" s="39"/>
      <c r="J26" s="424" t="s">
        <v>53</v>
      </c>
      <c r="K26" s="424"/>
      <c r="L26" s="424"/>
      <c r="M26" s="79"/>
      <c r="N26" s="93">
        <f>164516389.54/L16</f>
        <v>79169.629195812944</v>
      </c>
      <c r="R26" s="424" t="s">
        <v>53</v>
      </c>
      <c r="S26" s="424"/>
      <c r="T26" s="424"/>
      <c r="U26" s="79"/>
      <c r="V26" s="93">
        <f>V3*W21*1.2/T16</f>
        <v>79547.562427080207</v>
      </c>
      <c r="Y26" s="424" t="s">
        <v>53</v>
      </c>
      <c r="Z26" s="424"/>
      <c r="AA26" s="424"/>
      <c r="AB26" s="79"/>
      <c r="AC26" s="93">
        <f>AC3*AD21*1.2/AA16</f>
        <v>79183.350751794234</v>
      </c>
    </row>
    <row r="27" spans="1:31" ht="30.75" customHeight="1" x14ac:dyDescent="0.45">
      <c r="B27" s="424" t="s">
        <v>54</v>
      </c>
      <c r="C27" s="424"/>
      <c r="D27" s="424"/>
      <c r="E27" s="79"/>
      <c r="F27" s="93">
        <v>89541.292052319011</v>
      </c>
      <c r="G27" s="39"/>
      <c r="H27" s="39"/>
      <c r="J27" s="424" t="s">
        <v>54</v>
      </c>
      <c r="K27" s="424"/>
      <c r="L27" s="424"/>
      <c r="M27" s="79"/>
      <c r="N27" s="93">
        <f>185090075.82/L16</f>
        <v>89070.230093588907</v>
      </c>
      <c r="R27" s="424" t="s">
        <v>54</v>
      </c>
      <c r="S27" s="424"/>
      <c r="T27" s="424"/>
      <c r="U27" s="79"/>
      <c r="V27" s="93">
        <f>V18*W21*1.2/T16</f>
        <v>95763.014005272547</v>
      </c>
      <c r="Y27" s="424" t="s">
        <v>54</v>
      </c>
      <c r="Z27" s="424"/>
      <c r="AA27" s="424"/>
      <c r="AB27" s="79"/>
      <c r="AC27" s="93">
        <f>AC18*AD21*1.2/AA16</f>
        <v>91876.162842837439</v>
      </c>
    </row>
    <row r="28" spans="1:31" ht="37.5" customHeight="1" x14ac:dyDescent="0.45">
      <c r="B28" s="424" t="s">
        <v>55</v>
      </c>
      <c r="C28" s="424"/>
      <c r="D28" s="424"/>
      <c r="E28" s="79"/>
      <c r="F28" s="93">
        <f>F24/D16</f>
        <v>92227.530813888574</v>
      </c>
      <c r="G28" s="39"/>
      <c r="H28" s="39"/>
      <c r="J28" s="424" t="s">
        <v>55</v>
      </c>
      <c r="K28" s="424"/>
      <c r="L28" s="424"/>
      <c r="M28" s="79"/>
      <c r="N28" s="93">
        <f>N24/L16</f>
        <v>92227.530814851038</v>
      </c>
      <c r="R28" s="424" t="s">
        <v>55</v>
      </c>
      <c r="S28" s="424"/>
      <c r="T28" s="424"/>
      <c r="U28" s="79"/>
      <c r="V28" s="93">
        <f>V24/T16</f>
        <v>98635.904425430737</v>
      </c>
      <c r="Y28" s="424" t="s">
        <v>55</v>
      </c>
      <c r="Z28" s="424"/>
      <c r="AA28" s="424"/>
      <c r="AB28" s="79"/>
      <c r="AC28" s="93">
        <f>AC24/AA16</f>
        <v>94632.447728122585</v>
      </c>
    </row>
    <row r="29" spans="1:31" ht="50.25" customHeight="1" thickBot="1" x14ac:dyDescent="0.5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5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45">
      <c r="B32" s="424" t="s">
        <v>55</v>
      </c>
      <c r="C32" s="424"/>
      <c r="D32" s="424"/>
      <c r="E32" s="79"/>
      <c r="F32" s="93" t="e">
        <f>F28/D20</f>
        <v>#DIV/0!</v>
      </c>
      <c r="G32" s="39"/>
      <c r="H32" s="39"/>
      <c r="J32" s="424" t="s">
        <v>55</v>
      </c>
      <c r="K32" s="424"/>
      <c r="L32" s="424"/>
      <c r="M32" s="79"/>
      <c r="N32" s="93" t="e">
        <f>N28/L20</f>
        <v>#DIV/0!</v>
      </c>
      <c r="R32" s="424" t="s">
        <v>55</v>
      </c>
      <c r="S32" s="424"/>
      <c r="T32" s="424"/>
      <c r="U32" s="79"/>
      <c r="V32" s="93">
        <f>V30/T16</f>
        <v>105604.92047173338</v>
      </c>
      <c r="Y32" s="424" t="s">
        <v>55</v>
      </c>
      <c r="Z32" s="424"/>
      <c r="AA32" s="424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!расчет по разделам (3)</vt:lpstr>
      <vt:lpstr>свод-компенс без НДС </vt:lpstr>
      <vt:lpstr>коммерческий расчёт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Ivanov Andrey</cp:lastModifiedBy>
  <cp:lastPrinted>2025-10-28T08:25:08Z</cp:lastPrinted>
  <dcterms:created xsi:type="dcterms:W3CDTF">2025-10-05T16:42:12Z</dcterms:created>
  <dcterms:modified xsi:type="dcterms:W3CDTF">2025-10-30T09:48:14Z</dcterms:modified>
</cp:coreProperties>
</file>