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КОНКУРСЫ!!!\Большой КМ\"/>
    </mc:Choice>
  </mc:AlternateContent>
  <xr:revisionPtr revIDLastSave="0" documentId="8_{30191C6F-A2B6-47F2-93FF-DE0094FE423C}" xr6:coauthVersionLast="47" xr6:coauthVersionMax="47" xr10:uidLastSave="{00000000-0000-0000-0000-000000000000}"/>
  <bookViews>
    <workbookView xWindow="-98" yWindow="-98" windowWidth="21795" windowHeight="13875" xr2:uid="{84437996-2BCC-47AB-8EFE-B1EA18FB2FD9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52" i="1" l="1"/>
  <c r="P52" i="1"/>
  <c r="O52" i="1"/>
  <c r="N52" i="1"/>
  <c r="H52" i="1"/>
  <c r="A52" i="1"/>
  <c r="B52" i="1" s="1"/>
  <c r="AA51" i="1"/>
  <c r="P51" i="1"/>
  <c r="O51" i="1"/>
  <c r="N51" i="1"/>
  <c r="I51" i="1"/>
  <c r="H51" i="1"/>
  <c r="A51" i="1"/>
  <c r="B51" i="1" s="1"/>
  <c r="AA50" i="1"/>
  <c r="P50" i="1"/>
  <c r="O50" i="1"/>
  <c r="N50" i="1"/>
  <c r="I50" i="1"/>
  <c r="H50" i="1"/>
  <c r="B50" i="1"/>
  <c r="F50" i="1" s="1"/>
  <c r="A50" i="1"/>
  <c r="AA49" i="1"/>
  <c r="P49" i="1"/>
  <c r="O49" i="1"/>
  <c r="N49" i="1"/>
  <c r="H49" i="1"/>
  <c r="A49" i="1"/>
  <c r="B49" i="1" s="1"/>
  <c r="AA48" i="1"/>
  <c r="P48" i="1"/>
  <c r="O48" i="1"/>
  <c r="N48" i="1"/>
  <c r="I48" i="1"/>
  <c r="H48" i="1"/>
  <c r="A48" i="1"/>
  <c r="B48" i="1" s="1"/>
  <c r="AB47" i="1"/>
  <c r="AA47" i="1"/>
  <c r="P47" i="1"/>
  <c r="O47" i="1"/>
  <c r="N47" i="1"/>
  <c r="I47" i="1"/>
  <c r="H47" i="1"/>
  <c r="A47" i="1"/>
  <c r="B47" i="1" s="1"/>
  <c r="AA46" i="1"/>
  <c r="P46" i="1"/>
  <c r="O46" i="1"/>
  <c r="N46" i="1"/>
  <c r="I46" i="1"/>
  <c r="H46" i="1"/>
  <c r="A46" i="1"/>
  <c r="B46" i="1" s="1"/>
  <c r="C46" i="1" s="1"/>
  <c r="AA45" i="1"/>
  <c r="P45" i="1"/>
  <c r="O45" i="1"/>
  <c r="N45" i="1"/>
  <c r="J45" i="1"/>
  <c r="H45" i="1"/>
  <c r="A45" i="1"/>
  <c r="B45" i="1" s="1"/>
  <c r="E45" i="1" s="1"/>
  <c r="AA44" i="1"/>
  <c r="P44" i="1"/>
  <c r="O44" i="1"/>
  <c r="N44" i="1"/>
  <c r="H44" i="1"/>
  <c r="A44" i="1"/>
  <c r="B44" i="1" s="1"/>
  <c r="AA43" i="1"/>
  <c r="P43" i="1"/>
  <c r="O43" i="1"/>
  <c r="N43" i="1"/>
  <c r="H43" i="1"/>
  <c r="A43" i="1"/>
  <c r="B43" i="1" s="1"/>
  <c r="AB42" i="1"/>
  <c r="AA42" i="1"/>
  <c r="P42" i="1"/>
  <c r="O42" i="1"/>
  <c r="N42" i="1"/>
  <c r="I42" i="1"/>
  <c r="H42" i="1"/>
  <c r="A42" i="1"/>
  <c r="B42" i="1" s="1"/>
  <c r="G42" i="1" s="1"/>
  <c r="AA41" i="1"/>
  <c r="P41" i="1"/>
  <c r="O41" i="1"/>
  <c r="N41" i="1"/>
  <c r="H41" i="1"/>
  <c r="A41" i="1"/>
  <c r="B41" i="1" s="1"/>
  <c r="AA40" i="1"/>
  <c r="P40" i="1"/>
  <c r="O40" i="1"/>
  <c r="N40" i="1"/>
  <c r="H40" i="1"/>
  <c r="A40" i="1"/>
  <c r="B40" i="1" s="1"/>
  <c r="AA39" i="1"/>
  <c r="P39" i="1"/>
  <c r="O39" i="1"/>
  <c r="N39" i="1"/>
  <c r="I39" i="1"/>
  <c r="H39" i="1"/>
  <c r="A39" i="1"/>
  <c r="B39" i="1" s="1"/>
  <c r="AA38" i="1"/>
  <c r="P38" i="1"/>
  <c r="O38" i="1"/>
  <c r="N38" i="1"/>
  <c r="H38" i="1"/>
  <c r="A38" i="1"/>
  <c r="B38" i="1" s="1"/>
  <c r="AA37" i="1"/>
  <c r="P37" i="1"/>
  <c r="O37" i="1"/>
  <c r="N37" i="1"/>
  <c r="I37" i="1"/>
  <c r="H37" i="1"/>
  <c r="A37" i="1"/>
  <c r="B37" i="1" s="1"/>
  <c r="AA36" i="1"/>
  <c r="P36" i="1"/>
  <c r="O36" i="1"/>
  <c r="N36" i="1"/>
  <c r="I36" i="1"/>
  <c r="H36" i="1"/>
  <c r="A36" i="1"/>
  <c r="B36" i="1" s="1"/>
  <c r="G36" i="1" s="1"/>
  <c r="AA35" i="1"/>
  <c r="P35" i="1"/>
  <c r="O35" i="1"/>
  <c r="N35" i="1"/>
  <c r="H35" i="1"/>
  <c r="A35" i="1"/>
  <c r="B35" i="1" s="1"/>
  <c r="AA34" i="1"/>
  <c r="P34" i="1"/>
  <c r="O34" i="1"/>
  <c r="N34" i="1"/>
  <c r="I34" i="1"/>
  <c r="H34" i="1"/>
  <c r="A34" i="1"/>
  <c r="B34" i="1" s="1"/>
  <c r="AA33" i="1"/>
  <c r="P33" i="1"/>
  <c r="O33" i="1"/>
  <c r="N33" i="1"/>
  <c r="I33" i="1"/>
  <c r="H33" i="1"/>
  <c r="A33" i="1"/>
  <c r="B33" i="1" s="1"/>
  <c r="AB32" i="1"/>
  <c r="AA32" i="1"/>
  <c r="P32" i="1"/>
  <c r="O32" i="1"/>
  <c r="N32" i="1"/>
  <c r="H32" i="1"/>
  <c r="A32" i="1"/>
  <c r="B32" i="1" s="1"/>
  <c r="B28" i="1"/>
  <c r="AB39" i="1" s="1"/>
  <c r="B17" i="1"/>
  <c r="I45" i="1" s="1"/>
  <c r="B14" i="1"/>
  <c r="B18" i="1" s="1"/>
  <c r="J50" i="1" s="1"/>
  <c r="G39" i="1" l="1"/>
  <c r="C39" i="1"/>
  <c r="I40" i="1"/>
  <c r="I43" i="1"/>
  <c r="I49" i="1"/>
  <c r="J49" i="1"/>
  <c r="G50" i="1"/>
  <c r="I52" i="1"/>
  <c r="I32" i="1"/>
  <c r="I35" i="1"/>
  <c r="I38" i="1"/>
  <c r="AB43" i="1"/>
  <c r="J35" i="1"/>
  <c r="AB46" i="1"/>
  <c r="I41" i="1"/>
  <c r="I44" i="1"/>
  <c r="G43" i="1"/>
  <c r="F43" i="1"/>
  <c r="E43" i="1"/>
  <c r="D43" i="1"/>
  <c r="C43" i="1"/>
  <c r="F44" i="1"/>
  <c r="E44" i="1"/>
  <c r="G44" i="1"/>
  <c r="D44" i="1"/>
  <c r="C44" i="1"/>
  <c r="G49" i="1"/>
  <c r="F49" i="1"/>
  <c r="E49" i="1"/>
  <c r="D49" i="1"/>
  <c r="G47" i="1"/>
  <c r="D47" i="1"/>
  <c r="C47" i="1"/>
  <c r="F47" i="1"/>
  <c r="E47" i="1"/>
  <c r="C35" i="1"/>
  <c r="D35" i="1"/>
  <c r="E35" i="1"/>
  <c r="D39" i="1"/>
  <c r="F33" i="1"/>
  <c r="E33" i="1"/>
  <c r="D33" i="1"/>
  <c r="G33" i="1"/>
  <c r="C33" i="1"/>
  <c r="F35" i="1"/>
  <c r="E39" i="1"/>
  <c r="G35" i="1"/>
  <c r="F39" i="1"/>
  <c r="F51" i="1"/>
  <c r="G51" i="1"/>
  <c r="E51" i="1"/>
  <c r="D51" i="1"/>
  <c r="C51" i="1"/>
  <c r="G32" i="1"/>
  <c r="F32" i="1"/>
  <c r="E32" i="1"/>
  <c r="C32" i="1"/>
  <c r="D32" i="1"/>
  <c r="G40" i="1"/>
  <c r="F40" i="1"/>
  <c r="C40" i="1"/>
  <c r="D34" i="1"/>
  <c r="C34" i="1"/>
  <c r="G34" i="1"/>
  <c r="F34" i="1"/>
  <c r="E40" i="1"/>
  <c r="E34" i="1"/>
  <c r="C49" i="1"/>
  <c r="J44" i="1"/>
  <c r="J33" i="1"/>
  <c r="J47" i="1"/>
  <c r="J36" i="1"/>
  <c r="J43" i="1"/>
  <c r="J32" i="1"/>
  <c r="J51" i="1"/>
  <c r="J40" i="1"/>
  <c r="J52" i="1"/>
  <c r="J41" i="1"/>
  <c r="J48" i="1"/>
  <c r="J37" i="1"/>
  <c r="B19" i="1"/>
  <c r="B20" i="1" s="1"/>
  <c r="J46" i="1"/>
  <c r="J42" i="1"/>
  <c r="J38" i="1"/>
  <c r="J34" i="1"/>
  <c r="J39" i="1"/>
  <c r="F36" i="1"/>
  <c r="D36" i="1"/>
  <c r="C36" i="1"/>
  <c r="E36" i="1"/>
  <c r="D40" i="1"/>
  <c r="AB50" i="1"/>
  <c r="AB36" i="1"/>
  <c r="D46" i="1"/>
  <c r="C50" i="1"/>
  <c r="F41" i="1"/>
  <c r="E41" i="1"/>
  <c r="D41" i="1"/>
  <c r="C41" i="1"/>
  <c r="E50" i="1"/>
  <c r="G38" i="1"/>
  <c r="F38" i="1"/>
  <c r="E38" i="1"/>
  <c r="D38" i="1"/>
  <c r="C38" i="1"/>
  <c r="G48" i="1"/>
  <c r="D48" i="1"/>
  <c r="C48" i="1"/>
  <c r="F48" i="1"/>
  <c r="E48" i="1"/>
  <c r="AB52" i="1"/>
  <c r="AB41" i="1"/>
  <c r="AB44" i="1"/>
  <c r="AB51" i="1"/>
  <c r="AB40" i="1"/>
  <c r="AB48" i="1"/>
  <c r="AB37" i="1"/>
  <c r="AB33" i="1"/>
  <c r="AB49" i="1"/>
  <c r="AB38" i="1"/>
  <c r="AB45" i="1"/>
  <c r="AB34" i="1"/>
  <c r="F52" i="1"/>
  <c r="E52" i="1"/>
  <c r="D52" i="1"/>
  <c r="C52" i="1"/>
  <c r="G52" i="1"/>
  <c r="E42" i="1"/>
  <c r="D42" i="1"/>
  <c r="C42" i="1"/>
  <c r="F42" i="1"/>
  <c r="AB35" i="1"/>
  <c r="D37" i="1"/>
  <c r="G37" i="1"/>
  <c r="C37" i="1"/>
  <c r="F37" i="1"/>
  <c r="E37" i="1"/>
  <c r="E46" i="1"/>
  <c r="F46" i="1"/>
  <c r="G46" i="1"/>
  <c r="D50" i="1"/>
  <c r="G41" i="1"/>
  <c r="D45" i="1"/>
  <c r="C45" i="1"/>
  <c r="G45" i="1"/>
  <c r="F45" i="1"/>
  <c r="K51" i="1" l="1"/>
  <c r="K40" i="1"/>
  <c r="G17" i="1"/>
  <c r="K43" i="1"/>
  <c r="L43" i="1" s="1"/>
  <c r="K47" i="1"/>
  <c r="L47" i="1" s="1"/>
  <c r="K36" i="1"/>
  <c r="L36" i="1" s="1"/>
  <c r="G16" i="1"/>
  <c r="K32" i="1"/>
  <c r="K52" i="1"/>
  <c r="L52" i="1" s="1"/>
  <c r="K41" i="1"/>
  <c r="L41" i="1" s="1"/>
  <c r="K48" i="1"/>
  <c r="L48" i="1" s="1"/>
  <c r="K37" i="1"/>
  <c r="L37" i="1" s="1"/>
  <c r="K46" i="1"/>
  <c r="L46" i="1" s="1"/>
  <c r="K42" i="1"/>
  <c r="L42" i="1" s="1"/>
  <c r="K33" i="1"/>
  <c r="L33" i="1" s="1"/>
  <c r="K38" i="1"/>
  <c r="L38" i="1" s="1"/>
  <c r="K34" i="1"/>
  <c r="L34" i="1" s="1"/>
  <c r="K39" i="1"/>
  <c r="L39" i="1" s="1"/>
  <c r="K44" i="1"/>
  <c r="L44" i="1" s="1"/>
  <c r="G18" i="1"/>
  <c r="K50" i="1"/>
  <c r="L50" i="1" s="1"/>
  <c r="K35" i="1"/>
  <c r="L35" i="1" s="1"/>
  <c r="K49" i="1"/>
  <c r="K45" i="1"/>
  <c r="L45" i="1" s="1"/>
  <c r="L32" i="1"/>
  <c r="L49" i="1"/>
  <c r="L51" i="1"/>
  <c r="L40" i="1"/>
  <c r="M44" i="1" l="1"/>
  <c r="Q44" i="1"/>
  <c r="M38" i="1"/>
  <c r="Q38" i="1"/>
  <c r="M37" i="1"/>
  <c r="Q37" i="1"/>
  <c r="M34" i="1"/>
  <c r="Q34" i="1"/>
  <c r="M33" i="1"/>
  <c r="Q33" i="1"/>
  <c r="M48" i="1"/>
  <c r="Q48" i="1"/>
  <c r="Q39" i="1"/>
  <c r="M39" i="1"/>
  <c r="Q46" i="1"/>
  <c r="M46" i="1"/>
  <c r="M36" i="1"/>
  <c r="Q36" i="1"/>
  <c r="M43" i="1"/>
  <c r="Q43" i="1"/>
  <c r="Q41" i="1"/>
  <c r="M41" i="1"/>
  <c r="Q50" i="1"/>
  <c r="M50" i="1"/>
  <c r="Q52" i="1"/>
  <c r="M52" i="1"/>
  <c r="Q35" i="1"/>
  <c r="M35" i="1"/>
  <c r="M47" i="1"/>
  <c r="Q47" i="1"/>
  <c r="Q49" i="1"/>
  <c r="M49" i="1"/>
  <c r="M32" i="1"/>
  <c r="Q32" i="1"/>
  <c r="Q40" i="1"/>
  <c r="M40" i="1"/>
  <c r="G19" i="1"/>
  <c r="Q42" i="1"/>
  <c r="M42" i="1"/>
  <c r="Q51" i="1"/>
  <c r="M51" i="1"/>
  <c r="Q45" i="1"/>
  <c r="M45" i="1"/>
  <c r="R42" i="1" l="1"/>
  <c r="S42" i="1"/>
  <c r="S36" i="1"/>
  <c r="R36" i="1"/>
  <c r="R51" i="1"/>
  <c r="S51" i="1"/>
  <c r="S41" i="1"/>
  <c r="R41" i="1"/>
  <c r="S32" i="1"/>
  <c r="R32" i="1"/>
  <c r="R39" i="1"/>
  <c r="S39" i="1"/>
  <c r="S46" i="1"/>
  <c r="R46" i="1"/>
  <c r="S45" i="1"/>
  <c r="R45" i="1"/>
  <c r="R40" i="1"/>
  <c r="S40" i="1"/>
  <c r="R48" i="1"/>
  <c r="S48" i="1"/>
  <c r="R49" i="1"/>
  <c r="S49" i="1"/>
  <c r="S33" i="1"/>
  <c r="R33" i="1"/>
  <c r="S43" i="1"/>
  <c r="R43" i="1"/>
  <c r="S47" i="1"/>
  <c r="R47" i="1"/>
  <c r="R34" i="1"/>
  <c r="S34" i="1"/>
  <c r="S37" i="1"/>
  <c r="R37" i="1"/>
  <c r="S35" i="1"/>
  <c r="R35" i="1"/>
  <c r="S38" i="1"/>
  <c r="R38" i="1"/>
  <c r="S52" i="1"/>
  <c r="R52" i="1"/>
  <c r="R44" i="1"/>
  <c r="S44" i="1"/>
  <c r="R50" i="1"/>
  <c r="S50" i="1"/>
  <c r="T48" i="1" l="1"/>
  <c r="Y48" i="1" s="1"/>
  <c r="U48" i="1"/>
  <c r="V48" i="1" s="1"/>
  <c r="W48" i="1" s="1"/>
  <c r="T46" i="1"/>
  <c r="U46" i="1"/>
  <c r="V46" i="1" s="1"/>
  <c r="W46" i="1" s="1"/>
  <c r="T35" i="1"/>
  <c r="Y35" i="1" s="1"/>
  <c r="U35" i="1"/>
  <c r="V35" i="1" s="1"/>
  <c r="W35" i="1" s="1"/>
  <c r="U39" i="1"/>
  <c r="V39" i="1" s="1"/>
  <c r="W39" i="1" s="1"/>
  <c r="T39" i="1"/>
  <c r="Y39" i="1" s="1"/>
  <c r="U44" i="1"/>
  <c r="V44" i="1"/>
  <c r="W44" i="1" s="1"/>
  <c r="T44" i="1"/>
  <c r="Y44" i="1" s="1"/>
  <c r="U52" i="1"/>
  <c r="V52" i="1" s="1"/>
  <c r="W52" i="1" s="1"/>
  <c r="T52" i="1"/>
  <c r="Y52" i="1" s="1"/>
  <c r="V45" i="1"/>
  <c r="W45" i="1" s="1"/>
  <c r="T45" i="1"/>
  <c r="Y45" i="1" s="1"/>
  <c r="U45" i="1"/>
  <c r="U38" i="1"/>
  <c r="V38" i="1" s="1"/>
  <c r="W38" i="1" s="1"/>
  <c r="T38" i="1"/>
  <c r="Y38" i="1" s="1"/>
  <c r="U50" i="1"/>
  <c r="V50" i="1" s="1"/>
  <c r="W50" i="1" s="1"/>
  <c r="T50" i="1"/>
  <c r="Y50" i="1" s="1"/>
  <c r="U32" i="1"/>
  <c r="V32" i="1" s="1"/>
  <c r="W32" i="1" s="1"/>
  <c r="T32" i="1"/>
  <c r="Y32" i="1" s="1"/>
  <c r="U40" i="1"/>
  <c r="V40" i="1" s="1"/>
  <c r="W40" i="1" s="1"/>
  <c r="T40" i="1"/>
  <c r="Y40" i="1" s="1"/>
  <c r="U37" i="1"/>
  <c r="V37" i="1"/>
  <c r="W37" i="1" s="1"/>
  <c r="T37" i="1"/>
  <c r="Y37" i="1" s="1"/>
  <c r="Y46" i="1"/>
  <c r="T34" i="1"/>
  <c r="Y34" i="1" s="1"/>
  <c r="U34" i="1"/>
  <c r="V34" i="1" s="1"/>
  <c r="W34" i="1" s="1"/>
  <c r="Y47" i="1"/>
  <c r="U41" i="1"/>
  <c r="V41" i="1" s="1"/>
  <c r="W41" i="1" s="1"/>
  <c r="T41" i="1"/>
  <c r="Y41" i="1" s="1"/>
  <c r="T47" i="1"/>
  <c r="U47" i="1"/>
  <c r="V47" i="1" s="1"/>
  <c r="W47" i="1" s="1"/>
  <c r="U51" i="1"/>
  <c r="V51" i="1"/>
  <c r="W51" i="1" s="1"/>
  <c r="T51" i="1"/>
  <c r="Y51" i="1"/>
  <c r="U43" i="1"/>
  <c r="T43" i="1"/>
  <c r="Y43" i="1" s="1"/>
  <c r="V43" i="1"/>
  <c r="W43" i="1" s="1"/>
  <c r="Y36" i="1"/>
  <c r="U36" i="1"/>
  <c r="V36" i="1" s="1"/>
  <c r="W36" i="1" s="1"/>
  <c r="T36" i="1"/>
  <c r="U33" i="1"/>
  <c r="V33" i="1"/>
  <c r="W33" i="1" s="1"/>
  <c r="T33" i="1"/>
  <c r="Y33" i="1" s="1"/>
  <c r="U42" i="1"/>
  <c r="V42" i="1" s="1"/>
  <c r="W42" i="1" s="1"/>
  <c r="T42" i="1"/>
  <c r="T49" i="1"/>
  <c r="Y49" i="1" s="1"/>
  <c r="U49" i="1"/>
  <c r="V49" i="1" s="1"/>
  <c r="W49" i="1" s="1"/>
  <c r="Y42" i="1"/>
  <c r="X41" i="1" l="1"/>
  <c r="Z41" i="1"/>
  <c r="X49" i="1"/>
  <c r="Z49" i="1"/>
  <c r="X52" i="1"/>
  <c r="Z52" i="1"/>
  <c r="Z50" i="1"/>
  <c r="X50" i="1"/>
  <c r="X47" i="1"/>
  <c r="Z47" i="1"/>
  <c r="X38" i="1"/>
  <c r="Z38" i="1"/>
  <c r="Z42" i="1"/>
  <c r="X42" i="1"/>
  <c r="Z39" i="1"/>
  <c r="X39" i="1"/>
  <c r="X35" i="1"/>
  <c r="Z35" i="1"/>
  <c r="X46" i="1"/>
  <c r="Z46" i="1"/>
  <c r="Z40" i="1"/>
  <c r="X40" i="1"/>
  <c r="Z48" i="1"/>
  <c r="X48" i="1"/>
  <c r="X32" i="1"/>
  <c r="Z32" i="1"/>
  <c r="Z44" i="1"/>
  <c r="X44" i="1"/>
  <c r="Z51" i="1"/>
  <c r="X51" i="1"/>
  <c r="Z33" i="1"/>
  <c r="X33" i="1"/>
  <c r="Z36" i="1"/>
  <c r="X36" i="1"/>
  <c r="Z34" i="1"/>
  <c r="X34" i="1"/>
  <c r="Z43" i="1"/>
  <c r="X43" i="1"/>
  <c r="Z45" i="1"/>
  <c r="X45" i="1"/>
  <c r="Z37" i="1"/>
  <c r="X37" i="1"/>
  <c r="G5" i="1" l="1"/>
  <c r="G20" i="1" l="1"/>
  <c r="G7" i="1"/>
  <c r="G12" i="1"/>
  <c r="G9" i="1"/>
  <c r="G6" i="1"/>
  <c r="G8" i="1"/>
  <c r="G11" i="1"/>
  <c r="G10" i="1"/>
  <c r="G15" i="1" l="1"/>
  <c r="G14" i="1"/>
  <c r="G13" i="1"/>
</calcChain>
</file>

<file path=xl/sharedStrings.xml><?xml version="1.0" encoding="utf-8"?>
<sst xmlns="http://schemas.openxmlformats.org/spreadsheetml/2006/main" count="138" uniqueCount="107">
  <si>
    <t>Модель переторжки 0,5%: стресс прямых затрат и ограничения EBITDA/EBT</t>
  </si>
  <si>
    <t>Методика: цена контракта с НДС и выручка без НДС снижаются на одинаковый процент. В себестоимости учтен стресс прямых затрат: +10% ФОТ производственного персонала и +10% аренда техники. Ограничения: чистая прибыль / выручка ≥ 10%; EBITDA / выручка и EBT / выручка ≥ 15% (=10% + 5 п.п. запас).</t>
  </si>
  <si>
    <t>Исходные показатели</t>
  </si>
  <si>
    <t>Значение</t>
  </si>
  <si>
    <t>Ед.</t>
  </si>
  <si>
    <t>Источник / комментарий</t>
  </si>
  <si>
    <t>Резюме для переторжки</t>
  </si>
  <si>
    <t>Комментарий</t>
  </si>
  <si>
    <t>Выручка без НДС</t>
  </si>
  <si>
    <t>тыс. руб.</t>
  </si>
  <si>
    <t>Исходная модель / вкладка «Переторжка_0.5»</t>
  </si>
  <si>
    <t>Максимальный безопасный шаг в сетке по всем ограничениям</t>
  </si>
  <si>
    <t>Статус OK: ЧП ≥10%, EBITDA ≥15%, EBT ≥15%</t>
  </si>
  <si>
    <t>Цена контракта с НДС</t>
  </si>
  <si>
    <t>Цена контракта с НДС на безопасном шаге</t>
  </si>
  <si>
    <t>По выбранному безопасному шагу</t>
  </si>
  <si>
    <t>Тоннаж общий</t>
  </si>
  <si>
    <t>т</t>
  </si>
  <si>
    <t>Исходная модель: лист «Приход денег»</t>
  </si>
  <si>
    <t>Экономия заказчика с НДС на безопасном шаге</t>
  </si>
  <si>
    <t>Относительно базовой цены</t>
  </si>
  <si>
    <t>Базовая цена за тонну с НДС</t>
  </si>
  <si>
    <t>руб./т</t>
  </si>
  <si>
    <t>Цена контракта с НДС / тоннаж</t>
  </si>
  <si>
    <t>Чистая прибыль на безопасном шаге</t>
  </si>
  <si>
    <t>После стресса прямых затрат</t>
  </si>
  <si>
    <t>Чистая маржа на безопасном шаге</t>
  </si>
  <si>
    <t>Должна быть ≥10%</t>
  </si>
  <si>
    <t>Базовая себестоимость без НДС</t>
  </si>
  <si>
    <t>EBITDA маржа на безопасном шаге</t>
  </si>
  <si>
    <t>Должна быть ≥15%</t>
  </si>
  <si>
    <t>Прямые затраты: ФОТ производственного персонала</t>
  </si>
  <si>
    <t>Лист «Себестоимость, опер. затраты», строка «ФОТ Производственный персонал», итого</t>
  </si>
  <si>
    <t>EBT маржа на безопасном шаге</t>
  </si>
  <si>
    <t>Прямые затраты: аренда техники с НДС</t>
  </si>
  <si>
    <t>Лист «Себестоимость, опер. затраты», строка «Аренда Техники», итого</t>
  </si>
  <si>
    <t>Следующий шаг в сетке</t>
  </si>
  <si>
    <t>Проверка ближайшего ухудшения</t>
  </si>
  <si>
    <t>Ставка НДС для аренды техники</t>
  </si>
  <si>
    <t>%</t>
  </si>
  <si>
    <t>По модели: цена с НДС / выручка без НДС</t>
  </si>
  <si>
    <t>Статус следующего шага</t>
  </si>
  <si>
    <t>OK / СТОП</t>
  </si>
  <si>
    <t>Аренда техники без НДС</t>
  </si>
  <si>
    <t>Аренда техники с НДС / (1 + НДС)</t>
  </si>
  <si>
    <t>Чистая маржа на следующем шаге</t>
  </si>
  <si>
    <t>Для контроля лимита 10%</t>
  </si>
  <si>
    <t>Риск роста ФОТ</t>
  </si>
  <si>
    <t>Новая вводная пользователя</t>
  </si>
  <si>
    <t>EBT маржа на следующем шаге</t>
  </si>
  <si>
    <t>Как правило, самый жесткий ограничитель</t>
  </si>
  <si>
    <t>Риск роста аренды техники</t>
  </si>
  <si>
    <t>Теоретический максимум по EBT ≥15%</t>
  </si>
  <si>
    <t>Между шагами 0,5%</t>
  </si>
  <si>
    <t>Доп. себестоимость: ФОТ</t>
  </si>
  <si>
    <t>ФОТ × 10%</t>
  </si>
  <si>
    <t>Теоретический максимум по EBITDA ≥15%</t>
  </si>
  <si>
    <t>Доп. себестоимость: аренда техники</t>
  </si>
  <si>
    <t>Аренда техники без НДС × 10%</t>
  </si>
  <si>
    <t>Теоретический максимум по ЧП ≥10%</t>
  </si>
  <si>
    <t>Итого доп. себестоимость</t>
  </si>
  <si>
    <t>Сумма стресс-увеличений</t>
  </si>
  <si>
    <t>Ограничивающий фактор</t>
  </si>
  <si>
    <t>Минимум из теоретических ограничений</t>
  </si>
  <si>
    <t>Себестоимость с учетом риска</t>
  </si>
  <si>
    <t>Базовая себестоимость + доп. себестоимость</t>
  </si>
  <si>
    <t>Вывод по переторжке</t>
  </si>
  <si>
    <t>OPEX</t>
  </si>
  <si>
    <t>Разовые затраты</t>
  </si>
  <si>
    <t>Банковские и финансовые услуги</t>
  </si>
  <si>
    <t>Эффективная ставка налога</t>
  </si>
  <si>
    <t>Расчет исходной модели: -налог / EBT</t>
  </si>
  <si>
    <t>Минимальная чистая маржа</t>
  </si>
  <si>
    <t>Ограничение пользователя</t>
  </si>
  <si>
    <t>Доп. запас к EBITDA/EBT</t>
  </si>
  <si>
    <t>Минимальная EBITDA/EBT маржа</t>
  </si>
  <si>
    <t>10% + 5 п.п.</t>
  </si>
  <si>
    <t>Шаг сценария</t>
  </si>
  <si>
    <t>Шаг переторжки: 0,5%</t>
  </si>
  <si>
    <t>Шаг №</t>
  </si>
  <si>
    <t>Снижение цены</t>
  </si>
  <si>
    <t>Экономия заказчика с НДС, тыс. руб.</t>
  </si>
  <si>
    <t>Снижение выручки без НДС, тыс. руб.</t>
  </si>
  <si>
    <t>Цена контракта с НДС, тыс. руб.</t>
  </si>
  <si>
    <t>Выручка без НДС, тыс. руб.</t>
  </si>
  <si>
    <t>Цена за тонну с НДС, руб./т.</t>
  </si>
  <si>
    <t>Базовая себестоимость, тыс. руб.</t>
  </si>
  <si>
    <t>Рост ФОТ +10%, тыс. руб.</t>
  </si>
  <si>
    <t>Рост аренды техники +10%, тыс. руб.</t>
  </si>
  <si>
    <t>Себестоимость с риском, тыс. руб.</t>
  </si>
  <si>
    <t>Валовая прибыль, тыс. руб.</t>
  </si>
  <si>
    <t>Валовая маржа</t>
  </si>
  <si>
    <t>OPEX, тыс. руб.</t>
  </si>
  <si>
    <t>Разовые затраты, тыс. руб.</t>
  </si>
  <si>
    <t>Банк/фин., тыс. руб.</t>
  </si>
  <si>
    <t>EBITDA, тыс. руб.</t>
  </si>
  <si>
    <t>EBITDA, %</t>
  </si>
  <si>
    <t>EBT, тыс. руб.</t>
  </si>
  <si>
    <t>EBT, %</t>
  </si>
  <si>
    <t>Налог, тыс. руб.</t>
  </si>
  <si>
    <t>Чистая прибыль, тыс. руб.</t>
  </si>
  <si>
    <t>Чистая маржа</t>
  </si>
  <si>
    <t>Запас к 10% ЧП, п.п.</t>
  </si>
  <si>
    <t>Запас к 15% EBITDA/EBT, п.п.</t>
  </si>
  <si>
    <t>Решение</t>
  </si>
  <si>
    <t>Лимит ЧП 10%</t>
  </si>
  <si>
    <t>Лимит EBITDA/EBT 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</si>
</sst>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[Red]\(#,##0.0\);\-"/>
    <numFmt numFmtId="165" formatCode="#,##0;[Red]\(#,##0\);\-"/>
    <numFmt numFmtId="166" formatCode="0.00;[Red]\(0.00\);\-"/>
  </numFmts>
  <fonts count="9" x14ac:knownFonts="1">
    <font>
      <sz val="11"/>
      <color theme="1"/>
      <name val="Aptos Narrow"/>
      <family val="2"/>
      <charset val="204"/>
      <scheme val="minor"/>
    </font>
    <font>
      <b/>
      <sz val="14"/>
      <color rgb="FFFFFFFF"/>
      <name val="Calibri"/>
      <family val="2"/>
      <charset val="204"/>
    </font>
    <font>
      <i/>
      <sz val="10"/>
      <color rgb="FF374151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0000FF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FF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3F4F6"/>
      </patternFill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wrapText="1"/>
    </xf>
    <xf numFmtId="0" fontId="3" fillId="4" borderId="0" xfId="0" applyFont="1" applyFill="1" applyAlignment="1">
      <alignment horizontal="center" vertical="center" wrapText="1"/>
    </xf>
    <xf numFmtId="164" fontId="4" fillId="0" borderId="0" xfId="0" applyNumberFormat="1" applyFont="1"/>
    <xf numFmtId="0" fontId="5" fillId="5" borderId="0" xfId="0" applyFont="1" applyFill="1"/>
    <xf numFmtId="10" fontId="6" fillId="5" borderId="0" xfId="0" applyNumberFormat="1" applyFont="1" applyFill="1"/>
    <xf numFmtId="164" fontId="7" fillId="0" borderId="0" xfId="0" applyNumberFormat="1" applyFont="1"/>
    <xf numFmtId="10" fontId="7" fillId="0" borderId="0" xfId="0" applyNumberFormat="1" applyFont="1"/>
    <xf numFmtId="10" fontId="4" fillId="0" borderId="0" xfId="0" applyNumberFormat="1" applyFont="1"/>
    <xf numFmtId="10" fontId="8" fillId="5" borderId="0" xfId="0" applyNumberFormat="1" applyFont="1" applyFill="1"/>
    <xf numFmtId="49" fontId="7" fillId="0" borderId="0" xfId="0" applyNumberFormat="1" applyFont="1"/>
    <xf numFmtId="0" fontId="3" fillId="6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10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7" fillId="6" borderId="0" xfId="0" applyFont="1" applyFill="1" applyAlignment="1">
      <alignment vertical="center"/>
    </xf>
    <xf numFmtId="10" fontId="7" fillId="6" borderId="0" xfId="0" applyNumberFormat="1" applyFont="1" applyFill="1" applyAlignment="1">
      <alignment vertical="center"/>
    </xf>
    <xf numFmtId="164" fontId="7" fillId="6" borderId="0" xfId="0" applyNumberFormat="1" applyFont="1" applyFill="1" applyAlignment="1">
      <alignment vertical="center"/>
    </xf>
    <xf numFmtId="165" fontId="7" fillId="6" borderId="0" xfId="0" applyNumberFormat="1" applyFont="1" applyFill="1" applyAlignment="1">
      <alignment vertical="center"/>
    </xf>
    <xf numFmtId="166" fontId="7" fillId="6" borderId="0" xfId="0" applyNumberFormat="1" applyFont="1" applyFill="1" applyAlignment="1">
      <alignment vertical="center"/>
    </xf>
    <xf numFmtId="0" fontId="0" fillId="6" borderId="0" xfId="0" applyFill="1"/>
  </cellXfs>
  <cellStyles count="1">
    <cellStyle name="Обычный" xfId="0" builtinId="0"/>
  </cellStyles>
  <dxfs count="6">
    <dxf>
      <font>
        <b/>
        <color rgb="FF9C0006"/>
      </font>
      <fill>
        <patternFill patternType="solid">
          <bgColor rgb="FFFCE4D6"/>
        </patternFill>
      </fill>
    </dxf>
    <dxf>
      <font>
        <b/>
        <color rgb="FF006100"/>
      </font>
      <fill>
        <patternFill patternType="solid">
          <bgColor rgb="FFE2F0D9"/>
        </patternFill>
      </fill>
    </dxf>
    <dxf>
      <font>
        <color rgb="FF9C0006"/>
      </font>
      <fill>
        <patternFill patternType="solid">
          <bgColor rgb="FFFCE4D6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CE4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1"/>
        <c:ser>
          <c:idx val="0"/>
          <c:order val="0"/>
          <c:tx>
            <c:v>EBITDA, %</c:v>
          </c:tx>
          <c:cat>
            <c:numRef>
              <c:f>[1]Переторжка_0.5_стресс!$B$32:$B$52</c:f>
              <c:numCache>
                <c:formatCode>0.00%</c:formatCode>
                <c:ptCount val="2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</c:numCache>
            </c:numRef>
          </c:cat>
          <c:val>
            <c:numRef>
              <c:f>[1]Переторжка_0.5_стресс!$R$32:$R$52</c:f>
              <c:numCache>
                <c:formatCode>0.00%</c:formatCode>
                <c:ptCount val="21"/>
                <c:pt idx="0">
                  <c:v>0.17301988515907529</c:v>
                </c:pt>
                <c:pt idx="1">
                  <c:v>0.1688642061900254</c:v>
                </c:pt>
                <c:pt idx="2">
                  <c:v>0.1646665506657326</c:v>
                </c:pt>
                <c:pt idx="3">
                  <c:v>0.16042627934931497</c:v>
                </c:pt>
                <c:pt idx="4">
                  <c:v>0.15614273995824005</c:v>
                </c:pt>
                <c:pt idx="5">
                  <c:v>0.15181526682982074</c:v>
                </c:pt>
                <c:pt idx="6">
                  <c:v>0.14744318057636632</c:v>
                </c:pt>
                <c:pt idx="7">
                  <c:v>0.14302578772961172</c:v>
                </c:pt>
                <c:pt idx="8">
                  <c:v>0.13856238037403679</c:v>
                </c:pt>
                <c:pt idx="9">
                  <c:v>0.13405223576866523</c:v>
                </c:pt>
                <c:pt idx="10">
                  <c:v>0.12949461595692136</c:v>
                </c:pt>
                <c:pt idx="11">
                  <c:v>0.1248887673641008</c:v>
                </c:pt>
                <c:pt idx="12">
                  <c:v>0.12023392038199494</c:v>
                </c:pt>
                <c:pt idx="13">
                  <c:v>0.11552928894018753</c:v>
                </c:pt>
                <c:pt idx="14">
                  <c:v>0.11077407006352175</c:v>
                </c:pt>
                <c:pt idx="15">
                  <c:v>0.10596744341521656</c:v>
                </c:pt>
                <c:pt idx="16">
                  <c:v>0.10110857082508186</c:v>
                </c:pt>
                <c:pt idx="17">
                  <c:v>9.6196595802268081E-2</c:v>
                </c:pt>
                <c:pt idx="18">
                  <c:v>9.1230643031950859E-2</c:v>
                </c:pt>
                <c:pt idx="19">
                  <c:v>8.6209817855331786E-2</c:v>
                </c:pt>
                <c:pt idx="20">
                  <c:v>8.1133205732305966E-2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D-4405-BE04-AB57E062F0FA}"/>
            </c:ext>
          </c:extLst>
        </c:ser>
        <c:ser>
          <c:idx val="1"/>
          <c:order val="1"/>
          <c:tx>
            <c:v>EBT, %</c:v>
          </c:tx>
          <c:cat>
            <c:numRef>
              <c:f>[1]Переторжка_0.5_стресс!$B$32:$B$52</c:f>
              <c:numCache>
                <c:formatCode>0.00%</c:formatCode>
                <c:ptCount val="2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</c:numCache>
            </c:numRef>
          </c:cat>
          <c:val>
            <c:numRef>
              <c:f>[1]Переторжка_0.5_стресс!$T$32:$T$52</c:f>
              <c:numCache>
                <c:formatCode>0.00%</c:formatCode>
                <c:ptCount val="21"/>
                <c:pt idx="0">
                  <c:v>0.15228907940834019</c:v>
                </c:pt>
                <c:pt idx="1">
                  <c:v>0.14802922553602027</c:v>
                </c:pt>
                <c:pt idx="2">
                  <c:v>0.14372634283670724</c:v>
                </c:pt>
                <c:pt idx="3">
                  <c:v>0.13937977604907631</c:v>
                </c:pt>
                <c:pt idx="4">
                  <c:v>0.1349888565391226</c:v>
                </c:pt>
                <c:pt idx="5">
                  <c:v>0.13055290195727193</c:v>
                </c:pt>
                <c:pt idx="6">
                  <c:v>0.12607121588488682</c:v>
                </c:pt>
                <c:pt idx="7">
                  <c:v>0.1215430874697826</c:v>
                </c:pt>
                <c:pt idx="8">
                  <c:v>0.11696779105035437</c:v>
                </c:pt>
                <c:pt idx="9">
                  <c:v>0.11234458576789548</c:v>
                </c:pt>
                <c:pt idx="10">
                  <c:v>0.10767271516667386</c:v>
                </c:pt>
                <c:pt idx="11">
                  <c:v>0.10295140678131233</c:v>
                </c:pt>
                <c:pt idx="12">
                  <c:v>9.817987171100015E-2</c:v>
                </c:pt>
                <c:pt idx="13">
                  <c:v>9.3357304180043038E-2</c:v>
                </c:pt>
                <c:pt idx="14">
                  <c:v>8.8482881084236686E-2</c:v>
                </c:pt>
                <c:pt idx="15">
                  <c:v>8.355576152252997E-2</c:v>
                </c:pt>
                <c:pt idx="16">
                  <c:v>7.857508631341327E-2</c:v>
                </c:pt>
                <c:pt idx="17">
                  <c:v>7.3539977495453754E-2</c:v>
                </c:pt>
                <c:pt idx="18">
                  <c:v>6.8449537811362829E-2</c:v>
                </c:pt>
                <c:pt idx="19">
                  <c:v>6.3302850174961497E-2</c:v>
                </c:pt>
                <c:pt idx="20">
                  <c:v>5.8098977120378072E-2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ED-4405-BE04-AB57E062F0FA}"/>
            </c:ext>
          </c:extLst>
        </c:ser>
        <c:ser>
          <c:idx val="2"/>
          <c:order val="2"/>
          <c:tx>
            <c:v>Чистая маржа, %</c:v>
          </c:tx>
          <c:cat>
            <c:numRef>
              <c:f>[1]Переторжка_0.5_стресс!$B$32:$B$52</c:f>
              <c:numCache>
                <c:formatCode>0.00%</c:formatCode>
                <c:ptCount val="2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</c:numCache>
            </c:numRef>
          </c:cat>
          <c:val>
            <c:numRef>
              <c:f>[1]Переторжка_0.5_стресс!$W$32:$W$52</c:f>
              <c:numCache>
                <c:formatCode>0.00%</c:formatCode>
                <c:ptCount val="21"/>
                <c:pt idx="0">
                  <c:v>0.11284697783810134</c:v>
                </c:pt>
                <c:pt idx="1">
                  <c:v>0.10969040458024955</c:v>
                </c:pt>
                <c:pt idx="2">
                  <c:v>0.10650194674403562</c:v>
                </c:pt>
                <c:pt idx="3">
                  <c:v>0.10328111877750479</c:v>
                </c:pt>
                <c:pt idx="4">
                  <c:v>0.10002742521947876</c:v>
                </c:pt>
                <c:pt idx="5">
                  <c:v>9.6740360445472962E-2</c:v>
                </c:pt>
                <c:pt idx="6">
                  <c:v>9.3419408405755841E-2</c:v>
                </c:pt>
                <c:pt idx="7">
                  <c:v>9.0064042355264384E-2</c:v>
                </c:pt>
                <c:pt idx="8">
                  <c:v>8.6673724575080296E-2</c:v>
                </c:pt>
                <c:pt idx="9">
                  <c:v>8.3247906085156045E-2</c:v>
                </c:pt>
                <c:pt idx="10">
                  <c:v>7.9786026347969455E-2</c:v>
                </c:pt>
                <c:pt idx="11">
                  <c:v>7.628751296277031E-2</c:v>
                </c:pt>
                <c:pt idx="12">
                  <c:v>7.2751781350069045E-2</c:v>
                </c:pt>
                <c:pt idx="13">
                  <c:v>6.9178234426002072E-2</c:v>
                </c:pt>
                <c:pt idx="14">
                  <c:v>6.5566262266192277E-2</c:v>
                </c:pt>
                <c:pt idx="15">
                  <c:v>6.1915241758709029E-2</c:v>
                </c:pt>
                <c:pt idx="16">
                  <c:v>5.8224536245709578E-2</c:v>
                </c:pt>
                <c:pt idx="17">
                  <c:v>5.4493495153333078E-2</c:v>
                </c:pt>
                <c:pt idx="18">
                  <c:v>5.0721453609391995E-2</c:v>
                </c:pt>
                <c:pt idx="19">
                  <c:v>4.6907732048390806E-2</c:v>
                </c:pt>
                <c:pt idx="20">
                  <c:v>4.3051635803378577E-2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ED-4405-BE04-AB57E062F0FA}"/>
            </c:ext>
          </c:extLst>
        </c:ser>
        <c:ser>
          <c:idx val="3"/>
          <c:order val="3"/>
          <c:tx>
            <c:v>Лимит EBITDA/EBT 15%</c:v>
          </c:tx>
          <c:cat>
            <c:numRef>
              <c:f>[1]Переторжка_0.5_стресс!$B$32:$B$52</c:f>
              <c:numCache>
                <c:formatCode>0.00%</c:formatCode>
                <c:ptCount val="2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</c:numCache>
            </c:numRef>
          </c:cat>
          <c:val>
            <c:numRef>
              <c:f>[1]Переторжка_0.5_стресс!$AB$32:$AB$52</c:f>
              <c:numCache>
                <c:formatCode>0.00%</c:formatCode>
                <c:ptCount val="21"/>
                <c:pt idx="0">
                  <c:v>0.15000000000000002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0.15000000000000002</c:v>
                </c:pt>
                <c:pt idx="13">
                  <c:v>0.15000000000000002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0.15000000000000002</c:v>
                </c:pt>
                <c:pt idx="17">
                  <c:v>0.15000000000000002</c:v>
                </c:pt>
                <c:pt idx="18">
                  <c:v>0.15000000000000002</c:v>
                </c:pt>
                <c:pt idx="19">
                  <c:v>0.15000000000000002</c:v>
                </c:pt>
                <c:pt idx="20">
                  <c:v>0.15000000000000002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ED-4405-BE04-AB57E062F0FA}"/>
            </c:ext>
          </c:extLst>
        </c:ser>
        <c:ser>
          <c:idx val="4"/>
          <c:order val="4"/>
          <c:tx>
            <c:v>Лимит ЧП 10%</c:v>
          </c:tx>
          <c:cat>
            <c:numRef>
              <c:f>[1]Переторжка_0.5_стресс!$B$32:$B$52</c:f>
              <c:numCache>
                <c:formatCode>0.00%</c:formatCode>
                <c:ptCount val="2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</c:numCache>
            </c:numRef>
          </c:cat>
          <c:val>
            <c:numRef>
              <c:f>[1]Переторжка_0.5_стресс!$AA$32:$AA$52</c:f>
              <c:numCache>
                <c:formatCode>0.00%</c:formatCode>
                <c:ptCount val="2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ED-4405-BE04-AB57E062F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r>
                  <a:rPr lang="ru-RU"/>
                  <a:t>Снижение цены</a:t>
                </a:r>
              </a:p>
            </c:rich>
          </c:tx>
          <c:overlay val="0"/>
        </c:title>
        <c:numFmt formatCode="0.00%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r>
                  <a:rPr lang="ru-RU"/>
                  <a:t>Маржа</a:t>
                </a:r>
              </a:p>
            </c:rich>
          </c:tx>
          <c:overlay val="0"/>
        </c:title>
        <c:numFmt formatCode="0.0%" sourceLinked="0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</xdr:colOff>
      <xdr:row>9</xdr:row>
      <xdr:rowOff>42863</xdr:rowOff>
    </xdr:from>
    <xdr:to>
      <xdr:col>23</xdr:col>
      <xdr:colOff>438149</xdr:colOff>
      <xdr:row>18</xdr:row>
      <xdr:rowOff>42863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2A1583F9-6E2E-46D4-9CD7-A6A956D30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urac\Downloads\FM_Luga_BM_v7_final_1_peretorgovka_stress.xlsx" TargetMode="External"/><Relationship Id="rId1" Type="http://schemas.openxmlformats.org/officeDocument/2006/relationships/externalLinkPath" Target="file:///C:\Users\curac\Downloads\FM_Luga_BM_v7_final_1_peretorgovka_stre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Результат"/>
      <sheetName val="PL_CF"/>
      <sheetName val="Переторжка_0.5"/>
      <sheetName val="Переторжка_0.5_стресс"/>
      <sheetName val="Себестоимость, опер. затраты"/>
      <sheetName val="Приход денег"/>
      <sheetName val="Техника"/>
      <sheetName val="Займ"/>
      <sheetName val="Затраты"/>
      <sheetName val="вход-выход"/>
      <sheetName val="CashFlow_по_месяцам"/>
    </sheetNames>
    <sheetDataSet>
      <sheetData sheetId="0"/>
      <sheetData sheetId="1"/>
      <sheetData sheetId="2"/>
      <sheetData sheetId="3">
        <row r="32">
          <cell r="B32">
            <v>0</v>
          </cell>
          <cell r="R32">
            <v>0.17301988515907529</v>
          </cell>
          <cell r="T32">
            <v>0.15228907940834019</v>
          </cell>
          <cell r="W32">
            <v>0.11284697783810134</v>
          </cell>
          <cell r="AA32">
            <v>0.1</v>
          </cell>
          <cell r="AB32">
            <v>0.15000000000000002</v>
          </cell>
        </row>
        <row r="33">
          <cell r="B33">
            <v>5.0000000000000001E-3</v>
          </cell>
          <cell r="R33">
            <v>0.1688642061900254</v>
          </cell>
          <cell r="T33">
            <v>0.14802922553602027</v>
          </cell>
          <cell r="W33">
            <v>0.10969040458024955</v>
          </cell>
          <cell r="AA33">
            <v>0.1</v>
          </cell>
          <cell r="AB33">
            <v>0.15000000000000002</v>
          </cell>
        </row>
        <row r="34">
          <cell r="B34">
            <v>0.01</v>
          </cell>
          <cell r="R34">
            <v>0.1646665506657326</v>
          </cell>
          <cell r="T34">
            <v>0.14372634283670724</v>
          </cell>
          <cell r="W34">
            <v>0.10650194674403562</v>
          </cell>
          <cell r="AA34">
            <v>0.1</v>
          </cell>
          <cell r="AB34">
            <v>0.15000000000000002</v>
          </cell>
        </row>
        <row r="35">
          <cell r="B35">
            <v>1.4999999999999999E-2</v>
          </cell>
          <cell r="R35">
            <v>0.16042627934931497</v>
          </cell>
          <cell r="T35">
            <v>0.13937977604907631</v>
          </cell>
          <cell r="W35">
            <v>0.10328111877750479</v>
          </cell>
          <cell r="AA35">
            <v>0.1</v>
          </cell>
          <cell r="AB35">
            <v>0.15000000000000002</v>
          </cell>
        </row>
        <row r="36">
          <cell r="B36">
            <v>0.02</v>
          </cell>
          <cell r="R36">
            <v>0.15614273995824005</v>
          </cell>
          <cell r="T36">
            <v>0.1349888565391226</v>
          </cell>
          <cell r="W36">
            <v>0.10002742521947876</v>
          </cell>
          <cell r="AA36">
            <v>0.1</v>
          </cell>
          <cell r="AB36">
            <v>0.15000000000000002</v>
          </cell>
        </row>
        <row r="37">
          <cell r="B37">
            <v>2.5000000000000001E-2</v>
          </cell>
          <cell r="R37">
            <v>0.15181526682982074</v>
          </cell>
          <cell r="T37">
            <v>0.13055290195727193</v>
          </cell>
          <cell r="W37">
            <v>9.6740360445472962E-2</v>
          </cell>
          <cell r="AA37">
            <v>0.1</v>
          </cell>
          <cell r="AB37">
            <v>0.15000000000000002</v>
          </cell>
        </row>
        <row r="38">
          <cell r="B38">
            <v>0.03</v>
          </cell>
          <cell r="R38">
            <v>0.14744318057636632</v>
          </cell>
          <cell r="T38">
            <v>0.12607121588488682</v>
          </cell>
          <cell r="W38">
            <v>9.3419408405755841E-2</v>
          </cell>
          <cell r="AA38">
            <v>0.1</v>
          </cell>
          <cell r="AB38">
            <v>0.15000000000000002</v>
          </cell>
        </row>
        <row r="39">
          <cell r="B39">
            <v>3.5000000000000003E-2</v>
          </cell>
          <cell r="R39">
            <v>0.14302578772961172</v>
          </cell>
          <cell r="T39">
            <v>0.1215430874697826</v>
          </cell>
          <cell r="W39">
            <v>9.0064042355264384E-2</v>
          </cell>
          <cell r="AA39">
            <v>0.1</v>
          </cell>
          <cell r="AB39">
            <v>0.15000000000000002</v>
          </cell>
        </row>
        <row r="40">
          <cell r="B40">
            <v>0.04</v>
          </cell>
          <cell r="R40">
            <v>0.13856238037403679</v>
          </cell>
          <cell r="T40">
            <v>0.11696779105035437</v>
          </cell>
          <cell r="W40">
            <v>8.6673724575080296E-2</v>
          </cell>
          <cell r="AA40">
            <v>0.1</v>
          </cell>
          <cell r="AB40">
            <v>0.15000000000000002</v>
          </cell>
        </row>
        <row r="41">
          <cell r="B41">
            <v>4.4999999999999998E-2</v>
          </cell>
          <cell r="R41">
            <v>0.13405223576866523</v>
          </cell>
          <cell r="T41">
            <v>0.11234458576789548</v>
          </cell>
          <cell r="W41">
            <v>8.3247906085156045E-2</v>
          </cell>
          <cell r="AA41">
            <v>0.1</v>
          </cell>
          <cell r="AB41">
            <v>0.15000000000000002</v>
          </cell>
        </row>
        <row r="42">
          <cell r="B42">
            <v>0.05</v>
          </cell>
          <cell r="R42">
            <v>0.12949461595692136</v>
          </cell>
          <cell r="T42">
            <v>0.10767271516667386</v>
          </cell>
          <cell r="W42">
            <v>7.9786026347969455E-2</v>
          </cell>
          <cell r="AA42">
            <v>0.1</v>
          </cell>
          <cell r="AB42">
            <v>0.15000000000000002</v>
          </cell>
        </row>
        <row r="43">
          <cell r="B43">
            <v>5.5E-2</v>
          </cell>
          <cell r="R43">
            <v>0.1248887673641008</v>
          </cell>
          <cell r="T43">
            <v>0.10295140678131233</v>
          </cell>
          <cell r="W43">
            <v>7.628751296277031E-2</v>
          </cell>
          <cell r="AA43">
            <v>0.1</v>
          </cell>
          <cell r="AB43">
            <v>0.15000000000000002</v>
          </cell>
        </row>
        <row r="44">
          <cell r="B44">
            <v>0.06</v>
          </cell>
          <cell r="R44">
            <v>0.12023392038199494</v>
          </cell>
          <cell r="T44">
            <v>9.817987171100015E-2</v>
          </cell>
          <cell r="W44">
            <v>7.2751781350069045E-2</v>
          </cell>
          <cell r="AA44">
            <v>0.1</v>
          </cell>
          <cell r="AB44">
            <v>0.15000000000000002</v>
          </cell>
        </row>
        <row r="45">
          <cell r="B45">
            <v>6.5000000000000002E-2</v>
          </cell>
          <cell r="R45">
            <v>0.11552928894018753</v>
          </cell>
          <cell r="T45">
            <v>9.3357304180043038E-2</v>
          </cell>
          <cell r="W45">
            <v>6.9178234426002072E-2</v>
          </cell>
          <cell r="AA45">
            <v>0.1</v>
          </cell>
          <cell r="AB45">
            <v>0.15000000000000002</v>
          </cell>
        </row>
        <row r="46">
          <cell r="B46">
            <v>7.0000000000000007E-2</v>
          </cell>
          <cell r="R46">
            <v>0.11077407006352175</v>
          </cell>
          <cell r="T46">
            <v>8.8482881084236686E-2</v>
          </cell>
          <cell r="W46">
            <v>6.5566262266192277E-2</v>
          </cell>
          <cell r="AA46">
            <v>0.1</v>
          </cell>
          <cell r="AB46">
            <v>0.15000000000000002</v>
          </cell>
        </row>
        <row r="47">
          <cell r="B47">
            <v>7.4999999999999997E-2</v>
          </cell>
          <cell r="R47">
            <v>0.10596744341521656</v>
          </cell>
          <cell r="T47">
            <v>8.355576152252997E-2</v>
          </cell>
          <cell r="W47">
            <v>6.1915241758709029E-2</v>
          </cell>
          <cell r="AA47">
            <v>0.1</v>
          </cell>
          <cell r="AB47">
            <v>0.15000000000000002</v>
          </cell>
        </row>
        <row r="48">
          <cell r="B48">
            <v>0.08</v>
          </cell>
          <cell r="R48">
            <v>0.10110857082508186</v>
          </cell>
          <cell r="T48">
            <v>7.857508631341327E-2</v>
          </cell>
          <cell r="W48">
            <v>5.8224536245709578E-2</v>
          </cell>
          <cell r="AA48">
            <v>0.1</v>
          </cell>
          <cell r="AB48">
            <v>0.15000000000000002</v>
          </cell>
        </row>
        <row r="49">
          <cell r="B49">
            <v>8.5000000000000006E-2</v>
          </cell>
          <cell r="R49">
            <v>9.6196595802268081E-2</v>
          </cell>
          <cell r="T49">
            <v>7.3539977495453754E-2</v>
          </cell>
          <cell r="W49">
            <v>5.4493495153333078E-2</v>
          </cell>
          <cell r="AA49">
            <v>0.1</v>
          </cell>
          <cell r="AB49">
            <v>0.15000000000000002</v>
          </cell>
        </row>
        <row r="50">
          <cell r="B50">
            <v>0.09</v>
          </cell>
          <cell r="R50">
            <v>9.1230643031950859E-2</v>
          </cell>
          <cell r="T50">
            <v>6.8449537811362829E-2</v>
          </cell>
          <cell r="W50">
            <v>5.0721453609391995E-2</v>
          </cell>
          <cell r="AA50">
            <v>0.1</v>
          </cell>
          <cell r="AB50">
            <v>0.15000000000000002</v>
          </cell>
        </row>
        <row r="51">
          <cell r="B51">
            <v>9.5000000000000001E-2</v>
          </cell>
          <cell r="R51">
            <v>8.6209817855331786E-2</v>
          </cell>
          <cell r="T51">
            <v>6.3302850174961497E-2</v>
          </cell>
          <cell r="W51">
            <v>4.6907732048390806E-2</v>
          </cell>
          <cell r="AA51">
            <v>0.1</v>
          </cell>
          <cell r="AB51">
            <v>0.15000000000000002</v>
          </cell>
        </row>
        <row r="52">
          <cell r="B52">
            <v>0.1</v>
          </cell>
          <cell r="R52">
            <v>8.1133205732305966E-2</v>
          </cell>
          <cell r="T52">
            <v>5.8098977120378072E-2</v>
          </cell>
          <cell r="W52">
            <v>4.3051635803378577E-2</v>
          </cell>
          <cell r="AA52">
            <v>0.1</v>
          </cell>
          <cell r="AB52">
            <v>0.15000000000000002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BF1A-C270-4499-8B82-EB12C05014AD}">
  <dimension ref="A1:AB52"/>
  <sheetViews>
    <sheetView tabSelected="1" topLeftCell="A14" workbookViewId="0">
      <selection activeCell="AE34" sqref="AE34"/>
    </sheetView>
  </sheetViews>
  <sheetFormatPr defaultRowHeight="14.35" x14ac:dyDescent="0.5"/>
  <cols>
    <col min="1" max="1" width="23.76171875" customWidth="1"/>
    <col min="2" max="2" width="19.76171875" customWidth="1"/>
    <col min="3" max="3" width="16" customWidth="1"/>
    <col min="4" max="4" width="18" customWidth="1"/>
    <col min="5" max="6" width="16" customWidth="1"/>
    <col min="7" max="7" width="15" customWidth="1"/>
    <col min="8" max="8" width="16" hidden="1" customWidth="1"/>
    <col min="9" max="9" width="15" hidden="1" customWidth="1"/>
    <col min="10" max="10" width="18" hidden="1" customWidth="1"/>
    <col min="11" max="11" width="17" hidden="1" customWidth="1"/>
    <col min="12" max="12" width="15" customWidth="1"/>
    <col min="13" max="13" width="12" customWidth="1"/>
    <col min="14" max="14" width="13" hidden="1" customWidth="1"/>
    <col min="15" max="15" width="14" hidden="1" customWidth="1"/>
    <col min="16" max="16" width="13" hidden="1" customWidth="1"/>
    <col min="17" max="17" width="15" hidden="1" customWidth="1"/>
    <col min="18" max="18" width="12" hidden="1" customWidth="1"/>
    <col min="19" max="19" width="15" hidden="1" customWidth="1"/>
    <col min="20" max="20" width="12" hidden="1" customWidth="1"/>
    <col min="21" max="21" width="13" hidden="1" customWidth="1"/>
    <col min="22" max="22" width="15" hidden="1" customWidth="1"/>
    <col min="23" max="23" width="12" hidden="1" customWidth="1"/>
    <col min="24" max="24" width="14" hidden="1" customWidth="1"/>
    <col min="25" max="25" width="16" hidden="1" customWidth="1"/>
    <col min="26" max="26" width="10" hidden="1" customWidth="1"/>
    <col min="27" max="27" width="13" hidden="1" customWidth="1"/>
    <col min="28" max="28" width="16" hidden="1" customWidth="1"/>
  </cols>
  <sheetData>
    <row r="1" spans="1:26" ht="1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100000000000001" customHeight="1" x14ac:dyDescent="0.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4" spans="1:26" ht="28.7" x14ac:dyDescent="0.5">
      <c r="A4" s="3" t="s">
        <v>2</v>
      </c>
      <c r="B4" s="3" t="s">
        <v>3</v>
      </c>
      <c r="C4" s="3" t="s">
        <v>4</v>
      </c>
      <c r="D4" s="3" t="s">
        <v>5</v>
      </c>
      <c r="F4" s="3" t="s">
        <v>6</v>
      </c>
      <c r="G4" s="3" t="s">
        <v>3</v>
      </c>
      <c r="H4" s="3" t="s">
        <v>7</v>
      </c>
    </row>
    <row r="5" spans="1:26" x14ac:dyDescent="0.5">
      <c r="A5" t="s">
        <v>8</v>
      </c>
      <c r="B5" s="4">
        <v>450101.63934426242</v>
      </c>
      <c r="C5" t="s">
        <v>9</v>
      </c>
      <c r="D5" t="s">
        <v>10</v>
      </c>
      <c r="F5" s="5" t="s">
        <v>11</v>
      </c>
      <c r="G5" s="6">
        <f>LOOKUP(2,1/($Z$32:$Z$52="OK"),$B$32:$B$52)</f>
        <v>0</v>
      </c>
      <c r="H5" s="5" t="s">
        <v>12</v>
      </c>
    </row>
    <row r="6" spans="1:26" x14ac:dyDescent="0.5">
      <c r="A6" t="s">
        <v>13</v>
      </c>
      <c r="B6" s="4">
        <v>549124</v>
      </c>
      <c r="C6" t="s">
        <v>9</v>
      </c>
      <c r="D6" t="s">
        <v>10</v>
      </c>
      <c r="F6" t="s">
        <v>14</v>
      </c>
      <c r="G6" s="7">
        <f>INDEX($E$32:$E$52,MATCH(G5,$B$32:$B$52,0))</f>
        <v>549124</v>
      </c>
      <c r="H6" t="s">
        <v>15</v>
      </c>
    </row>
    <row r="7" spans="1:26" x14ac:dyDescent="0.5">
      <c r="A7" t="s">
        <v>16</v>
      </c>
      <c r="B7" s="4">
        <v>5132</v>
      </c>
      <c r="C7" t="s">
        <v>17</v>
      </c>
      <c r="D7" t="s">
        <v>18</v>
      </c>
      <c r="F7" t="s">
        <v>19</v>
      </c>
      <c r="G7" s="7">
        <f>INDEX($C$32:$C$52,MATCH(G5,$B$32:$B$52,0))</f>
        <v>0</v>
      </c>
      <c r="H7" t="s">
        <v>20</v>
      </c>
    </row>
    <row r="8" spans="1:26" x14ac:dyDescent="0.5">
      <c r="A8" t="s">
        <v>21</v>
      </c>
      <c r="B8" s="4">
        <v>107000</v>
      </c>
      <c r="C8" t="s">
        <v>22</v>
      </c>
      <c r="D8" t="s">
        <v>23</v>
      </c>
      <c r="F8" t="s">
        <v>24</v>
      </c>
      <c r="G8" s="7">
        <f>INDEX($V$32:$V$52,MATCH(G5,$B$32:$B$52,0))</f>
        <v>50792.609719975066</v>
      </c>
      <c r="H8" t="s">
        <v>25</v>
      </c>
    </row>
    <row r="9" spans="1:26" x14ac:dyDescent="0.5">
      <c r="B9" s="4"/>
      <c r="F9" t="s">
        <v>26</v>
      </c>
      <c r="G9" s="8">
        <f>INDEX($W$32:$W$52,MATCH(G5,$B$32:$B$52,0))</f>
        <v>0.11284697783810134</v>
      </c>
      <c r="H9" t="s">
        <v>27</v>
      </c>
    </row>
    <row r="10" spans="1:26" x14ac:dyDescent="0.5">
      <c r="A10" t="s">
        <v>28</v>
      </c>
      <c r="B10" s="4">
        <v>313737.29508196726</v>
      </c>
      <c r="C10" t="s">
        <v>9</v>
      </c>
      <c r="D10" t="s">
        <v>10</v>
      </c>
      <c r="F10" t="s">
        <v>29</v>
      </c>
      <c r="G10" s="8">
        <f>INDEX($R$32:$R$52,MATCH(G5,$B$32:$B$52,0))</f>
        <v>0.17301988515907529</v>
      </c>
      <c r="H10" t="s">
        <v>30</v>
      </c>
    </row>
    <row r="11" spans="1:26" x14ac:dyDescent="0.5">
      <c r="A11" t="s">
        <v>31</v>
      </c>
      <c r="B11" s="4">
        <v>72945</v>
      </c>
      <c r="C11" t="s">
        <v>9</v>
      </c>
      <c r="D11" t="s">
        <v>32</v>
      </c>
      <c r="F11" t="s">
        <v>33</v>
      </c>
      <c r="G11" s="8">
        <f>INDEX($T$32:$T$52,MATCH(G5,$B$32:$B$52,0))</f>
        <v>0.15228907940834019</v>
      </c>
      <c r="H11" t="s">
        <v>30</v>
      </c>
    </row>
    <row r="12" spans="1:26" x14ac:dyDescent="0.5">
      <c r="A12" t="s">
        <v>34</v>
      </c>
      <c r="B12" s="4">
        <v>216658</v>
      </c>
      <c r="C12" t="s">
        <v>9</v>
      </c>
      <c r="D12" t="s">
        <v>35</v>
      </c>
      <c r="F12" t="s">
        <v>36</v>
      </c>
      <c r="G12" s="8">
        <f>G5+$B$29</f>
        <v>5.0000000000000001E-3</v>
      </c>
      <c r="H12" t="s">
        <v>37</v>
      </c>
    </row>
    <row r="13" spans="1:26" x14ac:dyDescent="0.5">
      <c r="A13" t="s">
        <v>38</v>
      </c>
      <c r="B13" s="9">
        <v>0.22</v>
      </c>
      <c r="C13" t="s">
        <v>39</v>
      </c>
      <c r="D13" t="s">
        <v>40</v>
      </c>
      <c r="F13" t="s">
        <v>41</v>
      </c>
      <c r="G13" s="8" t="str">
        <f>IFERROR(INDEX($Z$32:$Z$52,MATCH(G12,$B$32:$B$52,0)),"нет в сетке")</f>
        <v>СТОП</v>
      </c>
      <c r="H13" t="s">
        <v>42</v>
      </c>
    </row>
    <row r="14" spans="1:26" x14ac:dyDescent="0.5">
      <c r="A14" t="s">
        <v>43</v>
      </c>
      <c r="B14" s="8">
        <f>B12/(1+B13)</f>
        <v>177588.52459016393</v>
      </c>
      <c r="C14" t="s">
        <v>9</v>
      </c>
      <c r="D14" t="s">
        <v>44</v>
      </c>
      <c r="F14" t="s">
        <v>45</v>
      </c>
      <c r="G14" s="8">
        <f>IFERROR(INDEX($W$32:$W$52,MATCH(G12,$B$32:$B$52,0)),"")</f>
        <v>0.10969040458024955</v>
      </c>
      <c r="H14" t="s">
        <v>46</v>
      </c>
    </row>
    <row r="15" spans="1:26" x14ac:dyDescent="0.5">
      <c r="A15" t="s">
        <v>47</v>
      </c>
      <c r="B15" s="10">
        <v>0.1</v>
      </c>
      <c r="C15" t="s">
        <v>39</v>
      </c>
      <c r="D15" t="s">
        <v>48</v>
      </c>
      <c r="F15" t="s">
        <v>49</v>
      </c>
      <c r="G15" s="8">
        <f>IFERROR(INDEX($T$32:$T$52,MATCH(G12,$B$32:$B$52,0)),"")</f>
        <v>0.14802922553602027</v>
      </c>
      <c r="H15" t="s">
        <v>50</v>
      </c>
    </row>
    <row r="16" spans="1:26" x14ac:dyDescent="0.5">
      <c r="A16" t="s">
        <v>51</v>
      </c>
      <c r="B16" s="10">
        <v>0.1</v>
      </c>
      <c r="C16" t="s">
        <v>39</v>
      </c>
      <c r="D16" t="s">
        <v>48</v>
      </c>
      <c r="F16" s="5" t="s">
        <v>52</v>
      </c>
      <c r="G16" s="6">
        <f>MAX(0,1-($B$20+$B$22+$B$23+$B$24)/($B$5*(1-$B$28)))</f>
        <v>2.6930345980470394E-3</v>
      </c>
      <c r="H16" s="5" t="s">
        <v>53</v>
      </c>
    </row>
    <row r="17" spans="1:28" x14ac:dyDescent="0.5">
      <c r="A17" t="s">
        <v>54</v>
      </c>
      <c r="B17" s="7">
        <f>B11*B15</f>
        <v>7294.5</v>
      </c>
      <c r="C17" t="s">
        <v>9</v>
      </c>
      <c r="D17" t="s">
        <v>55</v>
      </c>
      <c r="F17" t="s">
        <v>56</v>
      </c>
      <c r="G17" s="8">
        <f>MAX(0,1-($B$20+$B$22+$B$23)/($B$5*(1-$B$28)))</f>
        <v>2.7082217834206057E-2</v>
      </c>
      <c r="H17" t="s">
        <v>53</v>
      </c>
    </row>
    <row r="18" spans="1:28" x14ac:dyDescent="0.5">
      <c r="A18" t="s">
        <v>57</v>
      </c>
      <c r="B18" s="7">
        <f>B14*B16</f>
        <v>17758.852459016394</v>
      </c>
      <c r="C18" t="s">
        <v>9</v>
      </c>
      <c r="D18" t="s">
        <v>58</v>
      </c>
      <c r="F18" t="s">
        <v>59</v>
      </c>
      <c r="G18" s="8">
        <f>MAX(0,1-($B$20+$B$22+$B$23+$B$24)*(1-$B$25)/($B$5*(1-$B$25-$B$26)))</f>
        <v>2.0041929021980764E-2</v>
      </c>
      <c r="H18" t="s">
        <v>53</v>
      </c>
    </row>
    <row r="19" spans="1:28" x14ac:dyDescent="0.5">
      <c r="A19" t="s">
        <v>60</v>
      </c>
      <c r="B19" s="7">
        <f>B17+B18</f>
        <v>25053.352459016394</v>
      </c>
      <c r="C19" t="s">
        <v>9</v>
      </c>
      <c r="D19" t="s">
        <v>61</v>
      </c>
      <c r="F19" t="s">
        <v>62</v>
      </c>
      <c r="G19" s="11" t="str">
        <f>IF(G16=MIN(G16:G18),"EBT ≥15%",IF(G17=MIN(G16:G18),"EBITDA ≥15%","Чистая прибыль ≥10%"))</f>
        <v>EBT ≥15%</v>
      </c>
      <c r="H19" t="s">
        <v>63</v>
      </c>
    </row>
    <row r="20" spans="1:28" x14ac:dyDescent="0.5">
      <c r="A20" t="s">
        <v>64</v>
      </c>
      <c r="B20" s="7">
        <f>B10+B19</f>
        <v>338790.64754098363</v>
      </c>
      <c r="C20" t="s">
        <v>9</v>
      </c>
      <c r="D20" t="s">
        <v>65</v>
      </c>
      <c r="F20" t="s">
        <v>7</v>
      </c>
      <c r="G20" s="8" t="str">
        <f>IF(G5=0,"С учетом стресса прямых затрат шаг 0,5% уже выводит EBT ниже 15%; снижать цену в сетке не рекомендуется.","Рекомендуемая красная линия — "&amp;TEXT(G5,"0.0%"))</f>
        <v>С учетом стресса прямых затрат шаг 0,5% уже выводит EBT ниже 15%; снижать цену в сетке не рекомендуется.</v>
      </c>
      <c r="H20" t="s">
        <v>66</v>
      </c>
    </row>
    <row r="21" spans="1:28" x14ac:dyDescent="0.5">
      <c r="B21" s="4"/>
    </row>
    <row r="22" spans="1:28" x14ac:dyDescent="0.5">
      <c r="A22" t="s">
        <v>67</v>
      </c>
      <c r="B22" s="4">
        <v>31419.012020689654</v>
      </c>
      <c r="C22" t="s">
        <v>9</v>
      </c>
      <c r="D22" t="s">
        <v>10</v>
      </c>
    </row>
    <row r="23" spans="1:28" x14ac:dyDescent="0.5">
      <c r="A23" t="s">
        <v>68</v>
      </c>
      <c r="B23" s="4">
        <v>2015.445833333333</v>
      </c>
      <c r="C23" t="s">
        <v>9</v>
      </c>
      <c r="D23" t="s">
        <v>10</v>
      </c>
    </row>
    <row r="24" spans="1:28" x14ac:dyDescent="0.5">
      <c r="A24" t="s">
        <v>69</v>
      </c>
      <c r="B24" s="4">
        <v>9330.9696533333336</v>
      </c>
      <c r="C24" t="s">
        <v>9</v>
      </c>
      <c r="D24" t="s">
        <v>10</v>
      </c>
    </row>
    <row r="25" spans="1:28" x14ac:dyDescent="0.5">
      <c r="A25" t="s">
        <v>70</v>
      </c>
      <c r="B25" s="4">
        <v>0.25899494384939314</v>
      </c>
      <c r="C25" t="s">
        <v>39</v>
      </c>
      <c r="D25" t="s">
        <v>71</v>
      </c>
    </row>
    <row r="26" spans="1:28" x14ac:dyDescent="0.5">
      <c r="A26" t="s">
        <v>72</v>
      </c>
      <c r="B26" s="10">
        <v>0.1</v>
      </c>
      <c r="C26" t="s">
        <v>39</v>
      </c>
      <c r="D26" t="s">
        <v>73</v>
      </c>
    </row>
    <row r="27" spans="1:28" x14ac:dyDescent="0.5">
      <c r="A27" t="s">
        <v>74</v>
      </c>
      <c r="B27" s="10">
        <v>0.05</v>
      </c>
      <c r="C27" t="s">
        <v>39</v>
      </c>
      <c r="D27" t="s">
        <v>48</v>
      </c>
    </row>
    <row r="28" spans="1:28" x14ac:dyDescent="0.5">
      <c r="A28" t="s">
        <v>75</v>
      </c>
      <c r="B28" s="10">
        <f>B26+B27</f>
        <v>0.15000000000000002</v>
      </c>
      <c r="C28" t="s">
        <v>39</v>
      </c>
      <c r="D28" t="s">
        <v>76</v>
      </c>
    </row>
    <row r="29" spans="1:28" x14ac:dyDescent="0.5">
      <c r="A29" t="s">
        <v>77</v>
      </c>
      <c r="B29" s="10">
        <v>5.0000000000000001E-3</v>
      </c>
      <c r="C29" t="s">
        <v>39</v>
      </c>
      <c r="D29" t="s">
        <v>78</v>
      </c>
    </row>
    <row r="31" spans="1:28" ht="44.35" customHeight="1" x14ac:dyDescent="0.5">
      <c r="A31" s="3" t="s">
        <v>79</v>
      </c>
      <c r="B31" s="3" t="s">
        <v>80</v>
      </c>
      <c r="C31" s="3" t="s">
        <v>81</v>
      </c>
      <c r="D31" s="3" t="s">
        <v>82</v>
      </c>
      <c r="E31" s="12" t="s">
        <v>83</v>
      </c>
      <c r="F31" s="3" t="s">
        <v>84</v>
      </c>
      <c r="G31" s="12" t="s">
        <v>85</v>
      </c>
      <c r="H31" s="3" t="s">
        <v>86</v>
      </c>
      <c r="I31" s="3" t="s">
        <v>87</v>
      </c>
      <c r="J31" s="3" t="s">
        <v>88</v>
      </c>
      <c r="K31" s="3" t="s">
        <v>89</v>
      </c>
      <c r="L31" s="12" t="s">
        <v>90</v>
      </c>
      <c r="M31" s="3" t="s">
        <v>91</v>
      </c>
      <c r="N31" s="3" t="s">
        <v>92</v>
      </c>
      <c r="O31" s="3" t="s">
        <v>93</v>
      </c>
      <c r="P31" s="3" t="s">
        <v>94</v>
      </c>
      <c r="Q31" s="3" t="s">
        <v>95</v>
      </c>
      <c r="R31" s="3" t="s">
        <v>96</v>
      </c>
      <c r="S31" s="3" t="s">
        <v>97</v>
      </c>
      <c r="T31" s="3" t="s">
        <v>98</v>
      </c>
      <c r="U31" s="3" t="s">
        <v>99</v>
      </c>
      <c r="V31" s="3" t="s">
        <v>100</v>
      </c>
      <c r="W31" s="3" t="s">
        <v>101</v>
      </c>
      <c r="X31" s="3" t="s">
        <v>102</v>
      </c>
      <c r="Y31" s="3" t="s">
        <v>103</v>
      </c>
      <c r="Z31" s="3" t="s">
        <v>104</v>
      </c>
      <c r="AA31" s="3" t="s">
        <v>105</v>
      </c>
      <c r="AB31" s="3" t="s">
        <v>106</v>
      </c>
    </row>
    <row r="32" spans="1:28" x14ac:dyDescent="0.5">
      <c r="A32" s="13">
        <f t="shared" ref="A32:A52" si="0">ROW()-32</f>
        <v>0</v>
      </c>
      <c r="B32" s="14">
        <f t="shared" ref="B32:B52" si="1">A32*$B$29</f>
        <v>0</v>
      </c>
      <c r="C32" s="15">
        <f t="shared" ref="C32:C52" si="2">$B$6*B32</f>
        <v>0</v>
      </c>
      <c r="D32" s="15">
        <f t="shared" ref="D32:D52" si="3">$B$5*B32</f>
        <v>0</v>
      </c>
      <c r="E32" s="15">
        <f t="shared" ref="E32:E52" si="4">$B$6*(1-B32)</f>
        <v>549124</v>
      </c>
      <c r="F32" s="15">
        <f t="shared" ref="F32:F52" si="5">$B$5*(1-B32)</f>
        <v>450101.63934426242</v>
      </c>
      <c r="G32" s="16">
        <f t="shared" ref="G32:G52" si="6">$B$8*(1-B32)</f>
        <v>107000</v>
      </c>
      <c r="H32" s="15">
        <f t="shared" ref="H32:H52" si="7">$B$10</f>
        <v>313737.29508196726</v>
      </c>
      <c r="I32" s="15">
        <f t="shared" ref="I32:I52" si="8">$B$17</f>
        <v>7294.5</v>
      </c>
      <c r="J32" s="15">
        <f t="shared" ref="J32:J52" si="9">$B$18</f>
        <v>17758.852459016394</v>
      </c>
      <c r="K32" s="15">
        <f t="shared" ref="K32:K52" si="10">$B$20</f>
        <v>338790.64754098363</v>
      </c>
      <c r="L32" s="15">
        <f t="shared" ref="L32:L52" si="11">F32-K32</f>
        <v>111310.9918032788</v>
      </c>
      <c r="M32" s="14">
        <f t="shared" ref="M32:M52" si="12">L32/F32</f>
        <v>0.24730190266679311</v>
      </c>
      <c r="N32" s="15">
        <f t="shared" ref="N32:N52" si="13">$B$22</f>
        <v>31419.012020689654</v>
      </c>
      <c r="O32" s="15">
        <f t="shared" ref="O32:O52" si="14">$B$23</f>
        <v>2015.445833333333</v>
      </c>
      <c r="P32" s="15">
        <f t="shared" ref="P32:P52" si="15">$B$24</f>
        <v>9330.9696533333336</v>
      </c>
      <c r="Q32" s="15">
        <f t="shared" ref="Q32:Q52" si="16">L32-N32-O32</f>
        <v>77876.533949255812</v>
      </c>
      <c r="R32" s="14">
        <f t="shared" ref="R32:R52" si="17">Q32/F32</f>
        <v>0.17301988515907529</v>
      </c>
      <c r="S32" s="15">
        <f t="shared" ref="S32:S52" si="18">Q32-P32</f>
        <v>68545.564295922479</v>
      </c>
      <c r="T32" s="14">
        <f t="shared" ref="T32:T52" si="19">S32/F32</f>
        <v>0.15228907940834019</v>
      </c>
      <c r="U32" s="15">
        <f t="shared" ref="U32:U52" si="20">-S32*$B$25</f>
        <v>-17752.954575947409</v>
      </c>
      <c r="V32" s="15">
        <f t="shared" ref="V32:V52" si="21">S32+U32</f>
        <v>50792.609719975066</v>
      </c>
      <c r="W32" s="14">
        <f t="shared" ref="W32:W52" si="22">V32/F32</f>
        <v>0.11284697783810134</v>
      </c>
      <c r="X32" s="17">
        <f t="shared" ref="X32:X52" si="23">(W32-$B$26)*100</f>
        <v>1.2846977838101334</v>
      </c>
      <c r="Y32" s="17">
        <f t="shared" ref="Y32:Y52" si="24">(MIN(R32,T32)-$B$28)*100</f>
        <v>0.22890794083401667</v>
      </c>
      <c r="Z32" s="13" t="str">
        <f t="shared" ref="Z32:Z52" si="25">IF(AND(W32&gt;=$B$26,R32&gt;=$B$28,T32&gt;=$B$28),"OK","СТОП")</f>
        <v>OK</v>
      </c>
      <c r="AA32" s="14">
        <f t="shared" ref="AA32:AA52" si="26">$B$26</f>
        <v>0.1</v>
      </c>
      <c r="AB32" s="14">
        <f t="shared" ref="AB32:AB52" si="27">$B$28</f>
        <v>0.15000000000000002</v>
      </c>
    </row>
    <row r="33" spans="1:28" x14ac:dyDescent="0.5">
      <c r="A33" s="13">
        <f t="shared" si="0"/>
        <v>1</v>
      </c>
      <c r="B33" s="14">
        <f t="shared" si="1"/>
        <v>5.0000000000000001E-3</v>
      </c>
      <c r="C33" s="15">
        <f t="shared" si="2"/>
        <v>2745.62</v>
      </c>
      <c r="D33" s="15">
        <f t="shared" si="3"/>
        <v>2250.5081967213123</v>
      </c>
      <c r="E33" s="15">
        <f t="shared" si="4"/>
        <v>546378.38</v>
      </c>
      <c r="F33" s="15">
        <f t="shared" si="5"/>
        <v>447851.13114754111</v>
      </c>
      <c r="G33" s="16">
        <f t="shared" si="6"/>
        <v>106465</v>
      </c>
      <c r="H33" s="15">
        <f t="shared" si="7"/>
        <v>313737.29508196726</v>
      </c>
      <c r="I33" s="15">
        <f t="shared" si="8"/>
        <v>7294.5</v>
      </c>
      <c r="J33" s="15">
        <f t="shared" si="9"/>
        <v>17758.852459016394</v>
      </c>
      <c r="K33" s="15">
        <f t="shared" si="10"/>
        <v>338790.64754098363</v>
      </c>
      <c r="L33" s="15">
        <f t="shared" si="11"/>
        <v>109060.48360655748</v>
      </c>
      <c r="M33" s="14">
        <f t="shared" si="12"/>
        <v>0.24351950016763124</v>
      </c>
      <c r="N33" s="15">
        <f t="shared" si="13"/>
        <v>31419.012020689654</v>
      </c>
      <c r="O33" s="15">
        <f t="shared" si="14"/>
        <v>2015.445833333333</v>
      </c>
      <c r="P33" s="15">
        <f t="shared" si="15"/>
        <v>9330.9696533333336</v>
      </c>
      <c r="Q33" s="15">
        <f t="shared" si="16"/>
        <v>75626.025752534493</v>
      </c>
      <c r="R33" s="14">
        <f t="shared" si="17"/>
        <v>0.1688642061900254</v>
      </c>
      <c r="S33" s="15">
        <f t="shared" si="18"/>
        <v>66295.05609920116</v>
      </c>
      <c r="T33" s="14">
        <f t="shared" si="19"/>
        <v>0.14802922553602027</v>
      </c>
      <c r="U33" s="15">
        <f t="shared" si="20"/>
        <v>-17170.084331904975</v>
      </c>
      <c r="V33" s="15">
        <f t="shared" si="21"/>
        <v>49124.971767296185</v>
      </c>
      <c r="W33" s="14">
        <f t="shared" si="22"/>
        <v>0.10969040458024955</v>
      </c>
      <c r="X33" s="17">
        <f t="shared" si="23"/>
        <v>0.96904045802495431</v>
      </c>
      <c r="Y33" s="17">
        <f t="shared" si="24"/>
        <v>-0.1970774463979752</v>
      </c>
      <c r="Z33" s="13" t="str">
        <f t="shared" si="25"/>
        <v>СТОП</v>
      </c>
      <c r="AA33" s="14">
        <f t="shared" si="26"/>
        <v>0.1</v>
      </c>
      <c r="AB33" s="14">
        <f t="shared" si="27"/>
        <v>0.15000000000000002</v>
      </c>
    </row>
    <row r="34" spans="1:28" x14ac:dyDescent="0.5">
      <c r="A34" s="13">
        <f t="shared" si="0"/>
        <v>2</v>
      </c>
      <c r="B34" s="14">
        <f t="shared" si="1"/>
        <v>0.01</v>
      </c>
      <c r="C34" s="15">
        <f t="shared" si="2"/>
        <v>5491.24</v>
      </c>
      <c r="D34" s="15">
        <f t="shared" si="3"/>
        <v>4501.0163934426246</v>
      </c>
      <c r="E34" s="15">
        <f t="shared" si="4"/>
        <v>543632.76</v>
      </c>
      <c r="F34" s="15">
        <f t="shared" si="5"/>
        <v>445600.62295081979</v>
      </c>
      <c r="G34" s="16">
        <f t="shared" si="6"/>
        <v>105930</v>
      </c>
      <c r="H34" s="15">
        <f t="shared" si="7"/>
        <v>313737.29508196726</v>
      </c>
      <c r="I34" s="15">
        <f t="shared" si="8"/>
        <v>7294.5</v>
      </c>
      <c r="J34" s="15">
        <f t="shared" si="9"/>
        <v>17758.852459016394</v>
      </c>
      <c r="K34" s="15">
        <f t="shared" si="10"/>
        <v>338790.64754098363</v>
      </c>
      <c r="L34" s="15">
        <f t="shared" si="11"/>
        <v>106809.97540983616</v>
      </c>
      <c r="M34" s="14">
        <f t="shared" si="12"/>
        <v>0.23969889158261926</v>
      </c>
      <c r="N34" s="15">
        <f t="shared" si="13"/>
        <v>31419.012020689654</v>
      </c>
      <c r="O34" s="15">
        <f t="shared" si="14"/>
        <v>2015.445833333333</v>
      </c>
      <c r="P34" s="15">
        <f t="shared" si="15"/>
        <v>9330.9696533333336</v>
      </c>
      <c r="Q34" s="15">
        <f t="shared" si="16"/>
        <v>73375.517555813174</v>
      </c>
      <c r="R34" s="14">
        <f t="shared" si="17"/>
        <v>0.1646665506657326</v>
      </c>
      <c r="S34" s="15">
        <f t="shared" si="18"/>
        <v>64044.547902479841</v>
      </c>
      <c r="T34" s="14">
        <f t="shared" si="19"/>
        <v>0.14372634283670724</v>
      </c>
      <c r="U34" s="15">
        <f t="shared" si="20"/>
        <v>-16587.214087862536</v>
      </c>
      <c r="V34" s="15">
        <f t="shared" si="21"/>
        <v>47457.333814617305</v>
      </c>
      <c r="W34" s="14">
        <f t="shared" si="22"/>
        <v>0.10650194674403562</v>
      </c>
      <c r="X34" s="17">
        <f t="shared" si="23"/>
        <v>0.65019467440356193</v>
      </c>
      <c r="Y34" s="17">
        <f t="shared" si="24"/>
        <v>-0.6273657163292784</v>
      </c>
      <c r="Z34" s="13" t="str">
        <f t="shared" si="25"/>
        <v>СТОП</v>
      </c>
      <c r="AA34" s="14">
        <f t="shared" si="26"/>
        <v>0.1</v>
      </c>
      <c r="AB34" s="14">
        <f t="shared" si="27"/>
        <v>0.15000000000000002</v>
      </c>
    </row>
    <row r="35" spans="1:28" x14ac:dyDescent="0.5">
      <c r="A35" s="13">
        <f t="shared" si="0"/>
        <v>3</v>
      </c>
      <c r="B35" s="14">
        <f t="shared" si="1"/>
        <v>1.4999999999999999E-2</v>
      </c>
      <c r="C35" s="15">
        <f t="shared" si="2"/>
        <v>8236.86</v>
      </c>
      <c r="D35" s="15">
        <f t="shared" si="3"/>
        <v>6751.5245901639364</v>
      </c>
      <c r="E35" s="15">
        <f t="shared" si="4"/>
        <v>540887.14</v>
      </c>
      <c r="F35" s="15">
        <f t="shared" si="5"/>
        <v>443350.11475409847</v>
      </c>
      <c r="G35" s="16">
        <f t="shared" si="6"/>
        <v>105395</v>
      </c>
      <c r="H35" s="15">
        <f t="shared" si="7"/>
        <v>313737.29508196726</v>
      </c>
      <c r="I35" s="15">
        <f t="shared" si="8"/>
        <v>7294.5</v>
      </c>
      <c r="J35" s="15">
        <f t="shared" si="9"/>
        <v>17758.852459016394</v>
      </c>
      <c r="K35" s="15">
        <f t="shared" si="10"/>
        <v>338790.64754098363</v>
      </c>
      <c r="L35" s="15">
        <f t="shared" si="11"/>
        <v>104559.46721311484</v>
      </c>
      <c r="M35" s="14">
        <f t="shared" si="12"/>
        <v>0.23583949509319094</v>
      </c>
      <c r="N35" s="15">
        <f t="shared" si="13"/>
        <v>31419.012020689654</v>
      </c>
      <c r="O35" s="15">
        <f t="shared" si="14"/>
        <v>2015.445833333333</v>
      </c>
      <c r="P35" s="15">
        <f t="shared" si="15"/>
        <v>9330.9696533333336</v>
      </c>
      <c r="Q35" s="15">
        <f t="shared" si="16"/>
        <v>71125.009359091855</v>
      </c>
      <c r="R35" s="14">
        <f t="shared" si="17"/>
        <v>0.16042627934931497</v>
      </c>
      <c r="S35" s="15">
        <f t="shared" si="18"/>
        <v>61794.039705758521</v>
      </c>
      <c r="T35" s="14">
        <f t="shared" si="19"/>
        <v>0.13937977604907631</v>
      </c>
      <c r="U35" s="15">
        <f t="shared" si="20"/>
        <v>-16004.343843820099</v>
      </c>
      <c r="V35" s="15">
        <f t="shared" si="21"/>
        <v>45789.695861938424</v>
      </c>
      <c r="W35" s="14">
        <f t="shared" si="22"/>
        <v>0.10328111877750479</v>
      </c>
      <c r="X35" s="17">
        <f t="shared" si="23"/>
        <v>0.32811187775047823</v>
      </c>
      <c r="Y35" s="17">
        <f t="shared" si="24"/>
        <v>-1.0620223950923713</v>
      </c>
      <c r="Z35" s="13" t="str">
        <f t="shared" si="25"/>
        <v>СТОП</v>
      </c>
      <c r="AA35" s="14">
        <f t="shared" si="26"/>
        <v>0.1</v>
      </c>
      <c r="AB35" s="14">
        <f t="shared" si="27"/>
        <v>0.15000000000000002</v>
      </c>
    </row>
    <row r="36" spans="1:28" x14ac:dyDescent="0.5">
      <c r="A36" s="13">
        <f t="shared" si="0"/>
        <v>4</v>
      </c>
      <c r="B36" s="14">
        <f t="shared" si="1"/>
        <v>0.02</v>
      </c>
      <c r="C36" s="15">
        <f t="shared" si="2"/>
        <v>10982.48</v>
      </c>
      <c r="D36" s="15">
        <f t="shared" si="3"/>
        <v>9002.0327868852492</v>
      </c>
      <c r="E36" s="15">
        <f t="shared" si="4"/>
        <v>538141.52</v>
      </c>
      <c r="F36" s="15">
        <f t="shared" si="5"/>
        <v>441099.60655737715</v>
      </c>
      <c r="G36" s="16">
        <f t="shared" si="6"/>
        <v>104860</v>
      </c>
      <c r="H36" s="15">
        <f t="shared" si="7"/>
        <v>313737.29508196726</v>
      </c>
      <c r="I36" s="15">
        <f t="shared" si="8"/>
        <v>7294.5</v>
      </c>
      <c r="J36" s="15">
        <f t="shared" si="9"/>
        <v>17758.852459016394</v>
      </c>
      <c r="K36" s="15">
        <f t="shared" si="10"/>
        <v>338790.64754098363</v>
      </c>
      <c r="L36" s="15">
        <f t="shared" si="11"/>
        <v>102308.95901639352</v>
      </c>
      <c r="M36" s="14">
        <f t="shared" si="12"/>
        <v>0.2319407170069317</v>
      </c>
      <c r="N36" s="15">
        <f t="shared" si="13"/>
        <v>31419.012020689654</v>
      </c>
      <c r="O36" s="15">
        <f t="shared" si="14"/>
        <v>2015.445833333333</v>
      </c>
      <c r="P36" s="15">
        <f t="shared" si="15"/>
        <v>9330.9696533333336</v>
      </c>
      <c r="Q36" s="15">
        <f t="shared" si="16"/>
        <v>68874.501162370536</v>
      </c>
      <c r="R36" s="14">
        <f t="shared" si="17"/>
        <v>0.15614273995824005</v>
      </c>
      <c r="S36" s="15">
        <f t="shared" si="18"/>
        <v>59543.531509037202</v>
      </c>
      <c r="T36" s="14">
        <f t="shared" si="19"/>
        <v>0.1349888565391226</v>
      </c>
      <c r="U36" s="15">
        <f t="shared" si="20"/>
        <v>-15421.473599777662</v>
      </c>
      <c r="V36" s="15">
        <f t="shared" si="21"/>
        <v>44122.057909259544</v>
      </c>
      <c r="W36" s="14">
        <f t="shared" si="22"/>
        <v>0.10002742521947876</v>
      </c>
      <c r="X36" s="17">
        <f t="shared" si="23"/>
        <v>2.7425219478752205E-3</v>
      </c>
      <c r="Y36" s="17">
        <f t="shared" si="24"/>
        <v>-1.5011143460877423</v>
      </c>
      <c r="Z36" s="13" t="str">
        <f t="shared" si="25"/>
        <v>СТОП</v>
      </c>
      <c r="AA36" s="14">
        <f t="shared" si="26"/>
        <v>0.1</v>
      </c>
      <c r="AB36" s="14">
        <f t="shared" si="27"/>
        <v>0.15000000000000002</v>
      </c>
    </row>
    <row r="37" spans="1:28" x14ac:dyDescent="0.5">
      <c r="A37" s="13">
        <f t="shared" si="0"/>
        <v>5</v>
      </c>
      <c r="B37" s="14">
        <f t="shared" si="1"/>
        <v>2.5000000000000001E-2</v>
      </c>
      <c r="C37" s="15">
        <f t="shared" si="2"/>
        <v>13728.1</v>
      </c>
      <c r="D37" s="15">
        <f t="shared" si="3"/>
        <v>11252.540983606561</v>
      </c>
      <c r="E37" s="15">
        <f t="shared" si="4"/>
        <v>535395.9</v>
      </c>
      <c r="F37" s="15">
        <f t="shared" si="5"/>
        <v>438849.09836065583</v>
      </c>
      <c r="G37" s="16">
        <f t="shared" si="6"/>
        <v>104325</v>
      </c>
      <c r="H37" s="15">
        <f t="shared" si="7"/>
        <v>313737.29508196726</v>
      </c>
      <c r="I37" s="15">
        <f t="shared" si="8"/>
        <v>7294.5</v>
      </c>
      <c r="J37" s="15">
        <f t="shared" si="9"/>
        <v>17758.852459016394</v>
      </c>
      <c r="K37" s="15">
        <f t="shared" si="10"/>
        <v>338790.64754098363</v>
      </c>
      <c r="L37" s="15">
        <f t="shared" si="11"/>
        <v>100058.4508196722</v>
      </c>
      <c r="M37" s="14">
        <f t="shared" si="12"/>
        <v>0.22800195145312108</v>
      </c>
      <c r="N37" s="15">
        <f t="shared" si="13"/>
        <v>31419.012020689654</v>
      </c>
      <c r="O37" s="15">
        <f t="shared" si="14"/>
        <v>2015.445833333333</v>
      </c>
      <c r="P37" s="15">
        <f t="shared" si="15"/>
        <v>9330.9696533333336</v>
      </c>
      <c r="Q37" s="15">
        <f t="shared" si="16"/>
        <v>66623.992965649217</v>
      </c>
      <c r="R37" s="14">
        <f t="shared" si="17"/>
        <v>0.15181526682982074</v>
      </c>
      <c r="S37" s="15">
        <f t="shared" si="18"/>
        <v>57293.023312315883</v>
      </c>
      <c r="T37" s="14">
        <f t="shared" si="19"/>
        <v>0.13055290195727193</v>
      </c>
      <c r="U37" s="15">
        <f t="shared" si="20"/>
        <v>-14838.603355735224</v>
      </c>
      <c r="V37" s="15">
        <f t="shared" si="21"/>
        <v>42454.419956580663</v>
      </c>
      <c r="W37" s="14">
        <f t="shared" si="22"/>
        <v>9.6740360445472962E-2</v>
      </c>
      <c r="X37" s="17">
        <f t="shared" si="23"/>
        <v>-0.3259639554527044</v>
      </c>
      <c r="Y37" s="17">
        <f t="shared" si="24"/>
        <v>-1.9447098042728095</v>
      </c>
      <c r="Z37" s="13" t="str">
        <f t="shared" si="25"/>
        <v>СТОП</v>
      </c>
      <c r="AA37" s="14">
        <f t="shared" si="26"/>
        <v>0.1</v>
      </c>
      <c r="AB37" s="14">
        <f t="shared" si="27"/>
        <v>0.15000000000000002</v>
      </c>
    </row>
    <row r="38" spans="1:28" s="23" customFormat="1" x14ac:dyDescent="0.5">
      <c r="A38" s="18">
        <f t="shared" si="0"/>
        <v>6</v>
      </c>
      <c r="B38" s="19">
        <f t="shared" si="1"/>
        <v>0.03</v>
      </c>
      <c r="C38" s="20">
        <f t="shared" si="2"/>
        <v>16473.72</v>
      </c>
      <c r="D38" s="20">
        <f t="shared" si="3"/>
        <v>13503.049180327873</v>
      </c>
      <c r="E38" s="20">
        <f t="shared" si="4"/>
        <v>532650.28</v>
      </c>
      <c r="F38" s="20">
        <f t="shared" si="5"/>
        <v>436598.59016393457</v>
      </c>
      <c r="G38" s="21">
        <f t="shared" si="6"/>
        <v>103790</v>
      </c>
      <c r="H38" s="20">
        <f t="shared" si="7"/>
        <v>313737.29508196726</v>
      </c>
      <c r="I38" s="20">
        <f t="shared" si="8"/>
        <v>7294.5</v>
      </c>
      <c r="J38" s="20">
        <f t="shared" si="9"/>
        <v>17758.852459016394</v>
      </c>
      <c r="K38" s="20">
        <f t="shared" si="10"/>
        <v>338790.64754098363</v>
      </c>
      <c r="L38" s="20">
        <f t="shared" si="11"/>
        <v>97807.942622950941</v>
      </c>
      <c r="M38" s="19">
        <f t="shared" si="12"/>
        <v>0.22402258006885889</v>
      </c>
      <c r="N38" s="20">
        <f t="shared" si="13"/>
        <v>31419.012020689654</v>
      </c>
      <c r="O38" s="20">
        <f t="shared" si="14"/>
        <v>2015.445833333333</v>
      </c>
      <c r="P38" s="20">
        <f t="shared" si="15"/>
        <v>9330.9696533333336</v>
      </c>
      <c r="Q38" s="20">
        <f t="shared" si="16"/>
        <v>64373.484768927956</v>
      </c>
      <c r="R38" s="19">
        <f t="shared" si="17"/>
        <v>0.14744318057636632</v>
      </c>
      <c r="S38" s="20">
        <f t="shared" si="18"/>
        <v>55042.515115594622</v>
      </c>
      <c r="T38" s="19">
        <f t="shared" si="19"/>
        <v>0.12607121588488682</v>
      </c>
      <c r="U38" s="20">
        <f t="shared" si="20"/>
        <v>-14255.733111692804</v>
      </c>
      <c r="V38" s="20">
        <f t="shared" si="21"/>
        <v>40786.782003901819</v>
      </c>
      <c r="W38" s="19">
        <f t="shared" si="22"/>
        <v>9.3419408405755841E-2</v>
      </c>
      <c r="X38" s="22">
        <f t="shared" si="23"/>
        <v>-0.65805915942441651</v>
      </c>
      <c r="Y38" s="22">
        <f t="shared" si="24"/>
        <v>-2.3928784115113206</v>
      </c>
      <c r="Z38" s="18" t="str">
        <f t="shared" si="25"/>
        <v>СТОП</v>
      </c>
      <c r="AA38" s="19">
        <f t="shared" si="26"/>
        <v>0.1</v>
      </c>
      <c r="AB38" s="19">
        <f t="shared" si="27"/>
        <v>0.15000000000000002</v>
      </c>
    </row>
    <row r="39" spans="1:28" x14ac:dyDescent="0.5">
      <c r="A39" s="13">
        <f t="shared" si="0"/>
        <v>7</v>
      </c>
      <c r="B39" s="14">
        <f t="shared" si="1"/>
        <v>3.5000000000000003E-2</v>
      </c>
      <c r="C39" s="15">
        <f t="shared" si="2"/>
        <v>19219.34</v>
      </c>
      <c r="D39" s="15">
        <f t="shared" si="3"/>
        <v>15753.557377049186</v>
      </c>
      <c r="E39" s="15">
        <f t="shared" si="4"/>
        <v>529904.66</v>
      </c>
      <c r="F39" s="15">
        <f t="shared" si="5"/>
        <v>434348.08196721325</v>
      </c>
      <c r="G39" s="16">
        <f t="shared" si="6"/>
        <v>103255</v>
      </c>
      <c r="H39" s="15">
        <f t="shared" si="7"/>
        <v>313737.29508196726</v>
      </c>
      <c r="I39" s="15">
        <f t="shared" si="8"/>
        <v>7294.5</v>
      </c>
      <c r="J39" s="15">
        <f t="shared" si="9"/>
        <v>17758.852459016394</v>
      </c>
      <c r="K39" s="15">
        <f t="shared" si="10"/>
        <v>338790.64754098363</v>
      </c>
      <c r="L39" s="15">
        <f t="shared" si="11"/>
        <v>95557.434426229622</v>
      </c>
      <c r="M39" s="14">
        <f t="shared" si="12"/>
        <v>0.22000197167543328</v>
      </c>
      <c r="N39" s="15">
        <f t="shared" si="13"/>
        <v>31419.012020689654</v>
      </c>
      <c r="O39" s="15">
        <f t="shared" si="14"/>
        <v>2015.445833333333</v>
      </c>
      <c r="P39" s="15">
        <f t="shared" si="15"/>
        <v>9330.9696533333336</v>
      </c>
      <c r="Q39" s="15">
        <f t="shared" si="16"/>
        <v>62122.976572206637</v>
      </c>
      <c r="R39" s="14">
        <f t="shared" si="17"/>
        <v>0.14302578772961172</v>
      </c>
      <c r="S39" s="15">
        <f t="shared" si="18"/>
        <v>52792.006918873303</v>
      </c>
      <c r="T39" s="14">
        <f t="shared" si="19"/>
        <v>0.1215430874697826</v>
      </c>
      <c r="U39" s="15">
        <f t="shared" si="20"/>
        <v>-13672.862867650365</v>
      </c>
      <c r="V39" s="15">
        <f t="shared" si="21"/>
        <v>39119.144051222938</v>
      </c>
      <c r="W39" s="14">
        <f t="shared" si="22"/>
        <v>9.0064042355264384E-2</v>
      </c>
      <c r="X39" s="17">
        <f t="shared" si="23"/>
        <v>-0.99359576447356213</v>
      </c>
      <c r="Y39" s="17">
        <f t="shared" si="24"/>
        <v>-2.8456912530217426</v>
      </c>
      <c r="Z39" s="13" t="str">
        <f t="shared" si="25"/>
        <v>СТОП</v>
      </c>
      <c r="AA39" s="14">
        <f t="shared" si="26"/>
        <v>0.1</v>
      </c>
      <c r="AB39" s="14">
        <f t="shared" si="27"/>
        <v>0.15000000000000002</v>
      </c>
    </row>
    <row r="40" spans="1:28" x14ac:dyDescent="0.5">
      <c r="A40" s="13">
        <f t="shared" si="0"/>
        <v>8</v>
      </c>
      <c r="B40" s="14">
        <f t="shared" si="1"/>
        <v>0.04</v>
      </c>
      <c r="C40" s="15">
        <f t="shared" si="2"/>
        <v>21964.959999999999</v>
      </c>
      <c r="D40" s="15">
        <f t="shared" si="3"/>
        <v>18004.065573770498</v>
      </c>
      <c r="E40" s="15">
        <f t="shared" si="4"/>
        <v>527159.04000000004</v>
      </c>
      <c r="F40" s="15">
        <f t="shared" si="5"/>
        <v>432097.57377049193</v>
      </c>
      <c r="G40" s="16">
        <f t="shared" si="6"/>
        <v>102720</v>
      </c>
      <c r="H40" s="15">
        <f t="shared" si="7"/>
        <v>313737.29508196726</v>
      </c>
      <c r="I40" s="15">
        <f t="shared" si="8"/>
        <v>7294.5</v>
      </c>
      <c r="J40" s="15">
        <f t="shared" si="9"/>
        <v>17758.852459016394</v>
      </c>
      <c r="K40" s="15">
        <f t="shared" si="10"/>
        <v>338790.64754098363</v>
      </c>
      <c r="L40" s="15">
        <f t="shared" si="11"/>
        <v>93306.926229508303</v>
      </c>
      <c r="M40" s="14">
        <f t="shared" si="12"/>
        <v>0.21593948194457616</v>
      </c>
      <c r="N40" s="15">
        <f t="shared" si="13"/>
        <v>31419.012020689654</v>
      </c>
      <c r="O40" s="15">
        <f t="shared" si="14"/>
        <v>2015.445833333333</v>
      </c>
      <c r="P40" s="15">
        <f t="shared" si="15"/>
        <v>9330.9696533333336</v>
      </c>
      <c r="Q40" s="15">
        <f t="shared" si="16"/>
        <v>59872.468375485318</v>
      </c>
      <c r="R40" s="14">
        <f t="shared" si="17"/>
        <v>0.13856238037403679</v>
      </c>
      <c r="S40" s="15">
        <f t="shared" si="18"/>
        <v>50541.498722151984</v>
      </c>
      <c r="T40" s="14">
        <f t="shared" si="19"/>
        <v>0.11696779105035437</v>
      </c>
      <c r="U40" s="15">
        <f t="shared" si="20"/>
        <v>-13089.992623607928</v>
      </c>
      <c r="V40" s="15">
        <f t="shared" si="21"/>
        <v>37451.506098544058</v>
      </c>
      <c r="W40" s="14">
        <f t="shared" si="22"/>
        <v>8.6673724575080296E-2</v>
      </c>
      <c r="X40" s="17">
        <f t="shared" si="23"/>
        <v>-1.3326275424919709</v>
      </c>
      <c r="Y40" s="17">
        <f t="shared" si="24"/>
        <v>-3.3032208949645647</v>
      </c>
      <c r="Z40" s="13" t="str">
        <f t="shared" si="25"/>
        <v>СТОП</v>
      </c>
      <c r="AA40" s="14">
        <f t="shared" si="26"/>
        <v>0.1</v>
      </c>
      <c r="AB40" s="14">
        <f t="shared" si="27"/>
        <v>0.15000000000000002</v>
      </c>
    </row>
    <row r="41" spans="1:28" x14ac:dyDescent="0.5">
      <c r="A41" s="13">
        <f t="shared" si="0"/>
        <v>9</v>
      </c>
      <c r="B41" s="14">
        <f t="shared" si="1"/>
        <v>4.4999999999999998E-2</v>
      </c>
      <c r="C41" s="15">
        <f t="shared" si="2"/>
        <v>24710.579999999998</v>
      </c>
      <c r="D41" s="15">
        <f t="shared" si="3"/>
        <v>20254.57377049181</v>
      </c>
      <c r="E41" s="15">
        <f t="shared" si="4"/>
        <v>524413.41999999993</v>
      </c>
      <c r="F41" s="15">
        <f t="shared" si="5"/>
        <v>429847.06557377061</v>
      </c>
      <c r="G41" s="16">
        <f t="shared" si="6"/>
        <v>102185</v>
      </c>
      <c r="H41" s="15">
        <f t="shared" si="7"/>
        <v>313737.29508196726</v>
      </c>
      <c r="I41" s="15">
        <f t="shared" si="8"/>
        <v>7294.5</v>
      </c>
      <c r="J41" s="15">
        <f t="shared" si="9"/>
        <v>17758.852459016394</v>
      </c>
      <c r="K41" s="15">
        <f t="shared" si="10"/>
        <v>338790.64754098363</v>
      </c>
      <c r="L41" s="15">
        <f t="shared" si="11"/>
        <v>91056.418032786984</v>
      </c>
      <c r="M41" s="14">
        <f t="shared" si="12"/>
        <v>0.2118344530542336</v>
      </c>
      <c r="N41" s="15">
        <f t="shared" si="13"/>
        <v>31419.012020689654</v>
      </c>
      <c r="O41" s="15">
        <f t="shared" si="14"/>
        <v>2015.445833333333</v>
      </c>
      <c r="P41" s="15">
        <f t="shared" si="15"/>
        <v>9330.9696533333336</v>
      </c>
      <c r="Q41" s="15">
        <f t="shared" si="16"/>
        <v>57621.960178763999</v>
      </c>
      <c r="R41" s="14">
        <f t="shared" si="17"/>
        <v>0.13405223576866523</v>
      </c>
      <c r="S41" s="15">
        <f t="shared" si="18"/>
        <v>48290.990525430665</v>
      </c>
      <c r="T41" s="14">
        <f t="shared" si="19"/>
        <v>0.11234458576789548</v>
      </c>
      <c r="U41" s="15">
        <f t="shared" si="20"/>
        <v>-12507.122379565491</v>
      </c>
      <c r="V41" s="15">
        <f t="shared" si="21"/>
        <v>35783.86814586517</v>
      </c>
      <c r="W41" s="14">
        <f t="shared" si="22"/>
        <v>8.3247906085156045E-2</v>
      </c>
      <c r="X41" s="17">
        <f t="shared" si="23"/>
        <v>-1.675209391484396</v>
      </c>
      <c r="Y41" s="17">
        <f t="shared" si="24"/>
        <v>-3.765541423210454</v>
      </c>
      <c r="Z41" s="13" t="str">
        <f t="shared" si="25"/>
        <v>СТОП</v>
      </c>
      <c r="AA41" s="14">
        <f t="shared" si="26"/>
        <v>0.1</v>
      </c>
      <c r="AB41" s="14">
        <f t="shared" si="27"/>
        <v>0.15000000000000002</v>
      </c>
    </row>
    <row r="42" spans="1:28" x14ac:dyDescent="0.5">
      <c r="A42" s="13">
        <f t="shared" si="0"/>
        <v>10</v>
      </c>
      <c r="B42" s="14">
        <f t="shared" si="1"/>
        <v>0.05</v>
      </c>
      <c r="C42" s="15">
        <f t="shared" si="2"/>
        <v>27456.2</v>
      </c>
      <c r="D42" s="15">
        <f t="shared" si="3"/>
        <v>22505.081967213122</v>
      </c>
      <c r="E42" s="15">
        <f t="shared" si="4"/>
        <v>521667.8</v>
      </c>
      <c r="F42" s="15">
        <f t="shared" si="5"/>
        <v>427596.55737704929</v>
      </c>
      <c r="G42" s="16">
        <f t="shared" si="6"/>
        <v>101650</v>
      </c>
      <c r="H42" s="15">
        <f t="shared" si="7"/>
        <v>313737.29508196726</v>
      </c>
      <c r="I42" s="15">
        <f t="shared" si="8"/>
        <v>7294.5</v>
      </c>
      <c r="J42" s="15">
        <f t="shared" si="9"/>
        <v>17758.852459016394</v>
      </c>
      <c r="K42" s="15">
        <f t="shared" si="10"/>
        <v>338790.64754098363</v>
      </c>
      <c r="L42" s="15">
        <f t="shared" si="11"/>
        <v>88805.909836065664</v>
      </c>
      <c r="M42" s="14">
        <f t="shared" si="12"/>
        <v>0.2076862133334664</v>
      </c>
      <c r="N42" s="15">
        <f t="shared" si="13"/>
        <v>31419.012020689654</v>
      </c>
      <c r="O42" s="15">
        <f t="shared" si="14"/>
        <v>2015.445833333333</v>
      </c>
      <c r="P42" s="15">
        <f t="shared" si="15"/>
        <v>9330.9696533333336</v>
      </c>
      <c r="Q42" s="15">
        <f t="shared" si="16"/>
        <v>55371.451982042679</v>
      </c>
      <c r="R42" s="14">
        <f t="shared" si="17"/>
        <v>0.12949461595692136</v>
      </c>
      <c r="S42" s="15">
        <f t="shared" si="18"/>
        <v>46040.482328709346</v>
      </c>
      <c r="T42" s="14">
        <f t="shared" si="19"/>
        <v>0.10767271516667386</v>
      </c>
      <c r="U42" s="15">
        <f t="shared" si="20"/>
        <v>-11924.252135523055</v>
      </c>
      <c r="V42" s="15">
        <f t="shared" si="21"/>
        <v>34116.230193186289</v>
      </c>
      <c r="W42" s="14">
        <f t="shared" si="22"/>
        <v>7.9786026347969455E-2</v>
      </c>
      <c r="X42" s="17">
        <f t="shared" si="23"/>
        <v>-2.0213973652030552</v>
      </c>
      <c r="Y42" s="17">
        <f t="shared" si="24"/>
        <v>-4.2327284833326164</v>
      </c>
      <c r="Z42" s="13" t="str">
        <f t="shared" si="25"/>
        <v>СТОП</v>
      </c>
      <c r="AA42" s="14">
        <f t="shared" si="26"/>
        <v>0.1</v>
      </c>
      <c r="AB42" s="14">
        <f t="shared" si="27"/>
        <v>0.15000000000000002</v>
      </c>
    </row>
    <row r="43" spans="1:28" x14ac:dyDescent="0.5">
      <c r="A43" s="13">
        <f t="shared" si="0"/>
        <v>11</v>
      </c>
      <c r="B43" s="14">
        <f t="shared" si="1"/>
        <v>5.5E-2</v>
      </c>
      <c r="C43" s="15">
        <f t="shared" si="2"/>
        <v>30201.82</v>
      </c>
      <c r="D43" s="15">
        <f t="shared" si="3"/>
        <v>24755.590163934434</v>
      </c>
      <c r="E43" s="15">
        <f t="shared" si="4"/>
        <v>518922.18</v>
      </c>
      <c r="F43" s="15">
        <f t="shared" si="5"/>
        <v>425346.04918032797</v>
      </c>
      <c r="G43" s="16">
        <f t="shared" si="6"/>
        <v>101115</v>
      </c>
      <c r="H43" s="15">
        <f t="shared" si="7"/>
        <v>313737.29508196726</v>
      </c>
      <c r="I43" s="15">
        <f t="shared" si="8"/>
        <v>7294.5</v>
      </c>
      <c r="J43" s="15">
        <f t="shared" si="9"/>
        <v>17758.852459016394</v>
      </c>
      <c r="K43" s="15">
        <f t="shared" si="10"/>
        <v>338790.64754098363</v>
      </c>
      <c r="L43" s="15">
        <f t="shared" si="11"/>
        <v>86555.401639344345</v>
      </c>
      <c r="M43" s="14">
        <f t="shared" si="12"/>
        <v>0.20349407689607732</v>
      </c>
      <c r="N43" s="15">
        <f t="shared" si="13"/>
        <v>31419.012020689654</v>
      </c>
      <c r="O43" s="15">
        <f t="shared" si="14"/>
        <v>2015.445833333333</v>
      </c>
      <c r="P43" s="15">
        <f t="shared" si="15"/>
        <v>9330.9696533333336</v>
      </c>
      <c r="Q43" s="15">
        <f t="shared" si="16"/>
        <v>53120.94378532136</v>
      </c>
      <c r="R43" s="14">
        <f t="shared" si="17"/>
        <v>0.1248887673641008</v>
      </c>
      <c r="S43" s="15">
        <f t="shared" si="18"/>
        <v>43789.974131988027</v>
      </c>
      <c r="T43" s="14">
        <f t="shared" si="19"/>
        <v>0.10295140678131233</v>
      </c>
      <c r="U43" s="15">
        <f t="shared" si="20"/>
        <v>-11341.381891480618</v>
      </c>
      <c r="V43" s="15">
        <f t="shared" si="21"/>
        <v>32448.592240507409</v>
      </c>
      <c r="W43" s="14">
        <f t="shared" si="22"/>
        <v>7.628751296277031E-2</v>
      </c>
      <c r="X43" s="17">
        <f t="shared" si="23"/>
        <v>-2.3712487037229697</v>
      </c>
      <c r="Y43" s="17">
        <f t="shared" si="24"/>
        <v>-4.7048593218687689</v>
      </c>
      <c r="Z43" s="13" t="str">
        <f t="shared" si="25"/>
        <v>СТОП</v>
      </c>
      <c r="AA43" s="14">
        <f t="shared" si="26"/>
        <v>0.1</v>
      </c>
      <c r="AB43" s="14">
        <f t="shared" si="27"/>
        <v>0.15000000000000002</v>
      </c>
    </row>
    <row r="44" spans="1:28" x14ac:dyDescent="0.5">
      <c r="A44" s="13">
        <f t="shared" si="0"/>
        <v>12</v>
      </c>
      <c r="B44" s="14">
        <f t="shared" si="1"/>
        <v>0.06</v>
      </c>
      <c r="C44" s="15">
        <f t="shared" si="2"/>
        <v>32947.440000000002</v>
      </c>
      <c r="D44" s="15">
        <f t="shared" si="3"/>
        <v>27006.098360655746</v>
      </c>
      <c r="E44" s="15">
        <f t="shared" si="4"/>
        <v>516176.56</v>
      </c>
      <c r="F44" s="15">
        <f t="shared" si="5"/>
        <v>423095.54098360665</v>
      </c>
      <c r="G44" s="16">
        <f t="shared" si="6"/>
        <v>100580</v>
      </c>
      <c r="H44" s="15">
        <f t="shared" si="7"/>
        <v>313737.29508196726</v>
      </c>
      <c r="I44" s="15">
        <f t="shared" si="8"/>
        <v>7294.5</v>
      </c>
      <c r="J44" s="15">
        <f t="shared" si="9"/>
        <v>17758.852459016394</v>
      </c>
      <c r="K44" s="15">
        <f t="shared" si="10"/>
        <v>338790.64754098363</v>
      </c>
      <c r="L44" s="15">
        <f t="shared" si="11"/>
        <v>84304.893442623026</v>
      </c>
      <c r="M44" s="14">
        <f t="shared" si="12"/>
        <v>0.19925734326254579</v>
      </c>
      <c r="N44" s="15">
        <f t="shared" si="13"/>
        <v>31419.012020689654</v>
      </c>
      <c r="O44" s="15">
        <f t="shared" si="14"/>
        <v>2015.445833333333</v>
      </c>
      <c r="P44" s="15">
        <f t="shared" si="15"/>
        <v>9330.9696533333336</v>
      </c>
      <c r="Q44" s="15">
        <f t="shared" si="16"/>
        <v>50870.435588600041</v>
      </c>
      <c r="R44" s="14">
        <f t="shared" si="17"/>
        <v>0.12023392038199494</v>
      </c>
      <c r="S44" s="15">
        <f t="shared" si="18"/>
        <v>41539.465935266708</v>
      </c>
      <c r="T44" s="14">
        <f t="shared" si="19"/>
        <v>9.817987171100015E-2</v>
      </c>
      <c r="U44" s="15">
        <f t="shared" si="20"/>
        <v>-10758.511647438179</v>
      </c>
      <c r="V44" s="15">
        <f t="shared" si="21"/>
        <v>30780.954287828528</v>
      </c>
      <c r="W44" s="14">
        <f t="shared" si="22"/>
        <v>7.2751781350069045E-2</v>
      </c>
      <c r="X44" s="17">
        <f t="shared" si="23"/>
        <v>-2.7248218649930962</v>
      </c>
      <c r="Y44" s="17">
        <f t="shared" si="24"/>
        <v>-5.1820128288999872</v>
      </c>
      <c r="Z44" s="13" t="str">
        <f t="shared" si="25"/>
        <v>СТОП</v>
      </c>
      <c r="AA44" s="14">
        <f t="shared" si="26"/>
        <v>0.1</v>
      </c>
      <c r="AB44" s="14">
        <f t="shared" si="27"/>
        <v>0.15000000000000002</v>
      </c>
    </row>
    <row r="45" spans="1:28" x14ac:dyDescent="0.5">
      <c r="A45" s="13">
        <f t="shared" si="0"/>
        <v>13</v>
      </c>
      <c r="B45" s="14">
        <f t="shared" si="1"/>
        <v>6.5000000000000002E-2</v>
      </c>
      <c r="C45" s="15">
        <f t="shared" si="2"/>
        <v>35693.06</v>
      </c>
      <c r="D45" s="15">
        <f t="shared" si="3"/>
        <v>29256.606557377057</v>
      </c>
      <c r="E45" s="15">
        <f t="shared" si="4"/>
        <v>513430.94</v>
      </c>
      <c r="F45" s="15">
        <f t="shared" si="5"/>
        <v>420845.03278688539</v>
      </c>
      <c r="G45" s="16">
        <f t="shared" si="6"/>
        <v>100045</v>
      </c>
      <c r="H45" s="15">
        <f t="shared" si="7"/>
        <v>313737.29508196726</v>
      </c>
      <c r="I45" s="15">
        <f t="shared" si="8"/>
        <v>7294.5</v>
      </c>
      <c r="J45" s="15">
        <f t="shared" si="9"/>
        <v>17758.852459016394</v>
      </c>
      <c r="K45" s="15">
        <f t="shared" si="10"/>
        <v>338790.64754098363</v>
      </c>
      <c r="L45" s="15">
        <f t="shared" si="11"/>
        <v>82054.385245901765</v>
      </c>
      <c r="M45" s="14">
        <f t="shared" si="12"/>
        <v>0.19497529696983223</v>
      </c>
      <c r="N45" s="15">
        <f t="shared" si="13"/>
        <v>31419.012020689654</v>
      </c>
      <c r="O45" s="15">
        <f t="shared" si="14"/>
        <v>2015.445833333333</v>
      </c>
      <c r="P45" s="15">
        <f t="shared" si="15"/>
        <v>9330.9696533333336</v>
      </c>
      <c r="Q45" s="15">
        <f t="shared" si="16"/>
        <v>48619.92739187878</v>
      </c>
      <c r="R45" s="14">
        <f t="shared" si="17"/>
        <v>0.11552928894018753</v>
      </c>
      <c r="S45" s="15">
        <f t="shared" si="18"/>
        <v>39288.957738545447</v>
      </c>
      <c r="T45" s="14">
        <f t="shared" si="19"/>
        <v>9.3357304180043038E-2</v>
      </c>
      <c r="U45" s="15">
        <f t="shared" si="20"/>
        <v>-10175.641403395759</v>
      </c>
      <c r="V45" s="15">
        <f t="shared" si="21"/>
        <v>29113.316335149688</v>
      </c>
      <c r="W45" s="14">
        <f t="shared" si="22"/>
        <v>6.9178234426002072E-2</v>
      </c>
      <c r="X45" s="17">
        <f t="shared" si="23"/>
        <v>-3.0821765573997935</v>
      </c>
      <c r="Y45" s="17">
        <f t="shared" si="24"/>
        <v>-5.6642695819956987</v>
      </c>
      <c r="Z45" s="13" t="str">
        <f t="shared" si="25"/>
        <v>СТОП</v>
      </c>
      <c r="AA45" s="14">
        <f t="shared" si="26"/>
        <v>0.1</v>
      </c>
      <c r="AB45" s="14">
        <f t="shared" si="27"/>
        <v>0.15000000000000002</v>
      </c>
    </row>
    <row r="46" spans="1:28" x14ac:dyDescent="0.5">
      <c r="A46" s="13">
        <f t="shared" si="0"/>
        <v>14</v>
      </c>
      <c r="B46" s="14">
        <f t="shared" si="1"/>
        <v>7.0000000000000007E-2</v>
      </c>
      <c r="C46" s="15">
        <f t="shared" si="2"/>
        <v>38438.68</v>
      </c>
      <c r="D46" s="15">
        <f t="shared" si="3"/>
        <v>31507.114754098373</v>
      </c>
      <c r="E46" s="15">
        <f t="shared" si="4"/>
        <v>510685.31999999995</v>
      </c>
      <c r="F46" s="15">
        <f t="shared" si="5"/>
        <v>418594.52459016402</v>
      </c>
      <c r="G46" s="16">
        <f t="shared" si="6"/>
        <v>99510</v>
      </c>
      <c r="H46" s="15">
        <f t="shared" si="7"/>
        <v>313737.29508196726</v>
      </c>
      <c r="I46" s="15">
        <f t="shared" si="8"/>
        <v>7294.5</v>
      </c>
      <c r="J46" s="15">
        <f t="shared" si="9"/>
        <v>17758.852459016394</v>
      </c>
      <c r="K46" s="15">
        <f t="shared" si="10"/>
        <v>338790.64754098363</v>
      </c>
      <c r="L46" s="15">
        <f t="shared" si="11"/>
        <v>79803.877049180388</v>
      </c>
      <c r="M46" s="14">
        <f t="shared" si="12"/>
        <v>0.19064720716859465</v>
      </c>
      <c r="N46" s="15">
        <f t="shared" si="13"/>
        <v>31419.012020689654</v>
      </c>
      <c r="O46" s="15">
        <f t="shared" si="14"/>
        <v>2015.445833333333</v>
      </c>
      <c r="P46" s="15">
        <f t="shared" si="15"/>
        <v>9330.9696533333336</v>
      </c>
      <c r="Q46" s="15">
        <f t="shared" si="16"/>
        <v>46369.419195157403</v>
      </c>
      <c r="R46" s="14">
        <f t="shared" si="17"/>
        <v>0.11077407006352175</v>
      </c>
      <c r="S46" s="15">
        <f t="shared" si="18"/>
        <v>37038.449541824069</v>
      </c>
      <c r="T46" s="14">
        <f t="shared" si="19"/>
        <v>8.8482881084236686E-2</v>
      </c>
      <c r="U46" s="15">
        <f t="shared" si="20"/>
        <v>-9592.7711593533058</v>
      </c>
      <c r="V46" s="15">
        <f t="shared" si="21"/>
        <v>27445.678382470764</v>
      </c>
      <c r="W46" s="14">
        <f t="shared" si="22"/>
        <v>6.5566262266192277E-2</v>
      </c>
      <c r="X46" s="17">
        <f t="shared" si="23"/>
        <v>-3.443373773380773</v>
      </c>
      <c r="Y46" s="17">
        <f t="shared" si="24"/>
        <v>-6.1517118915763334</v>
      </c>
      <c r="Z46" s="13" t="str">
        <f t="shared" si="25"/>
        <v>СТОП</v>
      </c>
      <c r="AA46" s="14">
        <f t="shared" si="26"/>
        <v>0.1</v>
      </c>
      <c r="AB46" s="14">
        <f t="shared" si="27"/>
        <v>0.15000000000000002</v>
      </c>
    </row>
    <row r="47" spans="1:28" x14ac:dyDescent="0.5">
      <c r="A47" s="13">
        <f t="shared" si="0"/>
        <v>15</v>
      </c>
      <c r="B47" s="14">
        <f t="shared" si="1"/>
        <v>7.4999999999999997E-2</v>
      </c>
      <c r="C47" s="15">
        <f t="shared" si="2"/>
        <v>41184.299999999996</v>
      </c>
      <c r="D47" s="15">
        <f t="shared" si="3"/>
        <v>33757.622950819677</v>
      </c>
      <c r="E47" s="15">
        <f t="shared" si="4"/>
        <v>507939.7</v>
      </c>
      <c r="F47" s="15">
        <f t="shared" si="5"/>
        <v>416344.01639344275</v>
      </c>
      <c r="G47" s="16">
        <f t="shared" si="6"/>
        <v>98975</v>
      </c>
      <c r="H47" s="15">
        <f t="shared" si="7"/>
        <v>313737.29508196726</v>
      </c>
      <c r="I47" s="15">
        <f t="shared" si="8"/>
        <v>7294.5</v>
      </c>
      <c r="J47" s="15">
        <f t="shared" si="9"/>
        <v>17758.852459016394</v>
      </c>
      <c r="K47" s="15">
        <f t="shared" si="10"/>
        <v>338790.64754098363</v>
      </c>
      <c r="L47" s="15">
        <f t="shared" si="11"/>
        <v>77553.368852459127</v>
      </c>
      <c r="M47" s="14">
        <f t="shared" si="12"/>
        <v>0.18627232720734391</v>
      </c>
      <c r="N47" s="15">
        <f t="shared" si="13"/>
        <v>31419.012020689654</v>
      </c>
      <c r="O47" s="15">
        <f t="shared" si="14"/>
        <v>2015.445833333333</v>
      </c>
      <c r="P47" s="15">
        <f t="shared" si="15"/>
        <v>9330.9696533333336</v>
      </c>
      <c r="Q47" s="15">
        <f t="shared" si="16"/>
        <v>44118.910998436142</v>
      </c>
      <c r="R47" s="14">
        <f t="shared" si="17"/>
        <v>0.10596744341521656</v>
      </c>
      <c r="S47" s="15">
        <f t="shared" si="18"/>
        <v>34787.941345102809</v>
      </c>
      <c r="T47" s="14">
        <f t="shared" si="19"/>
        <v>8.355576152252997E-2</v>
      </c>
      <c r="U47" s="15">
        <f t="shared" si="20"/>
        <v>-9009.9009153108836</v>
      </c>
      <c r="V47" s="15">
        <f t="shared" si="21"/>
        <v>25778.040429791923</v>
      </c>
      <c r="W47" s="14">
        <f t="shared" si="22"/>
        <v>6.1915241758709029E-2</v>
      </c>
      <c r="X47" s="17">
        <f t="shared" si="23"/>
        <v>-3.8084758241290975</v>
      </c>
      <c r="Y47" s="17">
        <f t="shared" si="24"/>
        <v>-6.6444238477470048</v>
      </c>
      <c r="Z47" s="13" t="str">
        <f t="shared" si="25"/>
        <v>СТОП</v>
      </c>
      <c r="AA47" s="14">
        <f t="shared" si="26"/>
        <v>0.1</v>
      </c>
      <c r="AB47" s="14">
        <f t="shared" si="27"/>
        <v>0.15000000000000002</v>
      </c>
    </row>
    <row r="48" spans="1:28" x14ac:dyDescent="0.5">
      <c r="A48" s="13">
        <f t="shared" si="0"/>
        <v>16</v>
      </c>
      <c r="B48" s="14">
        <f t="shared" si="1"/>
        <v>0.08</v>
      </c>
      <c r="C48" s="15">
        <f t="shared" si="2"/>
        <v>43929.919999999998</v>
      </c>
      <c r="D48" s="15">
        <f t="shared" si="3"/>
        <v>36008.131147540997</v>
      </c>
      <c r="E48" s="15">
        <f t="shared" si="4"/>
        <v>505194.08</v>
      </c>
      <c r="F48" s="15">
        <f t="shared" si="5"/>
        <v>414093.50819672144</v>
      </c>
      <c r="G48" s="16">
        <f t="shared" si="6"/>
        <v>98440</v>
      </c>
      <c r="H48" s="15">
        <f t="shared" si="7"/>
        <v>313737.29508196726</v>
      </c>
      <c r="I48" s="15">
        <f t="shared" si="8"/>
        <v>7294.5</v>
      </c>
      <c r="J48" s="15">
        <f t="shared" si="9"/>
        <v>17758.852459016394</v>
      </c>
      <c r="K48" s="15">
        <f t="shared" si="10"/>
        <v>338790.64754098363</v>
      </c>
      <c r="L48" s="15">
        <f t="shared" si="11"/>
        <v>75302.860655737808</v>
      </c>
      <c r="M48" s="14">
        <f t="shared" si="12"/>
        <v>0.18184989420303599</v>
      </c>
      <c r="N48" s="15">
        <f t="shared" si="13"/>
        <v>31419.012020689654</v>
      </c>
      <c r="O48" s="15">
        <f t="shared" si="14"/>
        <v>2015.445833333333</v>
      </c>
      <c r="P48" s="15">
        <f t="shared" si="15"/>
        <v>9330.9696533333336</v>
      </c>
      <c r="Q48" s="15">
        <f t="shared" si="16"/>
        <v>41868.402801714823</v>
      </c>
      <c r="R48" s="14">
        <f t="shared" si="17"/>
        <v>0.10110857082508186</v>
      </c>
      <c r="S48" s="15">
        <f t="shared" si="18"/>
        <v>32537.433148381489</v>
      </c>
      <c r="T48" s="14">
        <f t="shared" si="19"/>
        <v>7.857508631341327E-2</v>
      </c>
      <c r="U48" s="15">
        <f t="shared" si="20"/>
        <v>-8427.0306712684469</v>
      </c>
      <c r="V48" s="15">
        <f t="shared" si="21"/>
        <v>24110.402477113043</v>
      </c>
      <c r="W48" s="14">
        <f t="shared" si="22"/>
        <v>5.8224536245709578E-2</v>
      </c>
      <c r="X48" s="17">
        <f t="shared" si="23"/>
        <v>-4.1775463754290429</v>
      </c>
      <c r="Y48" s="17">
        <f t="shared" si="24"/>
        <v>-7.1424913686586748</v>
      </c>
      <c r="Z48" s="13" t="str">
        <f t="shared" si="25"/>
        <v>СТОП</v>
      </c>
      <c r="AA48" s="14">
        <f t="shared" si="26"/>
        <v>0.1</v>
      </c>
      <c r="AB48" s="14">
        <f t="shared" si="27"/>
        <v>0.15000000000000002</v>
      </c>
    </row>
    <row r="49" spans="1:28" x14ac:dyDescent="0.5">
      <c r="A49" s="13">
        <f t="shared" si="0"/>
        <v>17</v>
      </c>
      <c r="B49" s="14">
        <f t="shared" si="1"/>
        <v>8.5000000000000006E-2</v>
      </c>
      <c r="C49" s="15">
        <f t="shared" si="2"/>
        <v>46675.54</v>
      </c>
      <c r="D49" s="15">
        <f t="shared" si="3"/>
        <v>38258.639344262308</v>
      </c>
      <c r="E49" s="15">
        <f t="shared" si="4"/>
        <v>502448.46</v>
      </c>
      <c r="F49" s="15">
        <f t="shared" si="5"/>
        <v>411843.00000000012</v>
      </c>
      <c r="G49" s="16">
        <f t="shared" si="6"/>
        <v>97905</v>
      </c>
      <c r="H49" s="15">
        <f t="shared" si="7"/>
        <v>313737.29508196726</v>
      </c>
      <c r="I49" s="15">
        <f t="shared" si="8"/>
        <v>7294.5</v>
      </c>
      <c r="J49" s="15">
        <f t="shared" si="9"/>
        <v>17758.852459016394</v>
      </c>
      <c r="K49" s="15">
        <f t="shared" si="10"/>
        <v>338790.64754098363</v>
      </c>
      <c r="L49" s="15">
        <f t="shared" si="11"/>
        <v>73052.352459016489</v>
      </c>
      <c r="M49" s="14">
        <f t="shared" si="12"/>
        <v>0.17737912859758809</v>
      </c>
      <c r="N49" s="15">
        <f t="shared" si="13"/>
        <v>31419.012020689654</v>
      </c>
      <c r="O49" s="15">
        <f t="shared" si="14"/>
        <v>2015.445833333333</v>
      </c>
      <c r="P49" s="15">
        <f t="shared" si="15"/>
        <v>9330.9696533333336</v>
      </c>
      <c r="Q49" s="15">
        <f t="shared" si="16"/>
        <v>39617.894604993504</v>
      </c>
      <c r="R49" s="14">
        <f t="shared" si="17"/>
        <v>9.6196595802268081E-2</v>
      </c>
      <c r="S49" s="15">
        <f t="shared" si="18"/>
        <v>30286.92495166017</v>
      </c>
      <c r="T49" s="14">
        <f t="shared" si="19"/>
        <v>7.3539977495453754E-2</v>
      </c>
      <c r="U49" s="15">
        <f t="shared" si="20"/>
        <v>-7844.1604272260101</v>
      </c>
      <c r="V49" s="15">
        <f t="shared" si="21"/>
        <v>22442.764524434162</v>
      </c>
      <c r="W49" s="14">
        <f t="shared" si="22"/>
        <v>5.4493495153333078E-2</v>
      </c>
      <c r="X49" s="17">
        <f t="shared" si="23"/>
        <v>-4.5506504846666926</v>
      </c>
      <c r="Y49" s="17">
        <f t="shared" si="24"/>
        <v>-7.646002250454627</v>
      </c>
      <c r="Z49" s="13" t="str">
        <f t="shared" si="25"/>
        <v>СТОП</v>
      </c>
      <c r="AA49" s="14">
        <f t="shared" si="26"/>
        <v>0.1</v>
      </c>
      <c r="AB49" s="14">
        <f t="shared" si="27"/>
        <v>0.15000000000000002</v>
      </c>
    </row>
    <row r="50" spans="1:28" x14ac:dyDescent="0.5">
      <c r="A50" s="13">
        <f t="shared" si="0"/>
        <v>18</v>
      </c>
      <c r="B50" s="14">
        <f t="shared" si="1"/>
        <v>0.09</v>
      </c>
      <c r="C50" s="15">
        <f t="shared" si="2"/>
        <v>49421.159999999996</v>
      </c>
      <c r="D50" s="15">
        <f t="shared" si="3"/>
        <v>40509.14754098362</v>
      </c>
      <c r="E50" s="15">
        <f t="shared" si="4"/>
        <v>499702.84</v>
      </c>
      <c r="F50" s="15">
        <f t="shared" si="5"/>
        <v>409592.4918032788</v>
      </c>
      <c r="G50" s="16">
        <f t="shared" si="6"/>
        <v>97370</v>
      </c>
      <c r="H50" s="15">
        <f t="shared" si="7"/>
        <v>313737.29508196726</v>
      </c>
      <c r="I50" s="15">
        <f t="shared" si="8"/>
        <v>7294.5</v>
      </c>
      <c r="J50" s="15">
        <f t="shared" si="9"/>
        <v>17758.852459016394</v>
      </c>
      <c r="K50" s="15">
        <f t="shared" si="10"/>
        <v>338790.64754098363</v>
      </c>
      <c r="L50" s="15">
        <f t="shared" si="11"/>
        <v>70801.84426229517</v>
      </c>
      <c r="M50" s="14">
        <f t="shared" si="12"/>
        <v>0.17285923369977263</v>
      </c>
      <c r="N50" s="15">
        <f t="shared" si="13"/>
        <v>31419.012020689654</v>
      </c>
      <c r="O50" s="15">
        <f t="shared" si="14"/>
        <v>2015.445833333333</v>
      </c>
      <c r="P50" s="15">
        <f t="shared" si="15"/>
        <v>9330.9696533333336</v>
      </c>
      <c r="Q50" s="15">
        <f t="shared" si="16"/>
        <v>37367.386408272185</v>
      </c>
      <c r="R50" s="14">
        <f t="shared" si="17"/>
        <v>9.1230643031950859E-2</v>
      </c>
      <c r="S50" s="15">
        <f t="shared" si="18"/>
        <v>28036.416754938851</v>
      </c>
      <c r="T50" s="14">
        <f t="shared" si="19"/>
        <v>6.8449537811362829E-2</v>
      </c>
      <c r="U50" s="15">
        <f t="shared" si="20"/>
        <v>-7261.2901831835725</v>
      </c>
      <c r="V50" s="15">
        <f t="shared" si="21"/>
        <v>20775.126571755278</v>
      </c>
      <c r="W50" s="14">
        <f t="shared" si="22"/>
        <v>5.0721453609391995E-2</v>
      </c>
      <c r="X50" s="17">
        <f t="shared" si="23"/>
        <v>-4.9278546390608007</v>
      </c>
      <c r="Y50" s="17">
        <f t="shared" si="24"/>
        <v>-8.1550462188637187</v>
      </c>
      <c r="Z50" s="13" t="str">
        <f t="shared" si="25"/>
        <v>СТОП</v>
      </c>
      <c r="AA50" s="14">
        <f t="shared" si="26"/>
        <v>0.1</v>
      </c>
      <c r="AB50" s="14">
        <f t="shared" si="27"/>
        <v>0.15000000000000002</v>
      </c>
    </row>
    <row r="51" spans="1:28" x14ac:dyDescent="0.5">
      <c r="A51" s="13">
        <f t="shared" si="0"/>
        <v>19</v>
      </c>
      <c r="B51" s="14">
        <f t="shared" si="1"/>
        <v>9.5000000000000001E-2</v>
      </c>
      <c r="C51" s="15">
        <f t="shared" si="2"/>
        <v>52166.78</v>
      </c>
      <c r="D51" s="15">
        <f t="shared" si="3"/>
        <v>42759.655737704932</v>
      </c>
      <c r="E51" s="15">
        <f t="shared" si="4"/>
        <v>496957.22000000003</v>
      </c>
      <c r="F51" s="15">
        <f t="shared" si="5"/>
        <v>407341.98360655748</v>
      </c>
      <c r="G51" s="16">
        <f t="shared" si="6"/>
        <v>96835</v>
      </c>
      <c r="H51" s="15">
        <f t="shared" si="7"/>
        <v>313737.29508196726</v>
      </c>
      <c r="I51" s="15">
        <f t="shared" si="8"/>
        <v>7294.5</v>
      </c>
      <c r="J51" s="15">
        <f t="shared" si="9"/>
        <v>17758.852459016394</v>
      </c>
      <c r="K51" s="15">
        <f t="shared" si="10"/>
        <v>338790.64754098363</v>
      </c>
      <c r="L51" s="15">
        <f t="shared" si="11"/>
        <v>68551.336065573851</v>
      </c>
      <c r="M51" s="14">
        <f t="shared" si="12"/>
        <v>0.16828939521192604</v>
      </c>
      <c r="N51" s="15">
        <f t="shared" si="13"/>
        <v>31419.012020689654</v>
      </c>
      <c r="O51" s="15">
        <f t="shared" si="14"/>
        <v>2015.445833333333</v>
      </c>
      <c r="P51" s="15">
        <f t="shared" si="15"/>
        <v>9330.9696533333336</v>
      </c>
      <c r="Q51" s="15">
        <f t="shared" si="16"/>
        <v>35116.878211550866</v>
      </c>
      <c r="R51" s="14">
        <f t="shared" si="17"/>
        <v>8.6209817855331786E-2</v>
      </c>
      <c r="S51" s="15">
        <f t="shared" si="18"/>
        <v>25785.908558217532</v>
      </c>
      <c r="T51" s="14">
        <f t="shared" si="19"/>
        <v>6.3302850174961497E-2</v>
      </c>
      <c r="U51" s="15">
        <f t="shared" si="20"/>
        <v>-6678.4199391411357</v>
      </c>
      <c r="V51" s="15">
        <f t="shared" si="21"/>
        <v>19107.488619076397</v>
      </c>
      <c r="W51" s="14">
        <f t="shared" si="22"/>
        <v>4.6907732048390806E-2</v>
      </c>
      <c r="X51" s="17">
        <f t="shared" si="23"/>
        <v>-5.30922679516092</v>
      </c>
      <c r="Y51" s="17">
        <f t="shared" si="24"/>
        <v>-8.6697149825038533</v>
      </c>
      <c r="Z51" s="13" t="str">
        <f t="shared" si="25"/>
        <v>СТОП</v>
      </c>
      <c r="AA51" s="14">
        <f t="shared" si="26"/>
        <v>0.1</v>
      </c>
      <c r="AB51" s="14">
        <f t="shared" si="27"/>
        <v>0.15000000000000002</v>
      </c>
    </row>
    <row r="52" spans="1:28" x14ac:dyDescent="0.5">
      <c r="A52" s="13">
        <f t="shared" si="0"/>
        <v>20</v>
      </c>
      <c r="B52" s="14">
        <f t="shared" si="1"/>
        <v>0.1</v>
      </c>
      <c r="C52" s="15">
        <f t="shared" si="2"/>
        <v>54912.4</v>
      </c>
      <c r="D52" s="15">
        <f t="shared" si="3"/>
        <v>45010.163934426244</v>
      </c>
      <c r="E52" s="15">
        <f t="shared" si="4"/>
        <v>494211.60000000003</v>
      </c>
      <c r="F52" s="15">
        <f t="shared" si="5"/>
        <v>405091.47540983622</v>
      </c>
      <c r="G52" s="16">
        <f t="shared" si="6"/>
        <v>96300</v>
      </c>
      <c r="H52" s="15">
        <f t="shared" si="7"/>
        <v>313737.29508196726</v>
      </c>
      <c r="I52" s="15">
        <f t="shared" si="8"/>
        <v>7294.5</v>
      </c>
      <c r="J52" s="15">
        <f t="shared" si="9"/>
        <v>17758.852459016394</v>
      </c>
      <c r="K52" s="15">
        <f t="shared" si="10"/>
        <v>338790.64754098363</v>
      </c>
      <c r="L52" s="15">
        <f t="shared" si="11"/>
        <v>66300.82786885259</v>
      </c>
      <c r="M52" s="14">
        <f t="shared" si="12"/>
        <v>0.16366878074088129</v>
      </c>
      <c r="N52" s="15">
        <f t="shared" si="13"/>
        <v>31419.012020689654</v>
      </c>
      <c r="O52" s="15">
        <f t="shared" si="14"/>
        <v>2015.445833333333</v>
      </c>
      <c r="P52" s="15">
        <f t="shared" si="15"/>
        <v>9330.9696533333336</v>
      </c>
      <c r="Q52" s="15">
        <f t="shared" si="16"/>
        <v>32866.370014829605</v>
      </c>
      <c r="R52" s="14">
        <f t="shared" si="17"/>
        <v>8.1133205732305966E-2</v>
      </c>
      <c r="S52" s="15">
        <f t="shared" si="18"/>
        <v>23535.400361496271</v>
      </c>
      <c r="T52" s="14">
        <f t="shared" si="19"/>
        <v>5.8098977120378072E-2</v>
      </c>
      <c r="U52" s="15">
        <f t="shared" si="20"/>
        <v>-6095.5496950987135</v>
      </c>
      <c r="V52" s="15">
        <f t="shared" si="21"/>
        <v>17439.850666397557</v>
      </c>
      <c r="W52" s="14">
        <f t="shared" si="22"/>
        <v>4.3051635803378577E-2</v>
      </c>
      <c r="X52" s="17">
        <f t="shared" si="23"/>
        <v>-5.6948364196621428</v>
      </c>
      <c r="Y52" s="17">
        <f t="shared" si="24"/>
        <v>-9.1901022879621959</v>
      </c>
      <c r="Z52" s="13" t="str">
        <f t="shared" si="25"/>
        <v>СТОП</v>
      </c>
      <c r="AA52" s="14">
        <f t="shared" si="26"/>
        <v>0.1</v>
      </c>
      <c r="AB52" s="14">
        <f t="shared" si="27"/>
        <v>0.15000000000000002</v>
      </c>
    </row>
  </sheetData>
  <mergeCells count="2">
    <mergeCell ref="A1:Z1"/>
    <mergeCell ref="A2:Z2"/>
  </mergeCells>
  <conditionalFormatting sqref="R32:R52">
    <cfRule type="cellIs" dxfId="5" priority="5" operator="lessThan">
      <formula>$B$28</formula>
    </cfRule>
  </conditionalFormatting>
  <conditionalFormatting sqref="T32:T52">
    <cfRule type="cellIs" dxfId="4" priority="4" operator="lessThan">
      <formula>$B$28</formula>
    </cfRule>
  </conditionalFormatting>
  <conditionalFormatting sqref="W32:W52">
    <cfRule type="cellIs" dxfId="3" priority="3" operator="lessThan">
      <formula>$B$26</formula>
    </cfRule>
  </conditionalFormatting>
  <conditionalFormatting sqref="X32:Y52">
    <cfRule type="cellIs" dxfId="2" priority="6" operator="lessThan">
      <formula>0</formula>
    </cfRule>
  </conditionalFormatting>
  <conditionalFormatting sqref="Z32:Z52">
    <cfRule type="expression" dxfId="1" priority="1">
      <formula>Z32="OK"</formula>
    </cfRule>
    <cfRule type="expression" dxfId="0" priority="2">
      <formula>Z32="СТОП"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2026-05-18T06:56:37Z</dcterms:created>
  <dcterms:modified xsi:type="dcterms:W3CDTF">2026-05-18T06:58:55Z</dcterms:modified>
</cp:coreProperties>
</file>