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green.local\Disk_G\4.Files\Гусев\Технополис\_Ред формат\ОВ2\"/>
    </mc:Choice>
  </mc:AlternateContent>
  <xr:revisionPtr revIDLastSave="0" documentId="13_ncr:1_{44000852-BC71-4A27-B672-E07C99D90D4B}" xr6:coauthVersionLast="47" xr6:coauthVersionMax="47" xr10:uidLastSave="{00000000-0000-0000-0000-000000000000}"/>
  <bookViews>
    <workbookView xWindow="-108" yWindow="-108" windowWidth="23256" windowHeight="12576" tabRatio="592" xr2:uid="{9197C5A6-C5AC-4D03-9881-25624D9A1376}"/>
  </bookViews>
  <sheets>
    <sheet name="ВО" sheetId="2" r:id="rId1"/>
    <sheet name="Лист2" sheetId="4" r:id="rId2"/>
    <sheet name="ХОВС" sheetId="3" r:id="rId3"/>
    <sheet name="Лист1" sheetId="1" r:id="rId4"/>
  </sheets>
  <externalReferences>
    <externalReference r:id="rId5"/>
    <externalReference r:id="rId6"/>
    <externalReference r:id="rId7"/>
  </externalReferences>
  <definedNames>
    <definedName name="_xlnm._FilterDatabase" localSheetId="0" hidden="1">ВО!$B$4:$V$252</definedName>
    <definedName name="_xlnm._FilterDatabase" localSheetId="2" hidden="1">ХОВС!$B$6:$X$185</definedName>
    <definedName name="City">[1]Климатология!$A$5:$A$464</definedName>
    <definedName name="Kup">[2]ХОВС!$Z$1</definedName>
    <definedName name="to">#REF!</definedName>
    <definedName name="Value">#REF!</definedName>
    <definedName name="zo">#REF!</definedName>
    <definedName name="ав">#REF!</definedName>
    <definedName name="ан">#REF!</definedName>
    <definedName name="все">#REF!</definedName>
    <definedName name="_xlnm.Print_Titles" localSheetId="0">ВО!$2:$4</definedName>
    <definedName name="_xlnm.Print_Titles" localSheetId="2">ХОВС!$1:$6</definedName>
    <definedName name="Значение1">#REF!</definedName>
    <definedName name="масса_кабеля">#REF!</definedName>
    <definedName name="_xlnm.Print_Area" localSheetId="0">ВО!$B$1:$T$965</definedName>
    <definedName name="_xlnm.Print_Area" localSheetId="2">ХОВС!$A$1:$AK$184</definedName>
    <definedName name="По_уст_м_констр_ям">[3]Хар.систем!#REF!</definedName>
    <definedName name="тн">#REF!</definedName>
    <definedName name="Число_и_сечение_жил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9" i="2" l="1"/>
  <c r="G275" i="2"/>
  <c r="G337" i="2"/>
  <c r="G368" i="2"/>
  <c r="G406" i="2"/>
  <c r="G447" i="2"/>
  <c r="G510" i="2"/>
  <c r="P738" i="2"/>
  <c r="P797" i="2"/>
  <c r="P796" i="2"/>
  <c r="P795" i="2"/>
  <c r="O885" i="2"/>
  <c r="N885" i="2"/>
  <c r="P930" i="2"/>
  <c r="P929" i="2"/>
  <c r="P928" i="2"/>
  <c r="P927" i="2"/>
  <c r="P926" i="2"/>
  <c r="P925" i="2"/>
  <c r="P924" i="2"/>
  <c r="P923" i="2"/>
  <c r="P921" i="2"/>
  <c r="P920" i="2"/>
  <c r="Q930" i="2"/>
  <c r="Q929" i="2"/>
  <c r="Q928" i="2"/>
  <c r="Q927" i="2"/>
  <c r="Q926" i="2"/>
  <c r="Q925" i="2"/>
  <c r="Q924" i="2"/>
  <c r="Q923" i="2"/>
  <c r="Q921" i="2"/>
  <c r="N931" i="2"/>
  <c r="G931" i="2"/>
  <c r="F931" i="2"/>
  <c r="AO928" i="2"/>
  <c r="J930" i="2"/>
  <c r="J929" i="2"/>
  <c r="J928" i="2"/>
  <c r="J927" i="2"/>
  <c r="J926" i="2"/>
  <c r="J925" i="2"/>
  <c r="J924" i="2"/>
  <c r="J923" i="2"/>
  <c r="AJ927" i="2"/>
  <c r="AJ926" i="2"/>
  <c r="AJ925" i="2"/>
  <c r="AJ924" i="2"/>
  <c r="AJ923" i="2"/>
  <c r="AJ922" i="2"/>
  <c r="J921" i="2"/>
  <c r="J920" i="2"/>
  <c r="G582" i="2"/>
  <c r="F582" i="2"/>
  <c r="AN527" i="2"/>
  <c r="AO527" i="2"/>
  <c r="AJ522" i="2"/>
  <c r="AP522" i="2" s="1"/>
  <c r="AJ521" i="2"/>
  <c r="AP521" i="2" s="1"/>
  <c r="J581" i="2"/>
  <c r="J580" i="2"/>
  <c r="J579" i="2"/>
  <c r="J578" i="2"/>
  <c r="J576" i="2"/>
  <c r="J575" i="2"/>
  <c r="J574" i="2"/>
  <c r="J572" i="2"/>
  <c r="J568" i="2"/>
  <c r="Q568" i="2" s="1"/>
  <c r="J567" i="2"/>
  <c r="Q567" i="2" s="1"/>
  <c r="J565" i="2"/>
  <c r="Q565" i="2" s="1"/>
  <c r="J562" i="2"/>
  <c r="Q562" i="2" s="1"/>
  <c r="J560" i="2"/>
  <c r="Q560" i="2" s="1"/>
  <c r="J558" i="2"/>
  <c r="Q558" i="2" s="1"/>
  <c r="J557" i="2"/>
  <c r="Q557" i="2" s="1"/>
  <c r="J556" i="2"/>
  <c r="Q556" i="2" s="1"/>
  <c r="J555" i="2"/>
  <c r="Q555" i="2" s="1"/>
  <c r="J554" i="2"/>
  <c r="Q554" i="2" s="1"/>
  <c r="J552" i="2"/>
  <c r="P552" i="2" s="1"/>
  <c r="J551" i="2"/>
  <c r="Q551" i="2" s="1"/>
  <c r="J550" i="2"/>
  <c r="Q550" i="2" s="1"/>
  <c r="J548" i="2"/>
  <c r="P548" i="2" s="1"/>
  <c r="J546" i="2"/>
  <c r="P546" i="2" s="1"/>
  <c r="J544" i="2"/>
  <c r="P544" i="2" s="1"/>
  <c r="J543" i="2"/>
  <c r="Q543" i="2" s="1"/>
  <c r="J542" i="2"/>
  <c r="Q542" i="2" s="1"/>
  <c r="J541" i="2"/>
  <c r="Q541" i="2" s="1"/>
  <c r="J540" i="2"/>
  <c r="Q540" i="2" s="1"/>
  <c r="J539" i="2"/>
  <c r="Q539" i="2" s="1"/>
  <c r="J538" i="2"/>
  <c r="P538" i="2" s="1"/>
  <c r="J537" i="2"/>
  <c r="Q537" i="2" s="1"/>
  <c r="J536" i="2"/>
  <c r="J534" i="2"/>
  <c r="P534" i="2" s="1"/>
  <c r="J532" i="2"/>
  <c r="P532" i="2" s="1"/>
  <c r="J531" i="2"/>
  <c r="Q531" i="2" s="1"/>
  <c r="J529" i="2"/>
  <c r="Q529" i="2" s="1"/>
  <c r="J527" i="2"/>
  <c r="J524" i="2"/>
  <c r="Q524" i="2" s="1"/>
  <c r="J525" i="2"/>
  <c r="Q525" i="2" s="1"/>
  <c r="J522" i="2"/>
  <c r="J520" i="2"/>
  <c r="J517" i="2"/>
  <c r="P517" i="2" s="1"/>
  <c r="J516" i="2"/>
  <c r="P516" i="2" s="1"/>
  <c r="J515" i="2"/>
  <c r="P515" i="2" s="1"/>
  <c r="J513" i="2"/>
  <c r="P513" i="2" s="1"/>
  <c r="J512" i="2"/>
  <c r="Q512" i="2" s="1"/>
  <c r="O578" i="2"/>
  <c r="N578" i="2"/>
  <c r="O536" i="2"/>
  <c r="N536" i="2"/>
  <c r="O522" i="2"/>
  <c r="N522" i="2"/>
  <c r="O520" i="2"/>
  <c r="N520" i="2"/>
  <c r="G216" i="2"/>
  <c r="F216" i="2"/>
  <c r="AA160" i="2"/>
  <c r="AJ168" i="2"/>
  <c r="AQ168" i="2" s="1"/>
  <c r="AJ167" i="2"/>
  <c r="AQ167" i="2" s="1"/>
  <c r="AJ166" i="2"/>
  <c r="AQ166" i="2" s="1"/>
  <c r="AJ165" i="2"/>
  <c r="AQ165" i="2" s="1"/>
  <c r="AJ164" i="2"/>
  <c r="AQ164" i="2" s="1"/>
  <c r="AJ163" i="2"/>
  <c r="AQ163" i="2" s="1"/>
  <c r="AJ162" i="2"/>
  <c r="AQ162" i="2" s="1"/>
  <c r="J190" i="2"/>
  <c r="P190" i="2" s="1"/>
  <c r="J191" i="2"/>
  <c r="Q191" i="2" s="1"/>
  <c r="J192" i="2"/>
  <c r="Q192" i="2" s="1"/>
  <c r="J193" i="2"/>
  <c r="Q193" i="2" s="1"/>
  <c r="J194" i="2"/>
  <c r="J195" i="2"/>
  <c r="Q195" i="2" s="1"/>
  <c r="J196" i="2"/>
  <c r="Q196" i="2" s="1"/>
  <c r="J197" i="2"/>
  <c r="Q197" i="2" s="1"/>
  <c r="J198" i="2"/>
  <c r="Q198" i="2" s="1"/>
  <c r="J199" i="2"/>
  <c r="P199" i="2" s="1"/>
  <c r="J200" i="2"/>
  <c r="Q200" i="2" s="1"/>
  <c r="J201" i="2"/>
  <c r="Q201" i="2" s="1"/>
  <c r="J202" i="2"/>
  <c r="Q202" i="2" s="1"/>
  <c r="J203" i="2"/>
  <c r="P203" i="2" s="1"/>
  <c r="J204" i="2"/>
  <c r="P204" i="2" s="1"/>
  <c r="J205" i="2"/>
  <c r="P205" i="2" s="1"/>
  <c r="J206" i="2"/>
  <c r="J207" i="2"/>
  <c r="P207" i="2" s="1"/>
  <c r="J208" i="2"/>
  <c r="P208" i="2" s="1"/>
  <c r="J209" i="2"/>
  <c r="Q209" i="2" s="1"/>
  <c r="J210" i="2"/>
  <c r="P210" i="2" s="1"/>
  <c r="J211" i="2"/>
  <c r="P211" i="2" s="1"/>
  <c r="J212" i="2"/>
  <c r="J213" i="2"/>
  <c r="P213" i="2" s="1"/>
  <c r="J214" i="2"/>
  <c r="P214" i="2" s="1"/>
  <c r="J215" i="2"/>
  <c r="P215" i="2" s="1"/>
  <c r="J168" i="2"/>
  <c r="Q168" i="2" s="1"/>
  <c r="J169" i="2"/>
  <c r="J170" i="2"/>
  <c r="P170" i="2" s="1"/>
  <c r="J171" i="2"/>
  <c r="P171" i="2" s="1"/>
  <c r="J172" i="2"/>
  <c r="P172" i="2" s="1"/>
  <c r="J173" i="2"/>
  <c r="P173" i="2" s="1"/>
  <c r="J174" i="2"/>
  <c r="P174" i="2" s="1"/>
  <c r="J175" i="2"/>
  <c r="Q175" i="2" s="1"/>
  <c r="J176" i="2"/>
  <c r="Q176" i="2" s="1"/>
  <c r="J177" i="2"/>
  <c r="P177" i="2" s="1"/>
  <c r="J178" i="2"/>
  <c r="P178" i="2" s="1"/>
  <c r="J179" i="2"/>
  <c r="Q179" i="2" s="1"/>
  <c r="J180" i="2"/>
  <c r="P180" i="2" s="1"/>
  <c r="J181" i="2"/>
  <c r="P181" i="2" s="1"/>
  <c r="J182" i="2"/>
  <c r="Q182" i="2" s="1"/>
  <c r="J183" i="2"/>
  <c r="Q183" i="2" s="1"/>
  <c r="J184" i="2"/>
  <c r="Q184" i="2" s="1"/>
  <c r="J185" i="2"/>
  <c r="P185" i="2" s="1"/>
  <c r="J186" i="2"/>
  <c r="Q186" i="2" s="1"/>
  <c r="J187" i="2"/>
  <c r="Q187" i="2" s="1"/>
  <c r="J188" i="2"/>
  <c r="P188" i="2" s="1"/>
  <c r="J189" i="2"/>
  <c r="P189" i="2" s="1"/>
  <c r="J162" i="2"/>
  <c r="P162" i="2" s="1"/>
  <c r="J163" i="2"/>
  <c r="P163" i="2" s="1"/>
  <c r="J164" i="2"/>
  <c r="J165" i="2"/>
  <c r="P165" i="2" s="1"/>
  <c r="J166" i="2"/>
  <c r="Q166" i="2" s="1"/>
  <c r="J167" i="2"/>
  <c r="Q167" i="2" s="1"/>
  <c r="J160" i="2"/>
  <c r="O212" i="2"/>
  <c r="O206" i="2"/>
  <c r="O194" i="2"/>
  <c r="O169" i="2"/>
  <c r="N212" i="2"/>
  <c r="N206" i="2"/>
  <c r="N194" i="2"/>
  <c r="N169" i="2"/>
  <c r="N164" i="2"/>
  <c r="N160" i="2"/>
  <c r="O582" i="2" l="1"/>
  <c r="Q536" i="2"/>
  <c r="Q517" i="2"/>
  <c r="P536" i="2"/>
  <c r="P529" i="2"/>
  <c r="Q544" i="2"/>
  <c r="Q546" i="2"/>
  <c r="Q548" i="2"/>
  <c r="Q552" i="2"/>
  <c r="P554" i="2"/>
  <c r="P531" i="2"/>
  <c r="Q532" i="2"/>
  <c r="P560" i="2"/>
  <c r="Q534" i="2"/>
  <c r="Q538" i="2"/>
  <c r="P562" i="2"/>
  <c r="P539" i="2"/>
  <c r="P567" i="2"/>
  <c r="P520" i="2"/>
  <c r="Q522" i="2"/>
  <c r="Q520" i="2"/>
  <c r="P568" i="2"/>
  <c r="P556" i="2"/>
  <c r="P557" i="2"/>
  <c r="P558" i="2"/>
  <c r="P522" i="2"/>
  <c r="P537" i="2"/>
  <c r="P565" i="2"/>
  <c r="P525" i="2"/>
  <c r="P512" i="2"/>
  <c r="Q212" i="2"/>
  <c r="Q194" i="2"/>
  <c r="Q169" i="2"/>
  <c r="Q206" i="2"/>
  <c r="P160" i="2"/>
  <c r="P209" i="2"/>
  <c r="Q203" i="2"/>
  <c r="P194" i="2"/>
  <c r="O216" i="2"/>
  <c r="P206" i="2"/>
  <c r="P164" i="2"/>
  <c r="Q162" i="2"/>
  <c r="N216" i="2"/>
  <c r="Q204" i="2"/>
  <c r="P176" i="2"/>
  <c r="P175" i="2"/>
  <c r="Q174" i="2"/>
  <c r="P212" i="2"/>
  <c r="Q171" i="2"/>
  <c r="P184" i="2"/>
  <c r="Q172" i="2"/>
  <c r="Q188" i="2"/>
  <c r="P193" i="2"/>
  <c r="P183" i="2"/>
  <c r="P169" i="2"/>
  <c r="Q199" i="2"/>
  <c r="AP166" i="2"/>
  <c r="Q189" i="2"/>
  <c r="Q210" i="2"/>
  <c r="P182" i="2"/>
  <c r="Q208" i="2"/>
  <c r="Q181" i="2"/>
  <c r="Q173" i="2"/>
  <c r="P192" i="2"/>
  <c r="Q207" i="2"/>
  <c r="Q180" i="2"/>
  <c r="P179" i="2"/>
  <c r="Q213" i="2"/>
  <c r="Q205" i="2"/>
  <c r="Q170" i="2"/>
  <c r="Q178" i="2"/>
  <c r="P187" i="2"/>
  <c r="P195" i="2"/>
  <c r="Q214" i="2"/>
  <c r="Q185" i="2"/>
  <c r="Q177" i="2"/>
  <c r="P196" i="2"/>
  <c r="Q190" i="2"/>
  <c r="Q211" i="2"/>
  <c r="F158" i="2"/>
  <c r="J118" i="2"/>
  <c r="P118" i="2" s="1"/>
  <c r="J24" i="2"/>
  <c r="P24" i="2" s="1"/>
  <c r="O25" i="2"/>
  <c r="J157" i="2"/>
  <c r="Q157" i="2" s="1"/>
  <c r="J156" i="2"/>
  <c r="Q156" i="2" s="1"/>
  <c r="J154" i="2"/>
  <c r="P154" i="2" s="1"/>
  <c r="J153" i="2"/>
  <c r="Q153" i="2" s="1"/>
  <c r="J148" i="2"/>
  <c r="Q148" i="2" s="1"/>
  <c r="J143" i="2"/>
  <c r="Q143" i="2" s="1"/>
  <c r="J140" i="2"/>
  <c r="P140" i="2" s="1"/>
  <c r="J139" i="2"/>
  <c r="P139" i="2" s="1"/>
  <c r="J138" i="2"/>
  <c r="Q138" i="2" s="1"/>
  <c r="J135" i="2"/>
  <c r="J131" i="2"/>
  <c r="Q131" i="2" s="1"/>
  <c r="J128" i="2"/>
  <c r="J127" i="2"/>
  <c r="Q127" i="2" s="1"/>
  <c r="J125" i="2"/>
  <c r="Q125" i="2" s="1"/>
  <c r="J124" i="2"/>
  <c r="Q124" i="2" s="1"/>
  <c r="J123" i="2"/>
  <c r="Q123" i="2" s="1"/>
  <c r="J122" i="2"/>
  <c r="Q122" i="2" s="1"/>
  <c r="J121" i="2"/>
  <c r="J114" i="2"/>
  <c r="Q114" i="2" s="1"/>
  <c r="J109" i="2"/>
  <c r="Q109" i="2" s="1"/>
  <c r="J105" i="2"/>
  <c r="Q105" i="2" s="1"/>
  <c r="J100" i="2"/>
  <c r="P100" i="2" s="1"/>
  <c r="J98" i="2"/>
  <c r="Q98" i="2" s="1"/>
  <c r="J95" i="2"/>
  <c r="Q95" i="2" s="1"/>
  <c r="J92" i="2"/>
  <c r="Q92" i="2" s="1"/>
  <c r="J90" i="2"/>
  <c r="Q90" i="2" s="1"/>
  <c r="J87" i="2"/>
  <c r="Q87" i="2" s="1"/>
  <c r="J86" i="2"/>
  <c r="Q86" i="2" s="1"/>
  <c r="J84" i="2"/>
  <c r="Q84" i="2" s="1"/>
  <c r="J82" i="2"/>
  <c r="Q82" i="2" s="1"/>
  <c r="J79" i="2"/>
  <c r="Q79" i="2" s="1"/>
  <c r="J74" i="2"/>
  <c r="Q74" i="2" s="1"/>
  <c r="J71" i="2"/>
  <c r="P71" i="2" s="1"/>
  <c r="J68" i="2"/>
  <c r="Q68" i="2" s="1"/>
  <c r="J63" i="2"/>
  <c r="P63" i="2" s="1"/>
  <c r="J62" i="2"/>
  <c r="Q62" i="2" s="1"/>
  <c r="J56" i="2"/>
  <c r="Q56" i="2" s="1"/>
  <c r="J55" i="2"/>
  <c r="Q55" i="2" s="1"/>
  <c r="J54" i="2"/>
  <c r="J52" i="2"/>
  <c r="Q52" i="2" s="1"/>
  <c r="J48" i="2"/>
  <c r="P48" i="2" s="1"/>
  <c r="J43" i="2"/>
  <c r="P43" i="2" s="1"/>
  <c r="J38" i="2"/>
  <c r="Q38" i="2" s="1"/>
  <c r="J36" i="2"/>
  <c r="Q36" i="2" s="1"/>
  <c r="J27" i="2"/>
  <c r="J28" i="2"/>
  <c r="P28" i="2" s="1"/>
  <c r="J29" i="2"/>
  <c r="Q29" i="2" s="1"/>
  <c r="J30" i="2"/>
  <c r="P30" i="2" s="1"/>
  <c r="J31" i="2"/>
  <c r="P31" i="2" s="1"/>
  <c r="J32" i="2"/>
  <c r="Q32" i="2" s="1"/>
  <c r="J33" i="2"/>
  <c r="Q33" i="2" s="1"/>
  <c r="J34" i="2"/>
  <c r="P34" i="2" s="1"/>
  <c r="J26" i="2"/>
  <c r="G158" i="2"/>
  <c r="P55" i="2" l="1"/>
  <c r="Q34" i="2"/>
  <c r="P33" i="2"/>
  <c r="Q71" i="2"/>
  <c r="Q140" i="2"/>
  <c r="P143" i="2"/>
  <c r="P74" i="2"/>
  <c r="P98" i="2"/>
  <c r="Q100" i="2"/>
  <c r="P79" i="2"/>
  <c r="P114" i="2"/>
  <c r="Q48" i="2"/>
  <c r="P38" i="2"/>
  <c r="P148" i="2"/>
  <c r="P124" i="2"/>
  <c r="Q118" i="2"/>
  <c r="Q63" i="2"/>
  <c r="Q31" i="2"/>
  <c r="P131" i="2"/>
  <c r="P87" i="2"/>
  <c r="Q154" i="2"/>
  <c r="P52" i="2"/>
  <c r="Q28" i="2"/>
  <c r="P95" i="2"/>
  <c r="Q139" i="2"/>
  <c r="P125" i="2"/>
  <c r="P84" i="2"/>
  <c r="P105" i="2"/>
  <c r="P127" i="2"/>
  <c r="P82" i="2"/>
  <c r="P36" i="2"/>
  <c r="P153" i="2"/>
  <c r="Q43" i="2"/>
  <c r="P86" i="2"/>
  <c r="P109" i="2"/>
  <c r="P156" i="2"/>
  <c r="P68" i="2"/>
  <c r="P90" i="2"/>
  <c r="P157" i="2"/>
  <c r="P92" i="2"/>
  <c r="N27" i="2" l="1"/>
  <c r="P27" i="2" s="1"/>
  <c r="N26" i="2"/>
  <c r="N56" i="2"/>
  <c r="P56" i="2" s="1"/>
  <c r="O135" i="2"/>
  <c r="Q135" i="2" s="1"/>
  <c r="O128" i="2"/>
  <c r="Q128" i="2" s="1"/>
  <c r="O121" i="2"/>
  <c r="N135" i="2"/>
  <c r="P135" i="2" s="1"/>
  <c r="N128" i="2"/>
  <c r="P128" i="2" s="1"/>
  <c r="N121" i="2"/>
  <c r="P121" i="2" s="1"/>
  <c r="F18" i="2"/>
  <c r="N18" i="2" s="1"/>
  <c r="F17" i="2"/>
  <c r="N17" i="2" s="1"/>
  <c r="F16" i="2"/>
  <c r="O16" i="2" s="1"/>
  <c r="J15" i="2"/>
  <c r="J11" i="2"/>
  <c r="O7" i="2"/>
  <c r="N7" i="2"/>
  <c r="G10" i="2"/>
  <c r="G9" i="2"/>
  <c r="G8" i="2"/>
  <c r="G14" i="2"/>
  <c r="O14" i="2" s="1"/>
  <c r="G13" i="2"/>
  <c r="O13" i="2" s="1"/>
  <c r="G12" i="2"/>
  <c r="O12" i="2" s="1"/>
  <c r="J7" i="2"/>
  <c r="AD19" i="2"/>
  <c r="Q121" i="2" l="1"/>
  <c r="O158" i="2"/>
  <c r="N158" i="2"/>
  <c r="P26" i="2"/>
  <c r="O11" i="2"/>
  <c r="Q11" i="2" s="1"/>
  <c r="G22" i="2"/>
  <c r="N16" i="2"/>
  <c r="N15" i="2" s="1"/>
  <c r="P15" i="2" s="1"/>
  <c r="O17" i="2"/>
  <c r="O18" i="2"/>
  <c r="N13" i="2"/>
  <c r="N14" i="2"/>
  <c r="N12" i="2"/>
  <c r="P7" i="2"/>
  <c r="Q7" i="2"/>
  <c r="AD20" i="2"/>
  <c r="O15" i="2" l="1"/>
  <c r="Q15" i="2" s="1"/>
  <c r="N11" i="2"/>
  <c r="P11" i="2" s="1"/>
  <c r="N914" i="2" l="1"/>
  <c r="J504" i="2" l="1"/>
  <c r="J505" i="2"/>
  <c r="J506" i="2"/>
  <c r="J507" i="2"/>
  <c r="J508" i="2"/>
  <c r="J503" i="2"/>
  <c r="J502" i="2"/>
  <c r="O366" i="2"/>
  <c r="J589" i="2"/>
  <c r="J588" i="2"/>
  <c r="J587" i="2"/>
  <c r="J586" i="2"/>
  <c r="J585" i="2"/>
  <c r="J584" i="2"/>
  <c r="J594" i="2"/>
  <c r="J592" i="2"/>
  <c r="J591" i="2"/>
  <c r="J599" i="2"/>
  <c r="J598" i="2"/>
  <c r="J601" i="2"/>
  <c r="J603" i="2"/>
  <c r="J610" i="2"/>
  <c r="J608" i="2"/>
  <c r="J615" i="2"/>
  <c r="J614" i="2"/>
  <c r="J622" i="2"/>
  <c r="J621" i="2"/>
  <c r="J620" i="2"/>
  <c r="J619" i="2"/>
  <c r="J618" i="2"/>
  <c r="J617" i="2"/>
  <c r="J625" i="2"/>
  <c r="J628" i="2"/>
  <c r="J631" i="2"/>
  <c r="J630" i="2"/>
  <c r="J636" i="2"/>
  <c r="J635" i="2"/>
  <c r="J634" i="2"/>
  <c r="J633" i="2"/>
  <c r="J638" i="2"/>
  <c r="J647" i="2"/>
  <c r="J645" i="2"/>
  <c r="J654" i="2"/>
  <c r="J653" i="2"/>
  <c r="J652" i="2"/>
  <c r="J651" i="2"/>
  <c r="J650" i="2"/>
  <c r="J664" i="2"/>
  <c r="J663" i="2"/>
  <c r="J662" i="2"/>
  <c r="J661" i="2"/>
  <c r="J660" i="2"/>
  <c r="J659" i="2"/>
  <c r="J658" i="2"/>
  <c r="J657" i="2"/>
  <c r="J668" i="2"/>
  <c r="J667" i="2"/>
  <c r="J671" i="2"/>
  <c r="J673" i="2"/>
  <c r="J676" i="2"/>
  <c r="J693" i="2"/>
  <c r="J692" i="2"/>
  <c r="J691" i="2"/>
  <c r="J689" i="2"/>
  <c r="J688" i="2"/>
  <c r="J686" i="2"/>
  <c r="J684" i="2"/>
  <c r="J681" i="2"/>
  <c r="AA875" i="2"/>
  <c r="J877" i="2"/>
  <c r="O877" i="2" s="1"/>
  <c r="J878" i="2"/>
  <c r="J879" i="2"/>
  <c r="P879" i="2" s="1"/>
  <c r="J880" i="2"/>
  <c r="P880" i="2" s="1"/>
  <c r="J881" i="2"/>
  <c r="J882" i="2"/>
  <c r="O883" i="2"/>
  <c r="O886" i="2"/>
  <c r="O887" i="2"/>
  <c r="O888" i="2"/>
  <c r="O889" i="2"/>
  <c r="O890" i="2"/>
  <c r="O891" i="2"/>
  <c r="O892" i="2"/>
  <c r="O895" i="2"/>
  <c r="O897" i="2"/>
  <c r="O901" i="2"/>
  <c r="O902" i="2"/>
  <c r="O903" i="2"/>
  <c r="O904" i="2"/>
  <c r="O905" i="2"/>
  <c r="O906" i="2"/>
  <c r="O907" i="2"/>
  <c r="O908" i="2"/>
  <c r="O910" i="2"/>
  <c r="O911" i="2"/>
  <c r="O912" i="2"/>
  <c r="O913" i="2"/>
  <c r="O914" i="2"/>
  <c r="O915" i="2"/>
  <c r="N886" i="2"/>
  <c r="N887" i="2"/>
  <c r="N888" i="2"/>
  <c r="N889" i="2"/>
  <c r="N890" i="2"/>
  <c r="N891" i="2"/>
  <c r="N892" i="2"/>
  <c r="N895" i="2"/>
  <c r="N897" i="2"/>
  <c r="N901" i="2"/>
  <c r="N902" i="2"/>
  <c r="N903" i="2"/>
  <c r="N904" i="2"/>
  <c r="N905" i="2"/>
  <c r="N906" i="2"/>
  <c r="N907" i="2"/>
  <c r="N908" i="2"/>
  <c r="N910" i="2"/>
  <c r="N911" i="2"/>
  <c r="N912" i="2"/>
  <c r="N913" i="2"/>
  <c r="N915" i="2"/>
  <c r="O884" i="2"/>
  <c r="N884" i="2"/>
  <c r="J916" i="2"/>
  <c r="N883" i="2"/>
  <c r="N871" i="2"/>
  <c r="J883" i="2"/>
  <c r="J884" i="2"/>
  <c r="J885" i="2"/>
  <c r="J886" i="2"/>
  <c r="J887" i="2"/>
  <c r="J888" i="2"/>
  <c r="J889" i="2"/>
  <c r="J890" i="2"/>
  <c r="J891" i="2"/>
  <c r="J892" i="2"/>
  <c r="J893" i="2"/>
  <c r="O893" i="2" s="1"/>
  <c r="J894" i="2"/>
  <c r="O894" i="2" s="1"/>
  <c r="J895" i="2"/>
  <c r="J896" i="2"/>
  <c r="O896" i="2" s="1"/>
  <c r="J897" i="2"/>
  <c r="J898" i="2"/>
  <c r="O898" i="2" s="1"/>
  <c r="Q898" i="2" s="1"/>
  <c r="J899" i="2"/>
  <c r="O899" i="2" s="1"/>
  <c r="J900" i="2"/>
  <c r="O900" i="2" s="1"/>
  <c r="J901" i="2"/>
  <c r="J902" i="2"/>
  <c r="J903" i="2"/>
  <c r="J904" i="2"/>
  <c r="J905" i="2"/>
  <c r="J906" i="2"/>
  <c r="J907" i="2"/>
  <c r="J908" i="2"/>
  <c r="J909" i="2"/>
  <c r="O909" i="2" s="1"/>
  <c r="J910" i="2"/>
  <c r="J911" i="2"/>
  <c r="J912" i="2"/>
  <c r="J913" i="2"/>
  <c r="J914" i="2"/>
  <c r="J915" i="2"/>
  <c r="J963" i="2"/>
  <c r="O963" i="2" s="1"/>
  <c r="Q963" i="2" s="1"/>
  <c r="J944" i="2"/>
  <c r="N944" i="2" s="1"/>
  <c r="P944" i="2" s="1"/>
  <c r="N877" i="2" l="1"/>
  <c r="P914" i="2"/>
  <c r="Q902" i="2"/>
  <c r="Q912" i="2"/>
  <c r="N909" i="2"/>
  <c r="P909" i="2" s="1"/>
  <c r="P886" i="2"/>
  <c r="N900" i="2"/>
  <c r="P900" i="2" s="1"/>
  <c r="Q907" i="2"/>
  <c r="N898" i="2"/>
  <c r="Q891" i="2"/>
  <c r="O916" i="2"/>
  <c r="Q916" i="2" s="1"/>
  <c r="Q901" i="2"/>
  <c r="P892" i="2"/>
  <c r="Q885" i="2"/>
  <c r="Q914" i="2"/>
  <c r="P908" i="2"/>
  <c r="P906" i="2"/>
  <c r="P902" i="2"/>
  <c r="Q894" i="2"/>
  <c r="Q893" i="2"/>
  <c r="P891" i="2"/>
  <c r="P910" i="2"/>
  <c r="Q903" i="2"/>
  <c r="P903" i="2"/>
  <c r="P907" i="2"/>
  <c r="Q911" i="2"/>
  <c r="P911" i="2"/>
  <c r="Q896" i="2"/>
  <c r="Q915" i="2"/>
  <c r="Q908" i="2"/>
  <c r="P890" i="2"/>
  <c r="P912" i="2"/>
  <c r="Q892" i="2"/>
  <c r="P904" i="2"/>
  <c r="P895" i="2"/>
  <c r="Q890" i="2"/>
  <c r="Q889" i="2"/>
  <c r="Q888" i="2"/>
  <c r="P888" i="2"/>
  <c r="Q887" i="2"/>
  <c r="P887" i="2"/>
  <c r="Q886" i="2"/>
  <c r="P885" i="2"/>
  <c r="P884" i="2"/>
  <c r="P889" i="2"/>
  <c r="Q910" i="2"/>
  <c r="Q906" i="2"/>
  <c r="P897" i="2"/>
  <c r="Q884" i="2"/>
  <c r="Q909" i="2"/>
  <c r="Q905" i="2"/>
  <c r="P905" i="2"/>
  <c r="P883" i="2"/>
  <c r="Q904" i="2"/>
  <c r="Q895" i="2"/>
  <c r="Q899" i="2"/>
  <c r="P901" i="2"/>
  <c r="Q900" i="2"/>
  <c r="P915" i="2"/>
  <c r="P913" i="2"/>
  <c r="Q897" i="2"/>
  <c r="Q883" i="2"/>
  <c r="Q913" i="2"/>
  <c r="N963" i="2"/>
  <c r="P963" i="2" s="1"/>
  <c r="O944" i="2"/>
  <c r="Q944" i="2" s="1"/>
  <c r="N918" i="2" l="1"/>
  <c r="O918" i="2"/>
  <c r="Z875" i="2"/>
  <c r="AB875" i="2" s="1"/>
  <c r="P898" i="2"/>
  <c r="N671" i="2"/>
  <c r="G662" i="2"/>
  <c r="G663" i="2"/>
  <c r="G661" i="2"/>
  <c r="G688" i="2"/>
  <c r="G621" i="2"/>
  <c r="G620" i="2"/>
  <c r="G619" i="2"/>
  <c r="G591" i="2"/>
  <c r="G586" i="2"/>
  <c r="F695" i="2" l="1"/>
  <c r="O688" i="2"/>
  <c r="O689" i="2"/>
  <c r="N689" i="2"/>
  <c r="N688" i="2"/>
  <c r="O686" i="2"/>
  <c r="N686" i="2"/>
  <c r="O684" i="2"/>
  <c r="N684" i="2"/>
  <c r="O681" i="2"/>
  <c r="N681" i="2"/>
  <c r="O676" i="2"/>
  <c r="N676" i="2"/>
  <c r="O673" i="2"/>
  <c r="N673" i="2"/>
  <c r="O671" i="2"/>
  <c r="O668" i="2"/>
  <c r="N668" i="2"/>
  <c r="O664" i="2"/>
  <c r="N664" i="2"/>
  <c r="O663" i="2"/>
  <c r="N663" i="2"/>
  <c r="O662" i="2"/>
  <c r="N662" i="2"/>
  <c r="O661" i="2"/>
  <c r="N661" i="2"/>
  <c r="O619" i="2"/>
  <c r="N619" i="2"/>
  <c r="O658" i="2"/>
  <c r="N658" i="2"/>
  <c r="O657" i="2"/>
  <c r="N657" i="2"/>
  <c r="O654" i="2"/>
  <c r="N654" i="2"/>
  <c r="O653" i="2"/>
  <c r="N653" i="2"/>
  <c r="O652" i="2"/>
  <c r="N652" i="2"/>
  <c r="O651" i="2"/>
  <c r="N651" i="2"/>
  <c r="O647" i="2"/>
  <c r="N647" i="2"/>
  <c r="O645" i="2"/>
  <c r="N645" i="2"/>
  <c r="O638" i="2"/>
  <c r="N638" i="2"/>
  <c r="O636" i="2"/>
  <c r="N636" i="2"/>
  <c r="O635" i="2"/>
  <c r="N635" i="2"/>
  <c r="O634" i="2"/>
  <c r="N634" i="2"/>
  <c r="O633" i="2"/>
  <c r="N633" i="2"/>
  <c r="O631" i="2"/>
  <c r="N631" i="2"/>
  <c r="O628" i="2"/>
  <c r="N628" i="2"/>
  <c r="O625" i="2"/>
  <c r="N625" i="2"/>
  <c r="O622" i="2"/>
  <c r="N622" i="2"/>
  <c r="O621" i="2"/>
  <c r="N621" i="2"/>
  <c r="O620" i="2"/>
  <c r="N620" i="2"/>
  <c r="O615" i="2"/>
  <c r="N615" i="2"/>
  <c r="O614" i="2"/>
  <c r="N614" i="2"/>
  <c r="O610" i="2"/>
  <c r="N610" i="2"/>
  <c r="N608" i="2"/>
  <c r="O608" i="2"/>
  <c r="N603" i="2"/>
  <c r="O603" i="2"/>
  <c r="O601" i="2"/>
  <c r="N601" i="2"/>
  <c r="O599" i="2"/>
  <c r="N599" i="2"/>
  <c r="O594" i="2"/>
  <c r="N594" i="2"/>
  <c r="O592" i="2"/>
  <c r="N592" i="2"/>
  <c r="O591" i="2"/>
  <c r="N591" i="2"/>
  <c r="O589" i="2"/>
  <c r="N589" i="2"/>
  <c r="G695" i="2"/>
  <c r="O660" i="2"/>
  <c r="O667" i="2"/>
  <c r="P671" i="2"/>
  <c r="O650" i="2"/>
  <c r="N691" i="2" s="1"/>
  <c r="O659" i="2"/>
  <c r="O630" i="2"/>
  <c r="Q630" i="2" s="1"/>
  <c r="O617" i="2"/>
  <c r="O618" i="2"/>
  <c r="Q618" i="2" s="1"/>
  <c r="O598" i="2"/>
  <c r="Q598" i="2" s="1"/>
  <c r="O587" i="2"/>
  <c r="Q588" i="2"/>
  <c r="O585" i="2"/>
  <c r="Q585" i="2" s="1"/>
  <c r="Q658" i="2" l="1"/>
  <c r="Q645" i="2"/>
  <c r="P603" i="2"/>
  <c r="Q625" i="2"/>
  <c r="Q628" i="2"/>
  <c r="P684" i="2"/>
  <c r="Q594" i="2"/>
  <c r="Z635" i="2"/>
  <c r="P689" i="2"/>
  <c r="P647" i="2"/>
  <c r="P625" i="2"/>
  <c r="P608" i="2"/>
  <c r="P619" i="2"/>
  <c r="Q610" i="2"/>
  <c r="P661" i="2"/>
  <c r="Q589" i="2"/>
  <c r="P592" i="2"/>
  <c r="P594" i="2"/>
  <c r="P615" i="2"/>
  <c r="Q615" i="2"/>
  <c r="P686" i="2"/>
  <c r="P664" i="2"/>
  <c r="P653" i="2"/>
  <c r="Q599" i="2"/>
  <c r="Q621" i="2"/>
  <c r="P636" i="2"/>
  <c r="P657" i="2"/>
  <c r="Q688" i="2"/>
  <c r="Q617" i="2"/>
  <c r="N692" i="2"/>
  <c r="N584" i="2"/>
  <c r="Q614" i="2"/>
  <c r="P628" i="2"/>
  <c r="P645" i="2"/>
  <c r="P658" i="2"/>
  <c r="P688" i="2"/>
  <c r="P599" i="2"/>
  <c r="Q647" i="2"/>
  <c r="Q668" i="2"/>
  <c r="Q689" i="2"/>
  <c r="N586" i="2"/>
  <c r="P586" i="2" s="1"/>
  <c r="P601" i="2"/>
  <c r="Q631" i="2"/>
  <c r="P651" i="2"/>
  <c r="Q619" i="2"/>
  <c r="Q671" i="2"/>
  <c r="O586" i="2"/>
  <c r="O695" i="2" s="1"/>
  <c r="P631" i="2"/>
  <c r="Q601" i="2"/>
  <c r="P620" i="2"/>
  <c r="P633" i="2"/>
  <c r="Q651" i="2"/>
  <c r="P673" i="2"/>
  <c r="Q620" i="2"/>
  <c r="Q633" i="2"/>
  <c r="P652" i="2"/>
  <c r="Q661" i="2"/>
  <c r="Q673" i="2"/>
  <c r="P668" i="2"/>
  <c r="P589" i="2"/>
  <c r="Q603" i="2"/>
  <c r="P621" i="2"/>
  <c r="P634" i="2"/>
  <c r="Q652" i="2"/>
  <c r="P676" i="2"/>
  <c r="Q634" i="2"/>
  <c r="P662" i="2"/>
  <c r="P591" i="2"/>
  <c r="P622" i="2"/>
  <c r="P635" i="2"/>
  <c r="Q653" i="2"/>
  <c r="Q662" i="2"/>
  <c r="P681" i="2"/>
  <c r="Q676" i="2"/>
  <c r="Q591" i="2"/>
  <c r="Q608" i="2"/>
  <c r="Q622" i="2"/>
  <c r="Q635" i="2"/>
  <c r="P663" i="2"/>
  <c r="Q681" i="2"/>
  <c r="P654" i="2"/>
  <c r="Q663" i="2"/>
  <c r="Q592" i="2"/>
  <c r="P610" i="2"/>
  <c r="Q636" i="2"/>
  <c r="Q654" i="2"/>
  <c r="Q684" i="2"/>
  <c r="P638" i="2"/>
  <c r="Q664" i="2"/>
  <c r="P614" i="2"/>
  <c r="Q638" i="2"/>
  <c r="Q657" i="2"/>
  <c r="Q686" i="2"/>
  <c r="N693" i="2"/>
  <c r="N585" i="2"/>
  <c r="P585" i="2" s="1"/>
  <c r="Q586" i="2" l="1"/>
  <c r="N695" i="2"/>
  <c r="O20" i="2"/>
  <c r="N20" i="2"/>
  <c r="J19" i="2"/>
  <c r="N19" i="2" s="1"/>
  <c r="J20" i="2"/>
  <c r="N22" i="2" l="1"/>
  <c r="O19" i="2"/>
  <c r="P19" i="2"/>
  <c r="P20" i="2"/>
  <c r="Q20" i="2"/>
  <c r="Q19" i="2" l="1"/>
  <c r="O22" i="2"/>
  <c r="O959" i="2"/>
  <c r="O960" i="2"/>
  <c r="J964" i="2"/>
  <c r="G965" i="2"/>
  <c r="F965" i="2"/>
  <c r="O961" i="2"/>
  <c r="N959" i="2" s="1"/>
  <c r="N960" i="2"/>
  <c r="O956" i="2"/>
  <c r="N956" i="2"/>
  <c r="O955" i="2"/>
  <c r="N955" i="2"/>
  <c r="O954" i="2"/>
  <c r="N954" i="2"/>
  <c r="N953" i="2"/>
  <c r="O953" i="2"/>
  <c r="O951" i="2"/>
  <c r="N951" i="2"/>
  <c r="O952" i="2"/>
  <c r="N952" i="2"/>
  <c r="J949" i="2"/>
  <c r="P949" i="2" s="1"/>
  <c r="J950" i="2"/>
  <c r="P950" i="2" s="1"/>
  <c r="J951" i="2"/>
  <c r="J952" i="2"/>
  <c r="J953" i="2"/>
  <c r="J954" i="2"/>
  <c r="J955" i="2"/>
  <c r="J956" i="2"/>
  <c r="J957" i="2"/>
  <c r="J958" i="2"/>
  <c r="N958" i="2" s="1"/>
  <c r="J959" i="2"/>
  <c r="J960" i="2"/>
  <c r="J961" i="2"/>
  <c r="J962" i="2"/>
  <c r="Q959" i="2" l="1"/>
  <c r="P959" i="2"/>
  <c r="O965" i="2"/>
  <c r="Q954" i="2"/>
  <c r="Q955" i="2"/>
  <c r="Q960" i="2"/>
  <c r="P960" i="2"/>
  <c r="N965" i="2"/>
  <c r="Q962" i="2"/>
  <c r="Q957" i="2"/>
  <c r="P958" i="2"/>
  <c r="P952" i="2"/>
  <c r="Q951" i="2"/>
  <c r="Q961" i="2"/>
  <c r="Q952" i="2"/>
  <c r="P953" i="2"/>
  <c r="Q956" i="2"/>
  <c r="P951" i="2"/>
  <c r="Q953" i="2"/>
  <c r="P954" i="2"/>
  <c r="P955" i="2"/>
  <c r="P956" i="2"/>
  <c r="F947" i="2"/>
  <c r="O946" i="2"/>
  <c r="N946" i="2"/>
  <c r="J946" i="2"/>
  <c r="O945" i="2"/>
  <c r="N945" i="2"/>
  <c r="J945" i="2"/>
  <c r="O943" i="2"/>
  <c r="N943" i="2"/>
  <c r="J943" i="2"/>
  <c r="O942" i="2"/>
  <c r="N942" i="2"/>
  <c r="J942" i="2"/>
  <c r="J941" i="2"/>
  <c r="G941" i="2"/>
  <c r="G947" i="2" s="1"/>
  <c r="O940" i="2"/>
  <c r="N940" i="2"/>
  <c r="J940" i="2"/>
  <c r="O939" i="2"/>
  <c r="N939" i="2"/>
  <c r="J939" i="2"/>
  <c r="O938" i="2"/>
  <c r="N938" i="2"/>
  <c r="J938" i="2"/>
  <c r="O937" i="2"/>
  <c r="N937" i="2"/>
  <c r="J937" i="2"/>
  <c r="O936" i="2"/>
  <c r="N936" i="2"/>
  <c r="J936" i="2"/>
  <c r="O935" i="2"/>
  <c r="N935" i="2"/>
  <c r="J935" i="2"/>
  <c r="J934" i="2"/>
  <c r="O933" i="2"/>
  <c r="N933" i="2" s="1"/>
  <c r="J933" i="2"/>
  <c r="Q946" i="2" l="1"/>
  <c r="P946" i="2"/>
  <c r="Q937" i="2"/>
  <c r="P942" i="2"/>
  <c r="P937" i="2"/>
  <c r="P936" i="2"/>
  <c r="P939" i="2"/>
  <c r="Q945" i="2"/>
  <c r="Q939" i="2"/>
  <c r="P933" i="2"/>
  <c r="Q936" i="2"/>
  <c r="Q940" i="2"/>
  <c r="Q942" i="2"/>
  <c r="P938" i="2"/>
  <c r="P943" i="2"/>
  <c r="Q938" i="2"/>
  <c r="Q943" i="2"/>
  <c r="P945" i="2"/>
  <c r="P940" i="2"/>
  <c r="N941" i="2"/>
  <c r="P941" i="2" s="1"/>
  <c r="O941" i="2"/>
  <c r="Q941" i="2" s="1"/>
  <c r="P935" i="2"/>
  <c r="Q935" i="2"/>
  <c r="N947" i="2" l="1"/>
  <c r="O947" i="2"/>
  <c r="J705" i="2" l="1"/>
  <c r="O705" i="2" s="1"/>
  <c r="Q705" i="2" l="1"/>
  <c r="N705" i="2"/>
  <c r="F477" i="2"/>
  <c r="O477" i="2" s="1"/>
  <c r="F487" i="2"/>
  <c r="O487" i="2" s="1"/>
  <c r="F459" i="2"/>
  <c r="O459" i="2" s="1"/>
  <c r="F494" i="2"/>
  <c r="F467" i="2"/>
  <c r="O467" i="2" s="1"/>
  <c r="F476" i="2"/>
  <c r="O476" i="2" s="1"/>
  <c r="AA508" i="2"/>
  <c r="O499" i="2"/>
  <c r="N499" i="2"/>
  <c r="J499" i="2"/>
  <c r="J498" i="2"/>
  <c r="O498" i="2" s="1"/>
  <c r="O505" i="2"/>
  <c r="Q505" i="2" s="1"/>
  <c r="O504" i="2"/>
  <c r="Q504" i="2" s="1"/>
  <c r="O503" i="2"/>
  <c r="Q503" i="2" s="1"/>
  <c r="O502" i="2"/>
  <c r="Q502" i="2" s="1"/>
  <c r="O497" i="2"/>
  <c r="N497" i="2"/>
  <c r="J497" i="2"/>
  <c r="O495" i="2"/>
  <c r="N495" i="2"/>
  <c r="J495" i="2"/>
  <c r="J494" i="2"/>
  <c r="O492" i="2"/>
  <c r="N492" i="2"/>
  <c r="J492" i="2"/>
  <c r="O491" i="2"/>
  <c r="N491" i="2"/>
  <c r="J491" i="2"/>
  <c r="O490" i="2"/>
  <c r="N490" i="2"/>
  <c r="J490" i="2"/>
  <c r="O488" i="2"/>
  <c r="N488" i="2"/>
  <c r="J488" i="2"/>
  <c r="J487" i="2"/>
  <c r="J486" i="2"/>
  <c r="O486" i="2" s="1"/>
  <c r="Q486" i="2" s="1"/>
  <c r="J485" i="2"/>
  <c r="O485" i="2" s="1"/>
  <c r="Q485" i="2" s="1"/>
  <c r="J484" i="2"/>
  <c r="O484" i="2" s="1"/>
  <c r="Q484" i="2" s="1"/>
  <c r="O481" i="2"/>
  <c r="N481" i="2"/>
  <c r="J481" i="2"/>
  <c r="O478" i="2"/>
  <c r="N478" i="2"/>
  <c r="J478" i="2"/>
  <c r="J477" i="2"/>
  <c r="J476" i="2"/>
  <c r="O474" i="2"/>
  <c r="N474" i="2"/>
  <c r="J474" i="2"/>
  <c r="J473" i="2"/>
  <c r="O473" i="2" s="1"/>
  <c r="Q473" i="2" s="1"/>
  <c r="O472" i="2"/>
  <c r="N472" i="2"/>
  <c r="J472" i="2"/>
  <c r="O471" i="2"/>
  <c r="N471" i="2"/>
  <c r="J471" i="2"/>
  <c r="O470" i="2"/>
  <c r="N470" i="2"/>
  <c r="J470" i="2"/>
  <c r="N468" i="2"/>
  <c r="O468" i="2"/>
  <c r="J468" i="2"/>
  <c r="N464" i="2"/>
  <c r="J467" i="2"/>
  <c r="J466" i="2"/>
  <c r="O466" i="2" s="1"/>
  <c r="J465" i="2"/>
  <c r="O465" i="2" s="1"/>
  <c r="O464" i="2"/>
  <c r="J464" i="2"/>
  <c r="O463" i="2"/>
  <c r="N463" i="2"/>
  <c r="J463" i="2"/>
  <c r="J462" i="2"/>
  <c r="O462" i="2" s="1"/>
  <c r="Q462" i="2" s="1"/>
  <c r="J461" i="2"/>
  <c r="O461" i="2" s="1"/>
  <c r="Q461" i="2" s="1"/>
  <c r="J460" i="2"/>
  <c r="O460" i="2" s="1"/>
  <c r="J459" i="2"/>
  <c r="O456" i="2"/>
  <c r="N456" i="2"/>
  <c r="J456" i="2"/>
  <c r="O452" i="2"/>
  <c r="N452" i="2"/>
  <c r="J452" i="2"/>
  <c r="J450" i="2"/>
  <c r="O450" i="2" s="1"/>
  <c r="J451" i="2"/>
  <c r="O451" i="2" s="1"/>
  <c r="Q466" i="2" l="1"/>
  <c r="O509" i="2"/>
  <c r="P705" i="2"/>
  <c r="N477" i="2"/>
  <c r="P477" i="2" s="1"/>
  <c r="Q499" i="2"/>
  <c r="F510" i="2"/>
  <c r="N459" i="2"/>
  <c r="P459" i="2" s="1"/>
  <c r="P478" i="2"/>
  <c r="P497" i="2"/>
  <c r="N494" i="2"/>
  <c r="P494" i="2" s="1"/>
  <c r="N487" i="2"/>
  <c r="P487" i="2" s="1"/>
  <c r="O494" i="2"/>
  <c r="Q494" i="2" s="1"/>
  <c r="Q487" i="2"/>
  <c r="Q498" i="2"/>
  <c r="Q467" i="2"/>
  <c r="P468" i="2"/>
  <c r="P499" i="2"/>
  <c r="Q497" i="2"/>
  <c r="N476" i="2"/>
  <c r="P476" i="2" s="1"/>
  <c r="Q451" i="2"/>
  <c r="N450" i="2"/>
  <c r="Q464" i="2"/>
  <c r="P488" i="2"/>
  <c r="P474" i="2"/>
  <c r="Q459" i="2"/>
  <c r="Q468" i="2"/>
  <c r="P470" i="2"/>
  <c r="Q470" i="2"/>
  <c r="Q495" i="2"/>
  <c r="P472" i="2"/>
  <c r="P481" i="2"/>
  <c r="P452" i="2"/>
  <c r="Q472" i="2"/>
  <c r="Q491" i="2"/>
  <c r="P495" i="2"/>
  <c r="P492" i="2"/>
  <c r="Q492" i="2"/>
  <c r="P491" i="2"/>
  <c r="P490" i="2"/>
  <c r="Q490" i="2"/>
  <c r="Q488" i="2"/>
  <c r="Q481" i="2"/>
  <c r="Q478" i="2"/>
  <c r="Q477" i="2"/>
  <c r="Q476" i="2"/>
  <c r="Q474" i="2"/>
  <c r="P471" i="2"/>
  <c r="Q471" i="2"/>
  <c r="P464" i="2"/>
  <c r="Q465" i="2"/>
  <c r="P463" i="2"/>
  <c r="Q463" i="2"/>
  <c r="Q460" i="2"/>
  <c r="Q452" i="2"/>
  <c r="P456" i="2"/>
  <c r="Q456" i="2"/>
  <c r="Q450" i="2"/>
  <c r="N467" i="2" l="1"/>
  <c r="P467" i="2" s="1"/>
  <c r="P450" i="2"/>
  <c r="N507" i="2"/>
  <c r="O449" i="2"/>
  <c r="O510" i="2" s="1"/>
  <c r="N449" i="2"/>
  <c r="J449" i="2"/>
  <c r="O390" i="2"/>
  <c r="N390" i="2"/>
  <c r="O220" i="2"/>
  <c r="J221" i="2"/>
  <c r="O221" i="2" s="1"/>
  <c r="Q221" i="2" s="1"/>
  <c r="J222" i="2"/>
  <c r="Q222" i="2" s="1"/>
  <c r="N510" i="2" l="1"/>
  <c r="Z510" i="2" s="1"/>
  <c r="AB510" i="2" s="1"/>
  <c r="AC510" i="2" s="1"/>
  <c r="P449" i="2"/>
  <c r="Q449" i="2"/>
  <c r="P222" i="2"/>
  <c r="O711" i="2" l="1"/>
  <c r="N711" i="2"/>
  <c r="J711" i="2"/>
  <c r="F432" i="2"/>
  <c r="F424" i="2"/>
  <c r="F412" i="2"/>
  <c r="O440" i="2"/>
  <c r="N440" i="2"/>
  <c r="O436" i="2"/>
  <c r="N436" i="2"/>
  <c r="O431" i="2"/>
  <c r="N431" i="2"/>
  <c r="O427" i="2"/>
  <c r="N427" i="2"/>
  <c r="O421" i="2"/>
  <c r="N421" i="2"/>
  <c r="O414" i="2"/>
  <c r="N414" i="2"/>
  <c r="O411" i="2"/>
  <c r="N411" i="2"/>
  <c r="F377" i="2"/>
  <c r="F374" i="2"/>
  <c r="O401" i="2"/>
  <c r="N401" i="2"/>
  <c r="O399" i="2"/>
  <c r="N399" i="2"/>
  <c r="O397" i="2"/>
  <c r="N397" i="2"/>
  <c r="N383" i="2"/>
  <c r="O383" i="2"/>
  <c r="O382" i="2"/>
  <c r="N382" i="2"/>
  <c r="O380" i="2"/>
  <c r="N380" i="2"/>
  <c r="O379" i="2"/>
  <c r="N379" i="2"/>
  <c r="O376" i="2"/>
  <c r="N376" i="2"/>
  <c r="N366" i="2"/>
  <c r="J366" i="2"/>
  <c r="O364" i="2"/>
  <c r="N364" i="2"/>
  <c r="O360" i="2"/>
  <c r="N360" i="2"/>
  <c r="O351" i="2"/>
  <c r="N351" i="2"/>
  <c r="O349" i="2"/>
  <c r="N349" i="2"/>
  <c r="O343" i="2"/>
  <c r="N343" i="2"/>
  <c r="O709" i="2"/>
  <c r="N709" i="2"/>
  <c r="O871" i="2"/>
  <c r="O866" i="2"/>
  <c r="N866" i="2"/>
  <c r="O864" i="2"/>
  <c r="N864" i="2"/>
  <c r="O860" i="2"/>
  <c r="N860" i="2"/>
  <c r="O811" i="2"/>
  <c r="N811" i="2"/>
  <c r="O847" i="2"/>
  <c r="N847" i="2"/>
  <c r="O843" i="2"/>
  <c r="N843" i="2"/>
  <c r="O825" i="2"/>
  <c r="N825" i="2"/>
  <c r="O820" i="2"/>
  <c r="N820" i="2"/>
  <c r="O815" i="2"/>
  <c r="N815" i="2"/>
  <c r="N804" i="2"/>
  <c r="O813" i="2"/>
  <c r="N813" i="2"/>
  <c r="O804" i="2"/>
  <c r="O802" i="2"/>
  <c r="N802" i="2"/>
  <c r="O798" i="2"/>
  <c r="N798" i="2"/>
  <c r="O791" i="2"/>
  <c r="N791" i="2"/>
  <c r="O774" i="2"/>
  <c r="N774" i="2"/>
  <c r="O770" i="2"/>
  <c r="N770" i="2"/>
  <c r="O767" i="2"/>
  <c r="N767" i="2"/>
  <c r="O764" i="2"/>
  <c r="N764" i="2"/>
  <c r="O762" i="2"/>
  <c r="N762" i="2"/>
  <c r="O758" i="2"/>
  <c r="N758" i="2"/>
  <c r="O755" i="2"/>
  <c r="N755" i="2"/>
  <c r="O753" i="2"/>
  <c r="N753" i="2"/>
  <c r="N750" i="2"/>
  <c r="N748" i="2"/>
  <c r="O750" i="2"/>
  <c r="O748" i="2"/>
  <c r="O731" i="2"/>
  <c r="N731" i="2"/>
  <c r="O729" i="2"/>
  <c r="N729" i="2"/>
  <c r="O726" i="2"/>
  <c r="N726" i="2"/>
  <c r="O723" i="2"/>
  <c r="N723" i="2"/>
  <c r="O721" i="2"/>
  <c r="N721" i="2"/>
  <c r="O719" i="2"/>
  <c r="N719" i="2"/>
  <c r="N715" i="2"/>
  <c r="O715" i="2"/>
  <c r="N714" i="2"/>
  <c r="O714" i="2"/>
  <c r="N713" i="2"/>
  <c r="O713" i="2"/>
  <c r="O712" i="2"/>
  <c r="N712" i="2"/>
  <c r="O707" i="2"/>
  <c r="N707" i="2"/>
  <c r="O702" i="2"/>
  <c r="N702" i="2"/>
  <c r="O701" i="2"/>
  <c r="N701" i="2"/>
  <c r="N699" i="2"/>
  <c r="O699" i="2"/>
  <c r="O697" i="2"/>
  <c r="N697" i="2"/>
  <c r="O874" i="2"/>
  <c r="N874" i="2"/>
  <c r="J874" i="2"/>
  <c r="O873" i="2"/>
  <c r="N873" i="2"/>
  <c r="J873" i="2"/>
  <c r="J871" i="2"/>
  <c r="O868" i="2"/>
  <c r="N868" i="2"/>
  <c r="J868" i="2"/>
  <c r="J866" i="2"/>
  <c r="J864" i="2"/>
  <c r="J860" i="2"/>
  <c r="O857" i="2"/>
  <c r="N857" i="2"/>
  <c r="J857" i="2"/>
  <c r="O855" i="2"/>
  <c r="N855" i="2"/>
  <c r="J855" i="2"/>
  <c r="O853" i="2"/>
  <c r="N853" i="2"/>
  <c r="J853" i="2"/>
  <c r="O851" i="2"/>
  <c r="N851" i="2"/>
  <c r="J851" i="2"/>
  <c r="O849" i="2"/>
  <c r="N849" i="2"/>
  <c r="J849" i="2"/>
  <c r="J847" i="2"/>
  <c r="J846" i="2"/>
  <c r="O846" i="2" s="1"/>
  <c r="Q846" i="2" s="1"/>
  <c r="N842" i="2"/>
  <c r="J841" i="2"/>
  <c r="O841" i="2" s="1"/>
  <c r="Q841" i="2" s="1"/>
  <c r="O837" i="2"/>
  <c r="N837" i="2"/>
  <c r="J796" i="2"/>
  <c r="J834" i="2"/>
  <c r="O834" i="2" s="1"/>
  <c r="Q834" i="2" s="1"/>
  <c r="J832" i="2"/>
  <c r="O832" i="2" s="1"/>
  <c r="Q832" i="2" s="1"/>
  <c r="O830" i="2"/>
  <c r="N830" i="2"/>
  <c r="N828" i="2"/>
  <c r="J797" i="2"/>
  <c r="J826" i="2"/>
  <c r="O826" i="2" s="1"/>
  <c r="J825" i="2"/>
  <c r="N248" i="2"/>
  <c r="N249" i="2"/>
  <c r="N247" i="2"/>
  <c r="N240" i="2"/>
  <c r="N239" i="2"/>
  <c r="Q711" i="2" l="1"/>
  <c r="P711" i="2"/>
  <c r="Q873" i="2"/>
  <c r="P866" i="2"/>
  <c r="Q866" i="2"/>
  <c r="P366" i="2"/>
  <c r="P871" i="2"/>
  <c r="Q366" i="2"/>
  <c r="Q871" i="2"/>
  <c r="P873" i="2"/>
  <c r="P874" i="2"/>
  <c r="Q874" i="2"/>
  <c r="P868" i="2"/>
  <c r="Q868" i="2"/>
  <c r="P855" i="2"/>
  <c r="Q857" i="2"/>
  <c r="Q864" i="2"/>
  <c r="P864" i="2"/>
  <c r="P860" i="2"/>
  <c r="Q860" i="2"/>
  <c r="P851" i="2"/>
  <c r="P857" i="2"/>
  <c r="Q855" i="2"/>
  <c r="P853" i="2"/>
  <c r="Q853" i="2"/>
  <c r="N846" i="2"/>
  <c r="Q849" i="2"/>
  <c r="Q851" i="2"/>
  <c r="P849" i="2"/>
  <c r="Q847" i="2"/>
  <c r="P847" i="2"/>
  <c r="Q826" i="2"/>
  <c r="O828" i="2"/>
  <c r="N832" i="2"/>
  <c r="P825" i="2"/>
  <c r="Q825" i="2"/>
  <c r="O327" i="2"/>
  <c r="N327" i="2"/>
  <c r="O281" i="2"/>
  <c r="N281" i="2"/>
  <c r="O326" i="2"/>
  <c r="N326" i="2"/>
  <c r="O325" i="2"/>
  <c r="N325" i="2"/>
  <c r="O324" i="2"/>
  <c r="N324" i="2"/>
  <c r="N301" i="2"/>
  <c r="O301" i="2"/>
  <c r="O303" i="2"/>
  <c r="O304" i="2"/>
  <c r="N303" i="2"/>
  <c r="O288" i="2"/>
  <c r="N288" i="2"/>
  <c r="N223" i="2"/>
  <c r="O223" i="2"/>
  <c r="O274" i="2"/>
  <c r="N274" i="2"/>
  <c r="O264" i="2"/>
  <c r="N264" i="2"/>
  <c r="O249" i="2"/>
  <c r="O248" i="2"/>
  <c r="O247" i="2"/>
  <c r="O240" i="2"/>
  <c r="O239" i="2"/>
  <c r="N807" i="2"/>
  <c r="O807" i="2"/>
  <c r="N806" i="2"/>
  <c r="J806" i="2"/>
  <c r="G875" i="2"/>
  <c r="G918" i="2" s="1"/>
  <c r="F875" i="2"/>
  <c r="F918" i="2" s="1"/>
  <c r="J843" i="2"/>
  <c r="Q843" i="2" s="1"/>
  <c r="J842" i="2"/>
  <c r="P842" i="2" s="1"/>
  <c r="J837" i="2"/>
  <c r="Q837" i="2" s="1"/>
  <c r="J836" i="2"/>
  <c r="O836" i="2" s="1"/>
  <c r="O842" i="2" s="1"/>
  <c r="J835" i="2"/>
  <c r="O835" i="2" s="1"/>
  <c r="Q835" i="2" s="1"/>
  <c r="O833" i="2"/>
  <c r="N833" i="2"/>
  <c r="J833" i="2"/>
  <c r="J831" i="2"/>
  <c r="N831" i="2" s="1"/>
  <c r="J830" i="2"/>
  <c r="J828" i="2"/>
  <c r="J827" i="2"/>
  <c r="O827" i="2" s="1"/>
  <c r="J824" i="2"/>
  <c r="O824" i="2" s="1"/>
  <c r="J820" i="2"/>
  <c r="O819" i="2"/>
  <c r="N819" i="2"/>
  <c r="J819" i="2"/>
  <c r="O817" i="2"/>
  <c r="N817" i="2"/>
  <c r="J817" i="2"/>
  <c r="J815" i="2"/>
  <c r="J813" i="2"/>
  <c r="J811" i="2"/>
  <c r="J810" i="2"/>
  <c r="O810" i="2" s="1"/>
  <c r="Q810" i="2" s="1"/>
  <c r="J807" i="2"/>
  <c r="J804" i="2"/>
  <c r="J802" i="2"/>
  <c r="J798" i="2"/>
  <c r="J795" i="2"/>
  <c r="J738" i="2"/>
  <c r="N740" i="2"/>
  <c r="J740" i="2"/>
  <c r="J739" i="2"/>
  <c r="J791" i="2"/>
  <c r="J790" i="2"/>
  <c r="O790" i="2" s="1"/>
  <c r="Q790" i="2" s="1"/>
  <c r="O789" i="2"/>
  <c r="N789" i="2"/>
  <c r="J789" i="2"/>
  <c r="O788" i="2"/>
  <c r="N788" i="2"/>
  <c r="J788" i="2"/>
  <c r="J787" i="2"/>
  <c r="O787" i="2" s="1"/>
  <c r="Q787" i="2" s="1"/>
  <c r="J786" i="2"/>
  <c r="O786" i="2" s="1"/>
  <c r="Q786" i="2" s="1"/>
  <c r="O783" i="2"/>
  <c r="N783" i="2"/>
  <c r="J783" i="2"/>
  <c r="N781" i="2"/>
  <c r="O781" i="2"/>
  <c r="J781" i="2"/>
  <c r="O778" i="2"/>
  <c r="N778" i="2"/>
  <c r="J778" i="2"/>
  <c r="N777" i="2"/>
  <c r="J777" i="2"/>
  <c r="N773" i="2"/>
  <c r="J770" i="2"/>
  <c r="O766" i="2"/>
  <c r="N766" i="2"/>
  <c r="J766" i="2"/>
  <c r="J764" i="2"/>
  <c r="O761" i="2"/>
  <c r="N761" i="2"/>
  <c r="J761" i="2"/>
  <c r="J758" i="2"/>
  <c r="J753" i="2"/>
  <c r="O752" i="2"/>
  <c r="N752" i="2"/>
  <c r="J752" i="2"/>
  <c r="J750" i="2"/>
  <c r="J746" i="2"/>
  <c r="O746" i="2" s="1"/>
  <c r="Q746" i="2" s="1"/>
  <c r="O745" i="2"/>
  <c r="N745" i="2"/>
  <c r="J745" i="2"/>
  <c r="J744" i="2"/>
  <c r="O744" i="2" s="1"/>
  <c r="Q744" i="2" s="1"/>
  <c r="J743" i="2"/>
  <c r="O743" i="2" s="1"/>
  <c r="Q743" i="2" s="1"/>
  <c r="G793" i="2"/>
  <c r="F793" i="2"/>
  <c r="J774" i="2"/>
  <c r="J773" i="2"/>
  <c r="J767" i="2"/>
  <c r="J762" i="2"/>
  <c r="J755" i="2"/>
  <c r="J748" i="2"/>
  <c r="J747" i="2"/>
  <c r="O747" i="2" s="1"/>
  <c r="Q747" i="2" s="1"/>
  <c r="J741" i="2"/>
  <c r="O741" i="2" s="1"/>
  <c r="Q741" i="2" s="1"/>
  <c r="G736" i="2"/>
  <c r="F736" i="2"/>
  <c r="J735" i="2"/>
  <c r="N733" i="2"/>
  <c r="J733" i="2"/>
  <c r="O732" i="2"/>
  <c r="N732" i="2"/>
  <c r="J731" i="2"/>
  <c r="Q731" i="2" s="1"/>
  <c r="O730" i="2"/>
  <c r="N730" i="2"/>
  <c r="J727" i="2"/>
  <c r="O727" i="2" s="1"/>
  <c r="Q727" i="2" s="1"/>
  <c r="O728" i="2"/>
  <c r="N728" i="2"/>
  <c r="J728" i="2"/>
  <c r="J726" i="2"/>
  <c r="P726" i="2" s="1"/>
  <c r="O725" i="2"/>
  <c r="N725" i="2"/>
  <c r="J725" i="2"/>
  <c r="O724" i="2"/>
  <c r="N724" i="2"/>
  <c r="J724" i="2"/>
  <c r="J723" i="2"/>
  <c r="Q723" i="2" s="1"/>
  <c r="O722" i="2"/>
  <c r="N722" i="2"/>
  <c r="J721" i="2"/>
  <c r="P721" i="2" s="1"/>
  <c r="J719" i="2"/>
  <c r="J717" i="2"/>
  <c r="O717" i="2" s="1"/>
  <c r="Q717" i="2" s="1"/>
  <c r="J714" i="2"/>
  <c r="O710" i="2"/>
  <c r="N710" i="2"/>
  <c r="N708" i="2"/>
  <c r="J704" i="2"/>
  <c r="O704" i="2" s="1"/>
  <c r="Q704" i="2" s="1"/>
  <c r="J703" i="2"/>
  <c r="O703" i="2" s="1"/>
  <c r="Q703" i="2" s="1"/>
  <c r="J702" i="2"/>
  <c r="J701" i="2"/>
  <c r="P843" i="2" l="1"/>
  <c r="P731" i="2"/>
  <c r="P723" i="2"/>
  <c r="N796" i="2"/>
  <c r="Q726" i="2"/>
  <c r="N797" i="2"/>
  <c r="Q721" i="2"/>
  <c r="Q842" i="2"/>
  <c r="P837" i="2"/>
  <c r="Q824" i="2"/>
  <c r="N795" i="2"/>
  <c r="Q830" i="2"/>
  <c r="P830" i="2"/>
  <c r="P820" i="2"/>
  <c r="Q820" i="2"/>
  <c r="Q804" i="2"/>
  <c r="P798" i="2"/>
  <c r="P802" i="2"/>
  <c r="P804" i="2"/>
  <c r="O806" i="2"/>
  <c r="P807" i="2"/>
  <c r="Q807" i="2"/>
  <c r="N739" i="2"/>
  <c r="P817" i="2"/>
  <c r="P833" i="2"/>
  <c r="Q802" i="2"/>
  <c r="P806" i="2"/>
  <c r="Q815" i="2"/>
  <c r="Q833" i="2"/>
  <c r="P811" i="2"/>
  <c r="Q798" i="2"/>
  <c r="P813" i="2"/>
  <c r="Q813" i="2"/>
  <c r="P815" i="2"/>
  <c r="N738" i="2"/>
  <c r="Q819" i="2"/>
  <c r="P831" i="2"/>
  <c r="O777" i="2"/>
  <c r="Q777" i="2" s="1"/>
  <c r="Q817" i="2"/>
  <c r="Q811" i="2"/>
  <c r="P819" i="2"/>
  <c r="Q827" i="2"/>
  <c r="P828" i="2"/>
  <c r="Q828" i="2"/>
  <c r="Q836" i="2"/>
  <c r="O773" i="2"/>
  <c r="Q788" i="2"/>
  <c r="P789" i="2"/>
  <c r="Q791" i="2"/>
  <c r="P791" i="2"/>
  <c r="Q789" i="2"/>
  <c r="P788" i="2"/>
  <c r="P781" i="2"/>
  <c r="P783" i="2"/>
  <c r="Q781" i="2"/>
  <c r="Q783" i="2"/>
  <c r="P745" i="2"/>
  <c r="P774" i="2"/>
  <c r="P764" i="2"/>
  <c r="Q778" i="2"/>
  <c r="P778" i="2"/>
  <c r="Q770" i="2"/>
  <c r="P758" i="2"/>
  <c r="Q758" i="2"/>
  <c r="Q764" i="2"/>
  <c r="Q752" i="2"/>
  <c r="Q774" i="2"/>
  <c r="P777" i="2"/>
  <c r="P748" i="2"/>
  <c r="Q748" i="2"/>
  <c r="Q750" i="2"/>
  <c r="P752" i="2"/>
  <c r="P762" i="2"/>
  <c r="Q753" i="2"/>
  <c r="P770" i="2"/>
  <c r="P773" i="2"/>
  <c r="Q767" i="2"/>
  <c r="Q766" i="2"/>
  <c r="P766" i="2"/>
  <c r="P761" i="2"/>
  <c r="Q761" i="2"/>
  <c r="P753" i="2"/>
  <c r="P750" i="2"/>
  <c r="Q745" i="2"/>
  <c r="Q762" i="2"/>
  <c r="P755" i="2"/>
  <c r="Q755" i="2"/>
  <c r="P767" i="2"/>
  <c r="P733" i="2"/>
  <c r="P728" i="2"/>
  <c r="Q728" i="2"/>
  <c r="Q725" i="2"/>
  <c r="P725" i="2"/>
  <c r="P724" i="2"/>
  <c r="Q724" i="2"/>
  <c r="P719" i="2"/>
  <c r="Q719" i="2"/>
  <c r="P714" i="2"/>
  <c r="P702" i="2"/>
  <c r="Q701" i="2"/>
  <c r="P701" i="2"/>
  <c r="Q702" i="2"/>
  <c r="Q806" i="2" l="1"/>
  <c r="O875" i="2"/>
  <c r="N875" i="2"/>
  <c r="N793" i="2"/>
  <c r="AA797" i="2" s="1"/>
  <c r="O793" i="2"/>
  <c r="AA793" i="2" s="1"/>
  <c r="Q773" i="2"/>
  <c r="J734" i="2" l="1"/>
  <c r="O734" i="2" s="1"/>
  <c r="J732" i="2"/>
  <c r="J730" i="2"/>
  <c r="J729" i="2"/>
  <c r="J722" i="2"/>
  <c r="O720" i="2"/>
  <c r="N720" i="2"/>
  <c r="J720" i="2"/>
  <c r="J716" i="2"/>
  <c r="O716" i="2" s="1"/>
  <c r="O708" i="2" s="1"/>
  <c r="J715" i="2"/>
  <c r="J713" i="2"/>
  <c r="J712" i="2"/>
  <c r="J710" i="2"/>
  <c r="J709" i="2"/>
  <c r="J708" i="2"/>
  <c r="J707" i="2"/>
  <c r="J706" i="2"/>
  <c r="J718" i="2"/>
  <c r="O718" i="2" s="1"/>
  <c r="O733" i="2" s="1"/>
  <c r="Q733" i="2" s="1"/>
  <c r="J699" i="2"/>
  <c r="J697" i="2"/>
  <c r="O706" i="2" l="1"/>
  <c r="O736" i="2" s="1"/>
  <c r="Q734" i="2"/>
  <c r="P729" i="2"/>
  <c r="Q729" i="2"/>
  <c r="P707" i="2"/>
  <c r="Q707" i="2"/>
  <c r="Q730" i="2"/>
  <c r="P730" i="2"/>
  <c r="Q732" i="2"/>
  <c r="P732" i="2"/>
  <c r="Q722" i="2"/>
  <c r="P722" i="2"/>
  <c r="Q716" i="2"/>
  <c r="Q708" i="2"/>
  <c r="Q718" i="2"/>
  <c r="Q714" i="2"/>
  <c r="Q709" i="2"/>
  <c r="P709" i="2"/>
  <c r="P708" i="2"/>
  <c r="Q710" i="2"/>
  <c r="P710" i="2"/>
  <c r="P712" i="2"/>
  <c r="Q712" i="2"/>
  <c r="Q713" i="2"/>
  <c r="P715" i="2"/>
  <c r="Q715" i="2"/>
  <c r="Q720" i="2"/>
  <c r="P720" i="2"/>
  <c r="Q699" i="2"/>
  <c r="P699" i="2"/>
  <c r="Q697" i="2"/>
  <c r="P697" i="2"/>
  <c r="P713" i="2"/>
  <c r="N736" i="2" l="1"/>
  <c r="Q706" i="2"/>
  <c r="N424" i="2"/>
  <c r="N432" i="2"/>
  <c r="O446" i="2"/>
  <c r="N446" i="2"/>
  <c r="J445" i="2"/>
  <c r="O445" i="2" s="1"/>
  <c r="Q445" i="2" s="1"/>
  <c r="J444" i="2"/>
  <c r="O444" i="2" s="1"/>
  <c r="Q444" i="2" s="1"/>
  <c r="J443" i="2"/>
  <c r="O443" i="2" s="1"/>
  <c r="Q443" i="2" s="1"/>
  <c r="J442" i="2"/>
  <c r="O442" i="2" s="1"/>
  <c r="Q442" i="2" s="1"/>
  <c r="J441" i="2"/>
  <c r="O441" i="2" s="1"/>
  <c r="Q441" i="2" s="1"/>
  <c r="J436" i="2"/>
  <c r="O435" i="2"/>
  <c r="N435" i="2"/>
  <c r="J434" i="2"/>
  <c r="O434" i="2" s="1"/>
  <c r="Q434" i="2" s="1"/>
  <c r="O430" i="2"/>
  <c r="N430" i="2"/>
  <c r="J429" i="2"/>
  <c r="O429" i="2"/>
  <c r="N429" i="2"/>
  <c r="J428" i="2"/>
  <c r="O428" i="2" s="1"/>
  <c r="Q428" i="2" s="1"/>
  <c r="O426" i="2"/>
  <c r="N426" i="2"/>
  <c r="O423" i="2"/>
  <c r="N423" i="2"/>
  <c r="O420" i="2"/>
  <c r="N420" i="2"/>
  <c r="O419" i="2"/>
  <c r="N408" i="2" s="1"/>
  <c r="J419" i="2"/>
  <c r="J418" i="2"/>
  <c r="O418" i="2" s="1"/>
  <c r="Q418" i="2" s="1"/>
  <c r="J417" i="2"/>
  <c r="J416" i="2"/>
  <c r="O417" i="2"/>
  <c r="N417" i="2"/>
  <c r="O416" i="2"/>
  <c r="N416" i="2"/>
  <c r="J415" i="2"/>
  <c r="O415" i="2" s="1"/>
  <c r="Q415" i="2" s="1"/>
  <c r="O410" i="2"/>
  <c r="N410" i="2"/>
  <c r="J410" i="2"/>
  <c r="N377" i="2"/>
  <c r="N374" i="2"/>
  <c r="O388" i="2"/>
  <c r="N386" i="2"/>
  <c r="O395" i="2"/>
  <c r="N395" i="2"/>
  <c r="N404" i="2"/>
  <c r="J395" i="2"/>
  <c r="J396" i="2"/>
  <c r="O396" i="2" s="1"/>
  <c r="Q396" i="2" s="1"/>
  <c r="J394" i="2"/>
  <c r="O394" i="2" s="1"/>
  <c r="Q394" i="2" s="1"/>
  <c r="J393" i="2"/>
  <c r="O393" i="2" s="1"/>
  <c r="Q393" i="2" s="1"/>
  <c r="J390" i="2"/>
  <c r="J389" i="2"/>
  <c r="O389" i="2" s="1"/>
  <c r="Q389" i="2" s="1"/>
  <c r="N388" i="2"/>
  <c r="J388" i="2"/>
  <c r="J387" i="2"/>
  <c r="J386" i="2"/>
  <c r="O373" i="2"/>
  <c r="N373" i="2"/>
  <c r="N370" i="2"/>
  <c r="J404" i="2"/>
  <c r="J405" i="2"/>
  <c r="J403" i="2"/>
  <c r="O362" i="2"/>
  <c r="N362" i="2"/>
  <c r="O357" i="2"/>
  <c r="N357" i="2"/>
  <c r="O356" i="2"/>
  <c r="N356" i="2"/>
  <c r="O355" i="2"/>
  <c r="N355" i="2"/>
  <c r="O353" i="2"/>
  <c r="N353" i="2"/>
  <c r="J349" i="2"/>
  <c r="O348" i="2"/>
  <c r="N348" i="2"/>
  <c r="N346" i="2"/>
  <c r="O346" i="2"/>
  <c r="O345" i="2"/>
  <c r="N345" i="2"/>
  <c r="O342" i="2"/>
  <c r="N342" i="2"/>
  <c r="F339" i="2"/>
  <c r="O339" i="2" s="1"/>
  <c r="J339" i="2"/>
  <c r="J342" i="2"/>
  <c r="J343" i="2"/>
  <c r="J345" i="2"/>
  <c r="J346" i="2"/>
  <c r="J347" i="2"/>
  <c r="O347" i="2" s="1"/>
  <c r="Q347" i="2" s="1"/>
  <c r="J348" i="2"/>
  <c r="J351" i="2"/>
  <c r="J353" i="2"/>
  <c r="J354" i="2"/>
  <c r="P354" i="2" s="1"/>
  <c r="J355" i="2"/>
  <c r="J356" i="2"/>
  <c r="J357" i="2"/>
  <c r="J358" i="2"/>
  <c r="O358" i="2" s="1"/>
  <c r="Q358" i="2" s="1"/>
  <c r="J359" i="2"/>
  <c r="O359" i="2" s="1"/>
  <c r="Q359" i="2" s="1"/>
  <c r="J360" i="2"/>
  <c r="J362" i="2"/>
  <c r="J363" i="2"/>
  <c r="O363" i="2" s="1"/>
  <c r="Q363" i="2" s="1"/>
  <c r="J364" i="2"/>
  <c r="O372" i="2"/>
  <c r="N372" i="2"/>
  <c r="Q390" i="2" l="1"/>
  <c r="P390" i="2"/>
  <c r="P351" i="2"/>
  <c r="Q351" i="2"/>
  <c r="Q436" i="2"/>
  <c r="P436" i="2"/>
  <c r="Q364" i="2"/>
  <c r="P364" i="2"/>
  <c r="P360" i="2"/>
  <c r="Q360" i="2"/>
  <c r="Q429" i="2"/>
  <c r="O432" i="2"/>
  <c r="O412" i="2"/>
  <c r="F447" i="2"/>
  <c r="Q419" i="2"/>
  <c r="O424" i="2"/>
  <c r="N412" i="2"/>
  <c r="N447" i="2" s="1"/>
  <c r="AA696" i="2" s="1"/>
  <c r="P416" i="2"/>
  <c r="P429" i="2"/>
  <c r="Q416" i="2"/>
  <c r="Q417" i="2"/>
  <c r="P417" i="2"/>
  <c r="P410" i="2"/>
  <c r="Q410" i="2"/>
  <c r="P404" i="2"/>
  <c r="Q395" i="2"/>
  <c r="P388" i="2"/>
  <c r="P395" i="2"/>
  <c r="Q388" i="2"/>
  <c r="O387" i="2"/>
  <c r="Q387" i="2" s="1"/>
  <c r="N387" i="2"/>
  <c r="P387" i="2" s="1"/>
  <c r="O386" i="2"/>
  <c r="P386" i="2"/>
  <c r="F406" i="2"/>
  <c r="N339" i="2"/>
  <c r="N368" i="2" s="1"/>
  <c r="P362" i="2"/>
  <c r="P346" i="2"/>
  <c r="Q362" i="2"/>
  <c r="F368" i="2"/>
  <c r="P343" i="2"/>
  <c r="P345" i="2"/>
  <c r="Q345" i="2"/>
  <c r="Q356" i="2"/>
  <c r="Q357" i="2"/>
  <c r="P342" i="2"/>
  <c r="Q342" i="2"/>
  <c r="P357" i="2"/>
  <c r="P355" i="2"/>
  <c r="Q343" i="2"/>
  <c r="Q353" i="2"/>
  <c r="P353" i="2"/>
  <c r="O354" i="2"/>
  <c r="Q346" i="2"/>
  <c r="Q355" i="2"/>
  <c r="P356" i="2"/>
  <c r="P348" i="2"/>
  <c r="Q348" i="2"/>
  <c r="P349" i="2"/>
  <c r="Q349" i="2"/>
  <c r="Q339" i="2"/>
  <c r="J426" i="2"/>
  <c r="P426" i="2" s="1"/>
  <c r="J372" i="2"/>
  <c r="P372" i="2" s="1"/>
  <c r="J370" i="2"/>
  <c r="J397" i="2"/>
  <c r="J401" i="2"/>
  <c r="J392" i="2"/>
  <c r="O392" i="2" s="1"/>
  <c r="J446" i="2"/>
  <c r="Q446" i="2" s="1"/>
  <c r="J440" i="2"/>
  <c r="J435" i="2"/>
  <c r="Q435" i="2" s="1"/>
  <c r="J432" i="2"/>
  <c r="P432" i="2" s="1"/>
  <c r="J431" i="2"/>
  <c r="J430" i="2"/>
  <c r="P430" i="2" s="1"/>
  <c r="J427" i="2"/>
  <c r="J424" i="2"/>
  <c r="P424" i="2" s="1"/>
  <c r="J423" i="2"/>
  <c r="P423" i="2" s="1"/>
  <c r="J421" i="2"/>
  <c r="J420" i="2"/>
  <c r="P420" i="2" s="1"/>
  <c r="J414" i="2"/>
  <c r="J412" i="2"/>
  <c r="J411" i="2"/>
  <c r="J408" i="2"/>
  <c r="J399" i="2"/>
  <c r="J391" i="2"/>
  <c r="O391" i="2" s="1"/>
  <c r="J385" i="2"/>
  <c r="J384" i="2"/>
  <c r="O384" i="2" s="1"/>
  <c r="J383" i="2"/>
  <c r="J382" i="2"/>
  <c r="J380" i="2"/>
  <c r="J379" i="2"/>
  <c r="J377" i="2"/>
  <c r="P377" i="2" s="1"/>
  <c r="J376" i="2"/>
  <c r="P376" i="2" s="1"/>
  <c r="J374" i="2"/>
  <c r="J373" i="2"/>
  <c r="P373" i="2" s="1"/>
  <c r="Q384" i="2" l="1"/>
  <c r="Q391" i="2"/>
  <c r="O377" i="2"/>
  <c r="Q377" i="2" s="1"/>
  <c r="O447" i="2"/>
  <c r="Q392" i="2"/>
  <c r="AB394" i="2"/>
  <c r="Q399" i="2"/>
  <c r="P399" i="2"/>
  <c r="P411" i="2"/>
  <c r="Q411" i="2"/>
  <c r="P414" i="2"/>
  <c r="Q414" i="2"/>
  <c r="Q401" i="2"/>
  <c r="P401" i="2"/>
  <c r="Q397" i="2"/>
  <c r="P397" i="2"/>
  <c r="Q379" i="2"/>
  <c r="P379" i="2"/>
  <c r="Q380" i="2"/>
  <c r="P380" i="2"/>
  <c r="P382" i="2"/>
  <c r="Q382" i="2"/>
  <c r="Q431" i="2"/>
  <c r="P431" i="2"/>
  <c r="P383" i="2"/>
  <c r="Q383" i="2"/>
  <c r="P427" i="2"/>
  <c r="Q427" i="2"/>
  <c r="P440" i="2"/>
  <c r="Q440" i="2"/>
  <c r="P421" i="2"/>
  <c r="Q421" i="2"/>
  <c r="Q412" i="2"/>
  <c r="Q432" i="2"/>
  <c r="Q420" i="2"/>
  <c r="P435" i="2"/>
  <c r="P412" i="2"/>
  <c r="Q423" i="2"/>
  <c r="Q426" i="2"/>
  <c r="P446" i="2"/>
  <c r="Q424" i="2"/>
  <c r="Q430" i="2"/>
  <c r="N406" i="2"/>
  <c r="Q386" i="2"/>
  <c r="Q376" i="2"/>
  <c r="Q373" i="2"/>
  <c r="O385" i="2"/>
  <c r="Q385" i="2" s="1"/>
  <c r="Q354" i="2"/>
  <c r="O368" i="2"/>
  <c r="P339" i="2"/>
  <c r="Q372" i="2"/>
  <c r="P370" i="2"/>
  <c r="P374" i="2"/>
  <c r="O374" i="2" l="1"/>
  <c r="O406" i="2" s="1"/>
  <c r="AA407" i="2"/>
  <c r="Q374" i="2" l="1"/>
  <c r="AL184" i="3"/>
  <c r="AE184" i="3"/>
  <c r="AL183" i="3"/>
  <c r="AE183" i="3"/>
  <c r="AL182" i="3"/>
  <c r="AE182" i="3"/>
  <c r="AE181" i="3"/>
  <c r="AE180" i="3"/>
  <c r="K180" i="3"/>
  <c r="AE179" i="3"/>
  <c r="Q179" i="3"/>
  <c r="K179" i="3"/>
  <c r="K185" i="3" s="1"/>
  <c r="AE178" i="3"/>
  <c r="P178" i="3"/>
  <c r="L178" i="3"/>
  <c r="H178" i="3"/>
  <c r="AE177" i="3"/>
  <c r="L177" i="3"/>
  <c r="H177" i="3"/>
  <c r="AE176" i="3"/>
  <c r="L176" i="3"/>
  <c r="H176" i="3"/>
  <c r="AE175" i="3"/>
  <c r="L175" i="3"/>
  <c r="H175" i="3"/>
  <c r="AE174" i="3"/>
  <c r="P174" i="3"/>
  <c r="L174" i="3"/>
  <c r="AE173" i="3"/>
  <c r="L173" i="3"/>
  <c r="H173" i="3"/>
  <c r="AE172" i="3"/>
  <c r="P172" i="3"/>
  <c r="L172" i="3"/>
  <c r="AE171" i="3"/>
  <c r="L171" i="3"/>
  <c r="H171" i="3"/>
  <c r="AE170" i="3"/>
  <c r="L170" i="3"/>
  <c r="H170" i="3"/>
  <c r="AE169" i="3"/>
  <c r="L169" i="3"/>
  <c r="H169" i="3"/>
  <c r="AE168" i="3"/>
  <c r="L168" i="3"/>
  <c r="H168" i="3"/>
  <c r="AE167" i="3"/>
  <c r="L167" i="3"/>
  <c r="H167" i="3"/>
  <c r="AE166" i="3"/>
  <c r="L166" i="3"/>
  <c r="G166" i="3"/>
  <c r="AE165" i="3"/>
  <c r="L165" i="3"/>
  <c r="H165" i="3"/>
  <c r="G165" i="3"/>
  <c r="L164" i="3"/>
  <c r="H164" i="3"/>
  <c r="G164" i="3"/>
  <c r="L163" i="3"/>
  <c r="H163" i="3"/>
  <c r="G163" i="3"/>
  <c r="AE162" i="3"/>
  <c r="L162" i="3"/>
  <c r="H162" i="3"/>
  <c r="G162" i="3"/>
  <c r="AE161" i="3"/>
  <c r="L161" i="3"/>
  <c r="H161" i="3"/>
  <c r="G161" i="3"/>
  <c r="AE160" i="3"/>
  <c r="H159" i="3"/>
  <c r="AE158" i="3"/>
  <c r="H157" i="3"/>
  <c r="G157" i="3"/>
  <c r="AE156" i="3"/>
  <c r="H155" i="3"/>
  <c r="G155" i="3"/>
  <c r="AE154" i="3"/>
  <c r="H153" i="3"/>
  <c r="G153" i="3"/>
  <c r="H151" i="3"/>
  <c r="G151" i="3"/>
  <c r="H149" i="3"/>
  <c r="G149" i="3"/>
  <c r="AE148" i="3"/>
  <c r="H147" i="3"/>
  <c r="G147" i="3"/>
  <c r="AE146" i="3"/>
  <c r="L146" i="3"/>
  <c r="H146" i="3"/>
  <c r="G146" i="3"/>
  <c r="AE145" i="3"/>
  <c r="L145" i="3"/>
  <c r="H145" i="3"/>
  <c r="G145" i="3"/>
  <c r="AE144" i="3"/>
  <c r="L144" i="3"/>
  <c r="G144" i="3"/>
  <c r="AE143" i="3"/>
  <c r="L143" i="3"/>
  <c r="H143" i="3"/>
  <c r="G143" i="3"/>
  <c r="AE142" i="3"/>
  <c r="L142" i="3"/>
  <c r="H142" i="3"/>
  <c r="G142" i="3"/>
  <c r="AE141" i="3"/>
  <c r="L141" i="3"/>
  <c r="H141" i="3"/>
  <c r="G141" i="3"/>
  <c r="AE140" i="3"/>
  <c r="L140" i="3"/>
  <c r="G140" i="3"/>
  <c r="AE139" i="3"/>
  <c r="L139" i="3"/>
  <c r="H139" i="3"/>
  <c r="G139" i="3"/>
  <c r="AE138" i="3"/>
  <c r="L138" i="3"/>
  <c r="H138" i="3"/>
  <c r="G138" i="3"/>
  <c r="AE137" i="3"/>
  <c r="L137" i="3"/>
  <c r="H137" i="3"/>
  <c r="G137" i="3"/>
  <c r="AE136" i="3"/>
  <c r="L136" i="3"/>
  <c r="H136" i="3"/>
  <c r="G136" i="3"/>
  <c r="AE135" i="3"/>
  <c r="L135" i="3"/>
  <c r="H135" i="3"/>
  <c r="G135" i="3"/>
  <c r="AE134" i="3"/>
  <c r="L134" i="3"/>
  <c r="H134" i="3"/>
  <c r="G134" i="3"/>
  <c r="AE133" i="3"/>
  <c r="L133" i="3"/>
  <c r="H133" i="3"/>
  <c r="G133" i="3"/>
  <c r="AE132" i="3"/>
  <c r="L132" i="3"/>
  <c r="H132" i="3"/>
  <c r="G132" i="3"/>
  <c r="AE131" i="3"/>
  <c r="L131" i="3"/>
  <c r="G131" i="3"/>
  <c r="AE130" i="3"/>
  <c r="L130" i="3"/>
  <c r="H130" i="3"/>
  <c r="G130" i="3"/>
  <c r="AE129" i="3"/>
  <c r="L129" i="3"/>
  <c r="H129" i="3"/>
  <c r="G129" i="3"/>
  <c r="AE128" i="3"/>
  <c r="L128" i="3"/>
  <c r="H128" i="3"/>
  <c r="G128" i="3"/>
  <c r="AE127" i="3"/>
  <c r="L127" i="3"/>
  <c r="H127" i="3"/>
  <c r="G127" i="3"/>
  <c r="AE126" i="3"/>
  <c r="L126" i="3"/>
  <c r="H126" i="3"/>
  <c r="G126" i="3"/>
  <c r="AE125" i="3"/>
  <c r="L125" i="3"/>
  <c r="H125" i="3"/>
  <c r="G125" i="3"/>
  <c r="AE124" i="3"/>
  <c r="L124" i="3"/>
  <c r="H124" i="3"/>
  <c r="G124" i="3"/>
  <c r="AE123" i="3"/>
  <c r="L123" i="3"/>
  <c r="H123" i="3"/>
  <c r="G123" i="3"/>
  <c r="AE122" i="3"/>
  <c r="L122" i="3"/>
  <c r="H122" i="3"/>
  <c r="G122" i="3"/>
  <c r="H121" i="3"/>
  <c r="G121" i="3"/>
  <c r="G120" i="3"/>
  <c r="G119" i="3"/>
  <c r="AE118" i="3"/>
  <c r="L118" i="3"/>
  <c r="H118" i="3"/>
  <c r="G118" i="3"/>
  <c r="AE117" i="3"/>
  <c r="L117" i="3"/>
  <c r="H117" i="3"/>
  <c r="G117" i="3"/>
  <c r="AE116" i="3"/>
  <c r="L116" i="3"/>
  <c r="H116" i="3"/>
  <c r="G116" i="3"/>
  <c r="AE115" i="3"/>
  <c r="L115" i="3"/>
  <c r="H115" i="3"/>
  <c r="G115" i="3"/>
  <c r="L114" i="3"/>
  <c r="H114" i="3"/>
  <c r="G114" i="3"/>
  <c r="L113" i="3"/>
  <c r="H113" i="3"/>
  <c r="G113" i="3"/>
  <c r="L112" i="3"/>
  <c r="H112" i="3"/>
  <c r="G112" i="3"/>
  <c r="AE111" i="3"/>
  <c r="L111" i="3"/>
  <c r="H111" i="3"/>
  <c r="G111" i="3"/>
  <c r="AE110" i="3"/>
  <c r="L110" i="3"/>
  <c r="G110" i="3"/>
  <c r="AE109" i="3"/>
  <c r="L109" i="3"/>
  <c r="H109" i="3"/>
  <c r="G109" i="3"/>
  <c r="G108" i="3"/>
  <c r="AE107" i="3"/>
  <c r="L107" i="3"/>
  <c r="H107" i="3"/>
  <c r="G107" i="3"/>
  <c r="AE106" i="3"/>
  <c r="L106" i="3"/>
  <c r="H106" i="3"/>
  <c r="G106" i="3"/>
  <c r="AE105" i="3"/>
  <c r="L105" i="3"/>
  <c r="H105" i="3"/>
  <c r="G105" i="3"/>
  <c r="L104" i="3"/>
  <c r="H104" i="3"/>
  <c r="G104" i="3"/>
  <c r="AE103" i="3"/>
  <c r="L103" i="3"/>
  <c r="H103" i="3"/>
  <c r="G103" i="3"/>
  <c r="AE102" i="3"/>
  <c r="L102" i="3"/>
  <c r="H102" i="3"/>
  <c r="G102" i="3"/>
  <c r="AE101" i="3"/>
  <c r="L101" i="3"/>
  <c r="H101" i="3"/>
  <c r="G101" i="3"/>
  <c r="AE100" i="3"/>
  <c r="L100" i="3"/>
  <c r="H100" i="3"/>
  <c r="G100" i="3"/>
  <c r="AE99" i="3"/>
  <c r="L99" i="3"/>
  <c r="H99" i="3"/>
  <c r="G99" i="3"/>
  <c r="AE98" i="3"/>
  <c r="L98" i="3"/>
  <c r="H98" i="3"/>
  <c r="G98" i="3"/>
  <c r="L97" i="3"/>
  <c r="H97" i="3"/>
  <c r="G97" i="3"/>
  <c r="L96" i="3"/>
  <c r="H96" i="3"/>
  <c r="G96" i="3"/>
  <c r="L95" i="3"/>
  <c r="H95" i="3"/>
  <c r="G95" i="3"/>
  <c r="AE94" i="3"/>
  <c r="L94" i="3"/>
  <c r="H94" i="3"/>
  <c r="G94" i="3"/>
  <c r="AE93" i="3"/>
  <c r="L93" i="3"/>
  <c r="H93" i="3"/>
  <c r="G93" i="3"/>
  <c r="AE92" i="3"/>
  <c r="L92" i="3"/>
  <c r="H92" i="3"/>
  <c r="G92" i="3"/>
  <c r="AE91" i="3"/>
  <c r="L91" i="3"/>
  <c r="H91" i="3"/>
  <c r="G91" i="3"/>
  <c r="L90" i="3"/>
  <c r="G90" i="3"/>
  <c r="L89" i="3"/>
  <c r="G89" i="3"/>
  <c r="AE88" i="3"/>
  <c r="L88" i="3"/>
  <c r="H88" i="3"/>
  <c r="G88" i="3"/>
  <c r="AE87" i="3"/>
  <c r="L87" i="3"/>
  <c r="H87" i="3"/>
  <c r="G87" i="3"/>
  <c r="AE86" i="3"/>
  <c r="L86" i="3"/>
  <c r="H86" i="3"/>
  <c r="G86" i="3"/>
  <c r="AE85" i="3"/>
  <c r="L85" i="3"/>
  <c r="H85" i="3"/>
  <c r="G85" i="3"/>
  <c r="AE84" i="3"/>
  <c r="L84" i="3"/>
  <c r="H84" i="3"/>
  <c r="G84" i="3"/>
  <c r="AE83" i="3"/>
  <c r="L83" i="3"/>
  <c r="H83" i="3"/>
  <c r="G83" i="3"/>
  <c r="AE82" i="3"/>
  <c r="L82" i="3"/>
  <c r="H82" i="3"/>
  <c r="G82" i="3"/>
  <c r="AE81" i="3"/>
  <c r="L81" i="3"/>
  <c r="G81" i="3"/>
  <c r="AE80" i="3"/>
  <c r="L80" i="3"/>
  <c r="H80" i="3"/>
  <c r="G80" i="3"/>
  <c r="AE79" i="3"/>
  <c r="L79" i="3"/>
  <c r="H79" i="3"/>
  <c r="G79" i="3"/>
  <c r="L78" i="3"/>
  <c r="H78" i="3"/>
  <c r="G78" i="3"/>
  <c r="L77" i="3"/>
  <c r="H77" i="3"/>
  <c r="G77" i="3"/>
  <c r="L76" i="3"/>
  <c r="H76" i="3"/>
  <c r="G76" i="3"/>
  <c r="L75" i="3"/>
  <c r="H75" i="3"/>
  <c r="G75" i="3"/>
  <c r="L74" i="3"/>
  <c r="H74" i="3"/>
  <c r="G74" i="3"/>
  <c r="L73" i="3"/>
  <c r="G73" i="3"/>
  <c r="L72" i="3"/>
  <c r="H72" i="3"/>
  <c r="G72" i="3"/>
  <c r="L71" i="3"/>
  <c r="H71" i="3"/>
  <c r="G71" i="3"/>
  <c r="L70" i="3"/>
  <c r="H70" i="3"/>
  <c r="G70" i="3"/>
  <c r="L69" i="3"/>
  <c r="H69" i="3"/>
  <c r="G69" i="3"/>
  <c r="L68" i="3"/>
  <c r="H68" i="3"/>
  <c r="G68" i="3"/>
  <c r="L67" i="3"/>
  <c r="H67" i="3"/>
  <c r="G67" i="3"/>
  <c r="Q66" i="3"/>
  <c r="L66" i="3"/>
  <c r="H66" i="3"/>
  <c r="G66" i="3"/>
  <c r="Q65" i="3"/>
  <c r="L65" i="3"/>
  <c r="H65" i="3"/>
  <c r="G65" i="3"/>
  <c r="AE64" i="3"/>
  <c r="L64" i="3"/>
  <c r="H64" i="3"/>
  <c r="G64" i="3"/>
  <c r="W64" i="3" s="1"/>
  <c r="AE63" i="3"/>
  <c r="L63" i="3"/>
  <c r="H63" i="3"/>
  <c r="G63" i="3"/>
  <c r="P63" i="3" s="1"/>
  <c r="Z63" i="3" s="1"/>
  <c r="AE62" i="3"/>
  <c r="L62" i="3"/>
  <c r="G62" i="3"/>
  <c r="P62" i="3" s="1"/>
  <c r="Z62" i="3" s="1"/>
  <c r="AO61" i="3"/>
  <c r="AN61" i="3"/>
  <c r="AE61" i="3"/>
  <c r="L61" i="3"/>
  <c r="G61" i="3"/>
  <c r="W61" i="3" s="1"/>
  <c r="AE60" i="3"/>
  <c r="H60" i="3"/>
  <c r="G60" i="3"/>
  <c r="W60" i="3" s="1"/>
  <c r="AE59" i="3"/>
  <c r="L59" i="3"/>
  <c r="G59" i="3"/>
  <c r="P59" i="3" s="1"/>
  <c r="Z59" i="3" s="1"/>
  <c r="AE58" i="3"/>
  <c r="L58" i="3"/>
  <c r="G58" i="3"/>
  <c r="P58" i="3" s="1"/>
  <c r="AE57" i="3"/>
  <c r="L57" i="3"/>
  <c r="G57" i="3"/>
  <c r="P57" i="3" s="1"/>
  <c r="Z57" i="3" s="1"/>
  <c r="AE56" i="3"/>
  <c r="L56" i="3"/>
  <c r="G56" i="3"/>
  <c r="P56" i="3" s="1"/>
  <c r="Z56" i="3" s="1"/>
  <c r="AE55" i="3"/>
  <c r="L55" i="3"/>
  <c r="G55" i="3"/>
  <c r="P55" i="3" s="1"/>
  <c r="Z55" i="3" s="1"/>
  <c r="AP54" i="3"/>
  <c r="AO54" i="3"/>
  <c r="AN54" i="3"/>
  <c r="AE54" i="3"/>
  <c r="L54" i="3"/>
  <c r="H54" i="3"/>
  <c r="G54" i="3"/>
  <c r="P54" i="3" s="1"/>
  <c r="Z54" i="3" s="1"/>
  <c r="AP53" i="3"/>
  <c r="AP61" i="3" s="1"/>
  <c r="AO53" i="3"/>
  <c r="AN53" i="3"/>
  <c r="AE53" i="3"/>
  <c r="AE185" i="3" s="1"/>
  <c r="L53" i="3"/>
  <c r="G53" i="3"/>
  <c r="P53" i="3" s="1"/>
  <c r="Z53" i="3" s="1"/>
  <c r="AR9" i="3"/>
  <c r="AN7" i="3"/>
  <c r="AM7" i="3"/>
  <c r="AE7" i="3"/>
  <c r="S7" i="3"/>
  <c r="AS6" i="3"/>
  <c r="F337" i="2"/>
  <c r="O335" i="2"/>
  <c r="N335" i="2"/>
  <c r="J335" i="2"/>
  <c r="O334" i="2"/>
  <c r="N334" i="2"/>
  <c r="J334" i="2"/>
  <c r="O333" i="2"/>
  <c r="N333" i="2"/>
  <c r="J333" i="2"/>
  <c r="O332" i="2"/>
  <c r="N332" i="2"/>
  <c r="J332" i="2"/>
  <c r="N328" i="2"/>
  <c r="J328" i="2"/>
  <c r="J327" i="2"/>
  <c r="P327" i="2" s="1"/>
  <c r="J326" i="2"/>
  <c r="J325" i="2"/>
  <c r="J324" i="2"/>
  <c r="O322" i="2"/>
  <c r="N322" i="2"/>
  <c r="J322" i="2"/>
  <c r="O321" i="2"/>
  <c r="N321" i="2"/>
  <c r="J321" i="2"/>
  <c r="O320" i="2"/>
  <c r="N320" i="2"/>
  <c r="J320" i="2"/>
  <c r="O319" i="2"/>
  <c r="N319" i="2"/>
  <c r="J319" i="2"/>
  <c r="O318" i="2"/>
  <c r="N318" i="2"/>
  <c r="J318" i="2"/>
  <c r="O317" i="2"/>
  <c r="N317" i="2"/>
  <c r="J317" i="2"/>
  <c r="O314" i="2"/>
  <c r="N314" i="2"/>
  <c r="J314" i="2"/>
  <c r="O313" i="2"/>
  <c r="N313" i="2"/>
  <c r="J313" i="2"/>
  <c r="O312" i="2"/>
  <c r="N312" i="2"/>
  <c r="J312" i="2"/>
  <c r="O311" i="2"/>
  <c r="N311" i="2"/>
  <c r="J311" i="2"/>
  <c r="O310" i="2"/>
  <c r="N310" i="2"/>
  <c r="J310" i="2"/>
  <c r="O307" i="2"/>
  <c r="N307" i="2"/>
  <c r="J307" i="2"/>
  <c r="O305" i="2"/>
  <c r="N305" i="2"/>
  <c r="J305" i="2"/>
  <c r="N304" i="2"/>
  <c r="J304" i="2"/>
  <c r="J303" i="2"/>
  <c r="J301" i="2"/>
  <c r="O300" i="2"/>
  <c r="N300" i="2"/>
  <c r="J300" i="2"/>
  <c r="N298" i="2"/>
  <c r="J298" i="2"/>
  <c r="J297" i="2"/>
  <c r="N297" i="2" s="1"/>
  <c r="P297" i="2" s="1"/>
  <c r="O296" i="2"/>
  <c r="N296" i="2"/>
  <c r="J296" i="2"/>
  <c r="O295" i="2"/>
  <c r="N295" i="2"/>
  <c r="J295" i="2"/>
  <c r="O293" i="2"/>
  <c r="N293" i="2"/>
  <c r="J293" i="2"/>
  <c r="O292" i="2"/>
  <c r="N292" i="2"/>
  <c r="J292" i="2"/>
  <c r="O290" i="2"/>
  <c r="N290" i="2"/>
  <c r="J290" i="2"/>
  <c r="J289" i="2"/>
  <c r="O289" i="2" s="1"/>
  <c r="J288" i="2"/>
  <c r="O287" i="2"/>
  <c r="N287" i="2"/>
  <c r="J287" i="2"/>
  <c r="J285" i="2"/>
  <c r="O285" i="2" s="1"/>
  <c r="O284" i="2"/>
  <c r="N284" i="2"/>
  <c r="J284" i="2"/>
  <c r="O283" i="2"/>
  <c r="N283" i="2"/>
  <c r="J283" i="2"/>
  <c r="J282" i="2"/>
  <c r="O282" i="2" s="1"/>
  <c r="Q282" i="2" s="1"/>
  <c r="J281" i="2"/>
  <c r="O280" i="2"/>
  <c r="N280" i="2"/>
  <c r="J280" i="2"/>
  <c r="O279" i="2"/>
  <c r="N279" i="2"/>
  <c r="J279" i="2"/>
  <c r="J277" i="2"/>
  <c r="F275" i="2"/>
  <c r="J274" i="2"/>
  <c r="O273" i="2"/>
  <c r="N273" i="2"/>
  <c r="J273" i="2"/>
  <c r="O272" i="2"/>
  <c r="N272" i="2"/>
  <c r="J272" i="2"/>
  <c r="N270" i="2"/>
  <c r="J270" i="2"/>
  <c r="O270" i="2" s="1"/>
  <c r="N218" i="2" s="1"/>
  <c r="O269" i="2"/>
  <c r="N269" i="2"/>
  <c r="J269" i="2"/>
  <c r="O267" i="2"/>
  <c r="N267" i="2"/>
  <c r="J267" i="2"/>
  <c r="O266" i="2"/>
  <c r="N266" i="2"/>
  <c r="J266" i="2"/>
  <c r="O265" i="2"/>
  <c r="N265" i="2"/>
  <c r="J265" i="2"/>
  <c r="J264" i="2"/>
  <c r="O263" i="2"/>
  <c r="N263" i="2"/>
  <c r="J263" i="2"/>
  <c r="O262" i="2"/>
  <c r="N262" i="2"/>
  <c r="J262" i="2"/>
  <c r="O261" i="2"/>
  <c r="N261" i="2"/>
  <c r="J261" i="2"/>
  <c r="O260" i="2"/>
  <c r="N260" i="2"/>
  <c r="J260" i="2"/>
  <c r="N256" i="2"/>
  <c r="J256" i="2"/>
  <c r="J255" i="2"/>
  <c r="O255" i="2" s="1"/>
  <c r="O254" i="2"/>
  <c r="N254" i="2"/>
  <c r="J254" i="2"/>
  <c r="O253" i="2"/>
  <c r="N253" i="2"/>
  <c r="J253" i="2"/>
  <c r="O252" i="2"/>
  <c r="N252" i="2"/>
  <c r="J252" i="2"/>
  <c r="J251" i="2"/>
  <c r="O251" i="2" s="1"/>
  <c r="Q251" i="2" s="1"/>
  <c r="O250" i="2"/>
  <c r="N250" i="2"/>
  <c r="J250" i="2"/>
  <c r="J249" i="2"/>
  <c r="J248" i="2"/>
  <c r="J247" i="2"/>
  <c r="O245" i="2"/>
  <c r="N245" i="2"/>
  <c r="J245" i="2"/>
  <c r="O243" i="2"/>
  <c r="N243" i="2"/>
  <c r="J243" i="2"/>
  <c r="O242" i="2"/>
  <c r="N242" i="2"/>
  <c r="J242" i="2"/>
  <c r="O241" i="2"/>
  <c r="N241" i="2"/>
  <c r="J241" i="2"/>
  <c r="J240" i="2"/>
  <c r="J239" i="2"/>
  <c r="O238" i="2"/>
  <c r="N238" i="2"/>
  <c r="J238" i="2"/>
  <c r="O237" i="2"/>
  <c r="N237" i="2"/>
  <c r="J237" i="2"/>
  <c r="O236" i="2"/>
  <c r="N236" i="2"/>
  <c r="J236" i="2"/>
  <c r="O235" i="2"/>
  <c r="N235" i="2"/>
  <c r="J235" i="2"/>
  <c r="J234" i="2"/>
  <c r="O234" i="2" s="1"/>
  <c r="O232" i="2"/>
  <c r="N232" i="2"/>
  <c r="J232" i="2"/>
  <c r="O231" i="2"/>
  <c r="N231" i="2"/>
  <c r="J231" i="2"/>
  <c r="O230" i="2"/>
  <c r="N230" i="2"/>
  <c r="J230" i="2"/>
  <c r="N228" i="2"/>
  <c r="J228" i="2"/>
  <c r="O226" i="2"/>
  <c r="N226" i="2"/>
  <c r="J226" i="2"/>
  <c r="O225" i="2"/>
  <c r="N225" i="2"/>
  <c r="J225" i="2"/>
  <c r="O224" i="2"/>
  <c r="N224" i="2"/>
  <c r="J224" i="2"/>
  <c r="J223" i="2"/>
  <c r="O219" i="2"/>
  <c r="N219" i="2"/>
  <c r="J219" i="2"/>
  <c r="J218" i="2"/>
  <c r="N275" i="2" l="1"/>
  <c r="Z218" i="2"/>
  <c r="Q289" i="2"/>
  <c r="O328" i="2"/>
  <c r="Q328" i="2" s="1"/>
  <c r="Q285" i="2"/>
  <c r="N277" i="2"/>
  <c r="Q234" i="2"/>
  <c r="O228" i="2"/>
  <c r="Q228" i="2" s="1"/>
  <c r="Q255" i="2"/>
  <c r="O256" i="2"/>
  <c r="Q256" i="2" s="1"/>
  <c r="Q266" i="2"/>
  <c r="P304" i="2"/>
  <c r="P281" i="2"/>
  <c r="P296" i="2"/>
  <c r="P310" i="2"/>
  <c r="Q332" i="2"/>
  <c r="P305" i="2"/>
  <c r="Q317" i="2"/>
  <c r="P318" i="2"/>
  <c r="P333" i="2"/>
  <c r="Q250" i="2"/>
  <c r="Q335" i="2"/>
  <c r="P262" i="2"/>
  <c r="P267" i="2"/>
  <c r="Q267" i="2"/>
  <c r="Q226" i="2"/>
  <c r="P284" i="2"/>
  <c r="Q265" i="2"/>
  <c r="P235" i="2"/>
  <c r="Q290" i="2"/>
  <c r="Q314" i="2"/>
  <c r="P328" i="2"/>
  <c r="P298" i="2"/>
  <c r="Q241" i="2"/>
  <c r="P249" i="2"/>
  <c r="P279" i="2"/>
  <c r="P265" i="2"/>
  <c r="P287" i="2"/>
  <c r="Q287" i="2"/>
  <c r="Q232" i="2"/>
  <c r="P245" i="2"/>
  <c r="Q261" i="2"/>
  <c r="P266" i="2"/>
  <c r="Q273" i="2"/>
  <c r="P288" i="2"/>
  <c r="P334" i="2"/>
  <c r="Q225" i="2"/>
  <c r="Q288" i="2"/>
  <c r="P226" i="2"/>
  <c r="Q274" i="2"/>
  <c r="P335" i="2"/>
  <c r="Q270" i="2"/>
  <c r="P256" i="2"/>
  <c r="P292" i="2"/>
  <c r="P322" i="2"/>
  <c r="P250" i="2"/>
  <c r="Q284" i="2"/>
  <c r="Q292" i="2"/>
  <c r="Q322" i="2"/>
  <c r="Q230" i="2"/>
  <c r="P238" i="2"/>
  <c r="Q310" i="2"/>
  <c r="P324" i="2"/>
  <c r="P225" i="2"/>
  <c r="Q238" i="2"/>
  <c r="P311" i="2"/>
  <c r="P223" i="2"/>
  <c r="Q311" i="2"/>
  <c r="Q240" i="2"/>
  <c r="G9" i="3"/>
  <c r="P228" i="2"/>
  <c r="P248" i="2"/>
  <c r="Q249" i="2"/>
  <c r="P241" i="2"/>
  <c r="P263" i="2"/>
  <c r="Q269" i="2"/>
  <c r="P321" i="2"/>
  <c r="P230" i="2"/>
  <c r="P242" i="2"/>
  <c r="P274" i="2"/>
  <c r="Q281" i="2"/>
  <c r="Q312" i="2"/>
  <c r="Q319" i="2"/>
  <c r="Q333" i="2"/>
  <c r="P237" i="2"/>
  <c r="Q326" i="2"/>
  <c r="Q231" i="2"/>
  <c r="P243" i="2"/>
  <c r="P224" i="2"/>
  <c r="P320" i="2"/>
  <c r="P231" i="2"/>
  <c r="Q313" i="2"/>
  <c r="Q243" i="2"/>
  <c r="Q293" i="2"/>
  <c r="P314" i="2"/>
  <c r="Q224" i="2"/>
  <c r="Q307" i="2"/>
  <c r="Q321" i="2"/>
  <c r="Q327" i="2"/>
  <c r="Q263" i="2"/>
  <c r="P303" i="2"/>
  <c r="Q334" i="2"/>
  <c r="Q245" i="2"/>
  <c r="P260" i="2"/>
  <c r="P283" i="2"/>
  <c r="Q239" i="2"/>
  <c r="Q260" i="2"/>
  <c r="P272" i="2"/>
  <c r="P240" i="2"/>
  <c r="P247" i="2"/>
  <c r="P261" i="2"/>
  <c r="Q280" i="2"/>
  <c r="Q296" i="2"/>
  <c r="Q304" i="2"/>
  <c r="Q247" i="2"/>
  <c r="P326" i="2"/>
  <c r="P273" i="2"/>
  <c r="P290" i="2"/>
  <c r="Q223" i="2"/>
  <c r="P236" i="2"/>
  <c r="P254" i="2"/>
  <c r="P312" i="2"/>
  <c r="P319" i="2"/>
  <c r="P325" i="2"/>
  <c r="P219" i="2"/>
  <c r="Q237" i="2"/>
  <c r="P253" i="2"/>
  <c r="P301" i="2"/>
  <c r="Q219" i="2"/>
  <c r="Q242" i="2"/>
  <c r="Q253" i="2"/>
  <c r="Q272" i="2"/>
  <c r="Q283" i="2"/>
  <c r="Q301" i="2"/>
  <c r="P232" i="2"/>
  <c r="Q248" i="2"/>
  <c r="Q254" i="2"/>
  <c r="P280" i="2"/>
  <c r="P295" i="2"/>
  <c r="Q303" i="2"/>
  <c r="Q262" i="2"/>
  <c r="Q295" i="2"/>
  <c r="P317" i="2"/>
  <c r="P239" i="2"/>
  <c r="Q235" i="2"/>
  <c r="P264" i="2"/>
  <c r="P269" i="2"/>
  <c r="Q318" i="2"/>
  <c r="Q324" i="2"/>
  <c r="Q236" i="2"/>
  <c r="Q264" i="2"/>
  <c r="Q305" i="2"/>
  <c r="Q325" i="2"/>
  <c r="P300" i="2"/>
  <c r="P252" i="2"/>
  <c r="Q252" i="2"/>
  <c r="P270" i="2"/>
  <c r="P293" i="2"/>
  <c r="Q300" i="2"/>
  <c r="P307" i="2"/>
  <c r="P313" i="2"/>
  <c r="Q320" i="2"/>
  <c r="AL181" i="3"/>
  <c r="AO7" i="3"/>
  <c r="P64" i="3"/>
  <c r="Z64" i="3" s="1"/>
  <c r="P60" i="3"/>
  <c r="Z60" i="3" s="1"/>
  <c r="Z185" i="3" s="1"/>
  <c r="P61" i="3"/>
  <c r="Z61" i="3" s="1"/>
  <c r="G7" i="3"/>
  <c r="AS7" i="3" s="1"/>
  <c r="S8" i="3" s="1"/>
  <c r="O297" i="2"/>
  <c r="P332" i="2"/>
  <c r="Q279" i="2"/>
  <c r="O275" i="2" l="1"/>
  <c r="Q297" i="2"/>
  <c r="O298" i="2"/>
  <c r="O337" i="2" s="1"/>
  <c r="Z7" i="3"/>
  <c r="G8" i="3"/>
  <c r="P218" i="2"/>
  <c r="AA276" i="2" l="1"/>
  <c r="Q298" i="2"/>
  <c r="G10" i="3"/>
  <c r="P277" i="2"/>
  <c r="N337" i="2"/>
  <c r="Z337" i="2" s="1"/>
</calcChain>
</file>

<file path=xl/sharedStrings.xml><?xml version="1.0" encoding="utf-8"?>
<sst xmlns="http://schemas.openxmlformats.org/spreadsheetml/2006/main" count="15406" uniqueCount="1196">
  <si>
    <t>№ п/п</t>
  </si>
  <si>
    <t>Наименование помещения</t>
  </si>
  <si>
    <t>Кате-гория</t>
  </si>
  <si>
    <t>Класс чистоты</t>
  </si>
  <si>
    <t>Кол-во чел.</t>
  </si>
  <si>
    <t>Площадь, м²</t>
  </si>
  <si>
    <t>Высота, м</t>
  </si>
  <si>
    <t xml:space="preserve">Треб. кратность </t>
  </si>
  <si>
    <t xml:space="preserve">Фактич. кратность </t>
  </si>
  <si>
    <t xml:space="preserve">Вент. система </t>
  </si>
  <si>
    <t>Пост.</t>
  </si>
  <si>
    <t>Врем.</t>
  </si>
  <si>
    <t>приток</t>
  </si>
  <si>
    <t>вытяжка</t>
  </si>
  <si>
    <t>местн.</t>
  </si>
  <si>
    <t>8.01</t>
  </si>
  <si>
    <t>Коридор</t>
  </si>
  <si>
    <t>П8</t>
  </si>
  <si>
    <t>В8</t>
  </si>
  <si>
    <t>8.16</t>
  </si>
  <si>
    <t>Переговорная</t>
  </si>
  <si>
    <t>20 м3/чел</t>
  </si>
  <si>
    <t>8.22</t>
  </si>
  <si>
    <t>Зам. ген. директора</t>
  </si>
  <si>
    <t>9.29</t>
  </si>
  <si>
    <t>8.23</t>
  </si>
  <si>
    <t>Отдел проектирования бортовых систем</t>
  </si>
  <si>
    <t>9.31</t>
  </si>
  <si>
    <t>Отдел  проектирования бортовых систем</t>
  </si>
  <si>
    <t>8.24</t>
  </si>
  <si>
    <t>Отдел ИТ</t>
  </si>
  <si>
    <t>9.32</t>
  </si>
  <si>
    <t>8.25</t>
  </si>
  <si>
    <t>Отдел проектирования</t>
  </si>
  <si>
    <t>9.46</t>
  </si>
  <si>
    <t xml:space="preserve">Отдел проектирования </t>
  </si>
  <si>
    <t>бортовых систем</t>
  </si>
  <si>
    <t>8.27</t>
  </si>
  <si>
    <t xml:space="preserve">Отдел качества и </t>
  </si>
  <si>
    <t>9.40</t>
  </si>
  <si>
    <t>Отдел качества и</t>
  </si>
  <si>
    <t>безопасности, резерв</t>
  </si>
  <si>
    <t xml:space="preserve"> безопасности, резерв</t>
  </si>
  <si>
    <t>8.28</t>
  </si>
  <si>
    <t>Тех. дирекция</t>
  </si>
  <si>
    <t>9.48</t>
  </si>
  <si>
    <t>8.29</t>
  </si>
  <si>
    <t>9.49</t>
  </si>
  <si>
    <t>8.30</t>
  </si>
  <si>
    <t>Дирекция по проектированию</t>
  </si>
  <si>
    <t>9.47</t>
  </si>
  <si>
    <t>Дирекция по проектированию,</t>
  </si>
  <si>
    <t xml:space="preserve"> отдел внедрения</t>
  </si>
  <si>
    <t>8.31</t>
  </si>
  <si>
    <t>Архив</t>
  </si>
  <si>
    <t>-</t>
  </si>
  <si>
    <t>8.32</t>
  </si>
  <si>
    <t>ОП "ТМХ ТП" Резерв</t>
  </si>
  <si>
    <t>9.41</t>
  </si>
  <si>
    <t>8.35</t>
  </si>
  <si>
    <t>Дирекция по управлению проектами. Резерв</t>
  </si>
  <si>
    <t>8.156</t>
  </si>
  <si>
    <t>Дирекция по управлению</t>
  </si>
  <si>
    <t>8.36</t>
  </si>
  <si>
    <t>8.37</t>
  </si>
  <si>
    <t>Отдел  тендеров PR отдел</t>
  </si>
  <si>
    <t>9.45</t>
  </si>
  <si>
    <t>8.38</t>
  </si>
  <si>
    <t>Операционный директор</t>
  </si>
  <si>
    <t>9.44</t>
  </si>
  <si>
    <t>8.39</t>
  </si>
  <si>
    <t>Директор по развитию бизнеса</t>
  </si>
  <si>
    <t>9.43</t>
  </si>
  <si>
    <t>8.40</t>
  </si>
  <si>
    <t>Дирекция по продажам</t>
  </si>
  <si>
    <t>9.51</t>
  </si>
  <si>
    <t>8.42</t>
  </si>
  <si>
    <t>8.43</t>
  </si>
  <si>
    <t xml:space="preserve">Отдел трамвайной </t>
  </si>
  <si>
    <t>автоматики</t>
  </si>
  <si>
    <t>8.44</t>
  </si>
  <si>
    <t xml:space="preserve">Отдел управления </t>
  </si>
  <si>
    <t>9.52</t>
  </si>
  <si>
    <t>проектами бортовых систем</t>
  </si>
  <si>
    <t>8.48</t>
  </si>
  <si>
    <t>Генеральный директор</t>
  </si>
  <si>
    <t>9.62</t>
  </si>
  <si>
    <t>8.49</t>
  </si>
  <si>
    <t>Бизненес ассистент</t>
  </si>
  <si>
    <t>9.63</t>
  </si>
  <si>
    <t>8.50</t>
  </si>
  <si>
    <t>Зам. ген. Директора</t>
  </si>
  <si>
    <t>9.64</t>
  </si>
  <si>
    <t>8.52</t>
  </si>
  <si>
    <t>8.53</t>
  </si>
  <si>
    <t>Гардероб</t>
  </si>
  <si>
    <t>8.54</t>
  </si>
  <si>
    <t>Ресепшн</t>
  </si>
  <si>
    <t>8.55</t>
  </si>
  <si>
    <t>8.56</t>
  </si>
  <si>
    <t>8.57</t>
  </si>
  <si>
    <t>Склад АХО</t>
  </si>
  <si>
    <t>8.58</t>
  </si>
  <si>
    <t xml:space="preserve">Открытое рабочее </t>
  </si>
  <si>
    <t>9.66</t>
  </si>
  <si>
    <t xml:space="preserve">пространство </t>
  </si>
  <si>
    <t xml:space="preserve">(ОП Варшавское, Отдел комп. </t>
  </si>
  <si>
    <t>зрения, Резерв)</t>
  </si>
  <si>
    <t>8.60</t>
  </si>
  <si>
    <t>ОП Варшавское</t>
  </si>
  <si>
    <t>9.68</t>
  </si>
  <si>
    <t>8.61</t>
  </si>
  <si>
    <t>Бухгалтерия</t>
  </si>
  <si>
    <t>9.58</t>
  </si>
  <si>
    <t>8.62</t>
  </si>
  <si>
    <t>Отдел экономики и финансов</t>
  </si>
  <si>
    <t>9.02</t>
  </si>
  <si>
    <t>8.63</t>
  </si>
  <si>
    <t>Отдел персонала</t>
  </si>
  <si>
    <t>9.03</t>
  </si>
  <si>
    <t>8.64</t>
  </si>
  <si>
    <t>Директор по персоналу</t>
  </si>
  <si>
    <t>9.04</t>
  </si>
  <si>
    <t>8.65</t>
  </si>
  <si>
    <t>Главный инженер</t>
  </si>
  <si>
    <t>9.59</t>
  </si>
  <si>
    <t>8.66</t>
  </si>
  <si>
    <t>Юридический отдел</t>
  </si>
  <si>
    <t>9.60</t>
  </si>
  <si>
    <t>8.67</t>
  </si>
  <si>
    <t>Отдел перспективных</t>
  </si>
  <si>
    <t>9.61</t>
  </si>
  <si>
    <t xml:space="preserve">Отдел перспективных </t>
  </si>
  <si>
    <t xml:space="preserve"> разработок</t>
  </si>
  <si>
    <t>разработок</t>
  </si>
  <si>
    <t>8.71</t>
  </si>
  <si>
    <t>Кабинет</t>
  </si>
  <si>
    <t>9.53</t>
  </si>
  <si>
    <t>8.72</t>
  </si>
  <si>
    <t xml:space="preserve">Комната хранения МТЦ </t>
  </si>
  <si>
    <t>В9</t>
  </si>
  <si>
    <t>отдела ИТ</t>
  </si>
  <si>
    <t>8.73</t>
  </si>
  <si>
    <t>Отдел комп. зрения и Резерв</t>
  </si>
  <si>
    <t>9.69</t>
  </si>
  <si>
    <t>8.74</t>
  </si>
  <si>
    <t>Отдел комп. зрения</t>
  </si>
  <si>
    <t>9.67</t>
  </si>
  <si>
    <t>Финансовый директор</t>
  </si>
  <si>
    <t>9.65</t>
  </si>
  <si>
    <t>9 этаж</t>
  </si>
  <si>
    <t>9.01</t>
  </si>
  <si>
    <t>П9</t>
  </si>
  <si>
    <t xml:space="preserve">Директор по развитию </t>
  </si>
  <si>
    <t>бизнеса</t>
  </si>
  <si>
    <t>9.50</t>
  </si>
  <si>
    <t>9.56</t>
  </si>
  <si>
    <t xml:space="preserve">пространство (ОП </t>
  </si>
  <si>
    <t xml:space="preserve">Варшавское, </t>
  </si>
  <si>
    <t>Отдел комп. зрения, Резерв)</t>
  </si>
  <si>
    <t>проектами</t>
  </si>
  <si>
    <t>ХАРАКТЕРИСТИКА ОТОПИТЕЛЬНО-ВЕНТИЛЯЦИОННЫХ СИСТЕМ</t>
  </si>
  <si>
    <t>Обоз-наче-ние сис-темы</t>
  </si>
  <si>
    <t>Кол. сис-тем</t>
  </si>
  <si>
    <t>Наименование
 обслуживаемого
 помещения (технологического оборудования)</t>
  </si>
  <si>
    <t>Тип уста-новки</t>
  </si>
  <si>
    <t>Вентилятор</t>
  </si>
  <si>
    <t>Электродвигатель</t>
  </si>
  <si>
    <t>Воздухонагреватель</t>
  </si>
  <si>
    <t>Фильтр</t>
  </si>
  <si>
    <t>Воздухоохладитель</t>
  </si>
  <si>
    <t>Примечание</t>
  </si>
  <si>
    <t>Расход тепла, Вт</t>
  </si>
  <si>
    <t>Питающая сеть, В</t>
  </si>
  <si>
    <t>Суммарная электрическая мощность, кВт</t>
  </si>
  <si>
    <t>Регулятор оборотов</t>
  </si>
  <si>
    <t>Привод на воздушном клапане</t>
  </si>
  <si>
    <t>Резервный вентилятор</t>
  </si>
  <si>
    <t>Дополнительные возд. клапаны для рез/раб вентилятора</t>
  </si>
  <si>
    <t xml:space="preserve">Режим работы </t>
  </si>
  <si>
    <t>Кат надежности</t>
  </si>
  <si>
    <t>Тип, исполнение по взрыво-защите</t>
  </si>
  <si>
    <r>
      <t>L,
м</t>
    </r>
    <r>
      <rPr>
        <i/>
        <vertAlign val="superscript"/>
        <sz val="11"/>
        <rFont val="Arial"/>
        <family val="2"/>
        <charset val="204"/>
      </rPr>
      <t>3</t>
    </r>
    <r>
      <rPr>
        <i/>
        <sz val="11"/>
        <rFont val="Arial"/>
        <family val="2"/>
        <charset val="204"/>
      </rPr>
      <t>/ч</t>
    </r>
  </si>
  <si>
    <t>P,
Па</t>
  </si>
  <si>
    <t>n,
об/
мин</t>
  </si>
  <si>
    <t>N,
кВт</t>
  </si>
  <si>
    <t>n
об/
мин</t>
  </si>
  <si>
    <t>Тип</t>
  </si>
  <si>
    <r>
      <t xml:space="preserve">Т-ра нагрева, </t>
    </r>
    <r>
      <rPr>
        <i/>
        <vertAlign val="superscript"/>
        <sz val="11"/>
        <rFont val="Arial"/>
        <family val="2"/>
        <charset val="204"/>
      </rPr>
      <t>о</t>
    </r>
    <r>
      <rPr>
        <i/>
        <sz val="11"/>
        <rFont val="Arial"/>
        <family val="2"/>
        <charset val="204"/>
      </rPr>
      <t>С</t>
    </r>
  </si>
  <si>
    <t>Рас-ход тепла, кВт</t>
  </si>
  <si>
    <t xml:space="preserve">Тип
</t>
  </si>
  <si>
    <t>ΔP, Па</t>
  </si>
  <si>
    <r>
      <t xml:space="preserve">Т-ра охлаждения, </t>
    </r>
    <r>
      <rPr>
        <i/>
        <vertAlign val="superscript"/>
        <sz val="11"/>
        <rFont val="Arial"/>
        <family val="2"/>
        <charset val="204"/>
      </rPr>
      <t>о</t>
    </r>
    <r>
      <rPr>
        <i/>
        <sz val="11"/>
        <rFont val="Arial"/>
        <family val="2"/>
        <charset val="204"/>
      </rPr>
      <t>С</t>
    </r>
  </si>
  <si>
    <t>Рас-ход холо-да, кВт</t>
  </si>
  <si>
    <t>Водяной воздухонагреватель</t>
  </si>
  <si>
    <t>Рекуператор</t>
  </si>
  <si>
    <t>Электрический воздухонагреватель</t>
  </si>
  <si>
    <t>Другое</t>
  </si>
  <si>
    <t>от</t>
  </si>
  <si>
    <t>до</t>
  </si>
  <si>
    <t>вода</t>
  </si>
  <si>
    <t>эл.</t>
  </si>
  <si>
    <t>холод</t>
  </si>
  <si>
    <t>G4, F7, F9</t>
  </si>
  <si>
    <t>230/1</t>
  </si>
  <si>
    <t>220/1</t>
  </si>
  <si>
    <t>да</t>
  </si>
  <si>
    <t>Круглосуточно</t>
  </si>
  <si>
    <t>III</t>
  </si>
  <si>
    <t>кВт</t>
  </si>
  <si>
    <t>подвесная канальная шумоизол.     (мед. исполнение-гигиеническое исполнение)</t>
  </si>
  <si>
    <t xml:space="preserve">  </t>
  </si>
  <si>
    <t>П3</t>
  </si>
  <si>
    <t>Аптека                           (1 этаж)</t>
  </si>
  <si>
    <t>канальная</t>
  </si>
  <si>
    <t>WNK 100/1</t>
  </si>
  <si>
    <t>220 В</t>
  </si>
  <si>
    <t>Электр.</t>
  </si>
  <si>
    <t>G4, F7</t>
  </si>
  <si>
    <t>лето</t>
  </si>
  <si>
    <t>потр. Мощн</t>
  </si>
  <si>
    <t>П4</t>
  </si>
  <si>
    <t>Зал ЛФК</t>
  </si>
  <si>
    <t>WNP 60-30/28.2D</t>
  </si>
  <si>
    <t>380 В</t>
  </si>
  <si>
    <t>Вода 90/65</t>
  </si>
  <si>
    <t>Рабочее время 
(см. раздел ТХ)</t>
  </si>
  <si>
    <t>зима</t>
  </si>
  <si>
    <t>П5</t>
  </si>
  <si>
    <t>Серверные</t>
  </si>
  <si>
    <t>WNK 200/1</t>
  </si>
  <si>
    <t>П6.1</t>
  </si>
  <si>
    <t>Смотровой бокс</t>
  </si>
  <si>
    <t>канальная шумоизол.</t>
  </si>
  <si>
    <t>WRH 50-25/25.4D (M)</t>
  </si>
  <si>
    <t xml:space="preserve">Повторить камеру, но предусмотерть шумоглушители меньшей длины (600мм) и желательно подсоединительный размер 250х150 </t>
  </si>
  <si>
    <t>П6.2</t>
  </si>
  <si>
    <t>П7</t>
  </si>
  <si>
    <t>Администр. Помещения                  (6 этаж)</t>
  </si>
  <si>
    <t>WNP 70-40/31.2D</t>
  </si>
  <si>
    <t>Конференц-зал                   (6 этаж)</t>
  </si>
  <si>
    <t>WRH 50-30/25.4D</t>
  </si>
  <si>
    <t xml:space="preserve">Повторить камеру, но предусмотерть шумоглушители меньшей длины (600мм) </t>
  </si>
  <si>
    <t>Хирургический блок операционные (4 этаж)</t>
  </si>
  <si>
    <t>подвесная шумоизол. (резервный электродвиг.мед. исполнение-гигиеническое исполнение)</t>
  </si>
  <si>
    <t>МЕД (UTR) 70-40 (N)</t>
  </si>
  <si>
    <t>канал. испаритель</t>
  </si>
  <si>
    <t>система конд. К5</t>
  </si>
  <si>
    <t>Повторить камеру, но предусмотерть шумоглушители меньшей длины (600мм) и желательно подсоединительный размер 700х300</t>
  </si>
  <si>
    <t>П10</t>
  </si>
  <si>
    <t>Кабинеты терапевт. стоматологии              (5 этаж)</t>
  </si>
  <si>
    <t>подвесная шумоизол. (мед. исполнение)</t>
  </si>
  <si>
    <t xml:space="preserve">МЕД (UTR) 50-30 (N) </t>
  </si>
  <si>
    <t>система конд. К6</t>
  </si>
  <si>
    <t>П11</t>
  </si>
  <si>
    <t>Рентген. отделение              (1 этаж)</t>
  </si>
  <si>
    <t xml:space="preserve">Повторить камеру, но предусмотерть шумоглушители меньшей длины (600мм) и желательно подсоединительный размер 300х150 </t>
  </si>
  <si>
    <t>П12</t>
  </si>
  <si>
    <t>Рентген. отделение              (4 этаж)</t>
  </si>
  <si>
    <t>П13</t>
  </si>
  <si>
    <t xml:space="preserve">Помещения класса чистоты Б </t>
  </si>
  <si>
    <t>каркасная (мед. исполнениемед. исполнение-гигиеническое исполнение)</t>
  </si>
  <si>
    <t>МЕД-7N (ANR7)</t>
  </si>
  <si>
    <t>система конд. К7</t>
  </si>
  <si>
    <t>Периодического действия
(см. раздел ТХ)</t>
  </si>
  <si>
    <t>общ</t>
  </si>
  <si>
    <t>конд</t>
  </si>
  <si>
    <t>дым</t>
  </si>
  <si>
    <r>
      <t xml:space="preserve">Повторить камеру,  учитывая новые характеристики, но предусмотерть шумоглушители меньшей длины (600мм) или вынести их из камеры, максимальная длина 4850, </t>
    </r>
    <r>
      <rPr>
        <u/>
        <sz val="11"/>
        <color indexed="22"/>
        <rFont val="ISOCPEUR"/>
        <family val="2"/>
        <charset val="204"/>
      </rPr>
      <t>выхлоп вверх</t>
    </r>
    <r>
      <rPr>
        <sz val="11"/>
        <color indexed="22"/>
        <rFont val="ISOCPEUR"/>
        <family val="2"/>
        <charset val="204"/>
      </rPr>
      <t xml:space="preserve">, желательно подсоединительный размер 1000х600, сторона </t>
    </r>
    <r>
      <rPr>
        <u/>
        <sz val="11"/>
        <color indexed="22"/>
        <rFont val="ISOCPEUR"/>
        <family val="2"/>
        <charset val="204"/>
      </rPr>
      <t>обслуживания-правая</t>
    </r>
    <r>
      <rPr>
        <sz val="11"/>
        <color indexed="22"/>
        <rFont val="ISOCPEUR"/>
        <family val="2"/>
        <charset val="204"/>
      </rPr>
      <t xml:space="preserve"> </t>
    </r>
  </si>
  <si>
    <t>В1.1</t>
  </si>
  <si>
    <t>Травмотологическое отделение             (1 этаж)</t>
  </si>
  <si>
    <t>подвесная шумоизол., резервный электродвиг.</t>
  </si>
  <si>
    <t>UTR 50-25</t>
  </si>
  <si>
    <t>В1.2</t>
  </si>
  <si>
    <t>Кабинеты                    2 этаж (левое крыло)</t>
  </si>
  <si>
    <t>WRH 60-30/28.4D</t>
  </si>
  <si>
    <t>В1.3</t>
  </si>
  <si>
    <t>Кабинеты                    3 этаж (левое крыло)</t>
  </si>
  <si>
    <t>WRH 50-30/28.4D (M)</t>
  </si>
  <si>
    <t>В1.4</t>
  </si>
  <si>
    <t>Кабинеты                    4 этаж (левое крыло)</t>
  </si>
  <si>
    <t>В1.5</t>
  </si>
  <si>
    <t>Кабинеты                    5 этаж (левое крыло)</t>
  </si>
  <si>
    <t>В1.5.1</t>
  </si>
  <si>
    <t>381 В</t>
  </si>
  <si>
    <t>В1.6</t>
  </si>
  <si>
    <t>Кабинеты                    6 этаж (левое крыло)</t>
  </si>
  <si>
    <t xml:space="preserve">канальная </t>
  </si>
  <si>
    <t>WNK 160/1</t>
  </si>
  <si>
    <t>В2.1</t>
  </si>
  <si>
    <t>Кабинеты                    1 этаж (правое крыло)</t>
  </si>
  <si>
    <t>В2.2</t>
  </si>
  <si>
    <t>Кабинеты                    2 этаж (правое крыло)</t>
  </si>
  <si>
    <t>В2.3</t>
  </si>
  <si>
    <t>Кабинеты                    3 этаж (правое крыло)</t>
  </si>
  <si>
    <t>В2.4</t>
  </si>
  <si>
    <t>Кабинеты                    4 этаж (правое крыло)</t>
  </si>
  <si>
    <t>WRH 60-30/31.4D (M)</t>
  </si>
  <si>
    <t>В2.5</t>
  </si>
  <si>
    <t>Кабинеты                    5 этаж (правое крыло)</t>
  </si>
  <si>
    <t>WRH 50-30/25.4D (M)</t>
  </si>
  <si>
    <t>В2.6</t>
  </si>
  <si>
    <t>Кабинеты                    6 этаж (правое крыло)</t>
  </si>
  <si>
    <t>В3</t>
  </si>
  <si>
    <t>Электрощитовая</t>
  </si>
  <si>
    <t>В4</t>
  </si>
  <si>
    <t>В5</t>
  </si>
  <si>
    <t>Охрана</t>
  </si>
  <si>
    <t>В6</t>
  </si>
  <si>
    <t>Тех. Помещения</t>
  </si>
  <si>
    <t>а</t>
  </si>
  <si>
    <t>В7</t>
  </si>
  <si>
    <t>в</t>
  </si>
  <si>
    <t>Пом. Отходов</t>
  </si>
  <si>
    <t>Гардеробы (1 этаж)</t>
  </si>
  <si>
    <t>В10</t>
  </si>
  <si>
    <t>Кабинет забора крови (1 этаж)</t>
  </si>
  <si>
    <t>В11</t>
  </si>
  <si>
    <t>Пом. Сбора анализов (1 этаж)</t>
  </si>
  <si>
    <t>и</t>
  </si>
  <si>
    <t>В12.1</t>
  </si>
  <si>
    <t>Уборная при палате</t>
  </si>
  <si>
    <t>Периодического действия, кнопка в с/у 112</t>
  </si>
  <si>
    <t>В12.2</t>
  </si>
  <si>
    <t>В12.3</t>
  </si>
  <si>
    <t>В12.4</t>
  </si>
  <si>
    <t>В13</t>
  </si>
  <si>
    <t>Уборная</t>
  </si>
  <si>
    <t>WNK 250/1</t>
  </si>
  <si>
    <t>В14</t>
  </si>
  <si>
    <t>В15</t>
  </si>
  <si>
    <t>WNK 315/1</t>
  </si>
  <si>
    <t>Периодического действия, кнопка в с/у 122</t>
  </si>
  <si>
    <t>В16</t>
  </si>
  <si>
    <t>В17</t>
  </si>
  <si>
    <t>В18</t>
  </si>
  <si>
    <t>Перевязочные</t>
  </si>
  <si>
    <t>В19</t>
  </si>
  <si>
    <t>Кладовые</t>
  </si>
  <si>
    <t>В20</t>
  </si>
  <si>
    <t>В21</t>
  </si>
  <si>
    <t>В22</t>
  </si>
  <si>
    <t>Компрессорная (2 этаж)</t>
  </si>
  <si>
    <t>В23</t>
  </si>
  <si>
    <t>Массажные кабинеты</t>
  </si>
  <si>
    <t>В24</t>
  </si>
  <si>
    <t>В25</t>
  </si>
  <si>
    <t>Моечная</t>
  </si>
  <si>
    <t>В25.1</t>
  </si>
  <si>
    <t>В26</t>
  </si>
  <si>
    <t>Пом. Разведения аллергенов</t>
  </si>
  <si>
    <t>В27</t>
  </si>
  <si>
    <t>В28</t>
  </si>
  <si>
    <t>Кабинет вакцинации</t>
  </si>
  <si>
    <t>В29</t>
  </si>
  <si>
    <t>В30</t>
  </si>
  <si>
    <t>В31</t>
  </si>
  <si>
    <t>Комната персонала              (3 этаж)</t>
  </si>
  <si>
    <t>п</t>
  </si>
  <si>
    <t>В32</t>
  </si>
  <si>
    <t>Боксы обработок прокладок                            (3 этаж)</t>
  </si>
  <si>
    <t>В33</t>
  </si>
  <si>
    <t>В34</t>
  </si>
  <si>
    <t>Кабинет забора крови (3 этаж)</t>
  </si>
  <si>
    <t>В35</t>
  </si>
  <si>
    <t>В36</t>
  </si>
  <si>
    <t>Хирургич. Отдел.</t>
  </si>
  <si>
    <t>В36.1</t>
  </si>
  <si>
    <t>Хирургич. Отдел.(гнойные помещения)</t>
  </si>
  <si>
    <t>В37</t>
  </si>
  <si>
    <t>Пом. Хранения отходов</t>
  </si>
  <si>
    <t>В38</t>
  </si>
  <si>
    <t>В38.1</t>
  </si>
  <si>
    <t>WNK 100/2</t>
  </si>
  <si>
    <t>В38.2</t>
  </si>
  <si>
    <t>WNK 100/3</t>
  </si>
  <si>
    <t>В38.3</t>
  </si>
  <si>
    <t>WNK 100/4</t>
  </si>
  <si>
    <t>В39</t>
  </si>
  <si>
    <t>В40</t>
  </si>
  <si>
    <t>Пом. Обработки</t>
  </si>
  <si>
    <t>В41</t>
  </si>
  <si>
    <t xml:space="preserve">Стоматолог. отдел. Чистые помещения                   </t>
  </si>
  <si>
    <t>В42</t>
  </si>
  <si>
    <t>Компрессорная (5 этаж)</t>
  </si>
  <si>
    <t>В43</t>
  </si>
  <si>
    <t>В44</t>
  </si>
  <si>
    <t xml:space="preserve">Комната приема пищи </t>
  </si>
  <si>
    <t>WNK 125/1</t>
  </si>
  <si>
    <t>В45</t>
  </si>
  <si>
    <t>В47</t>
  </si>
  <si>
    <t>В48</t>
  </si>
  <si>
    <t>Кабинет забора крови</t>
  </si>
  <si>
    <t>В49</t>
  </si>
  <si>
    <t>Пом. сбора анализов (4 этаж)</t>
  </si>
  <si>
    <t>В50</t>
  </si>
  <si>
    <t>В51</t>
  </si>
  <si>
    <t>В52</t>
  </si>
  <si>
    <t>В53</t>
  </si>
  <si>
    <t>В54</t>
  </si>
  <si>
    <t>В55</t>
  </si>
  <si>
    <t>В56</t>
  </si>
  <si>
    <t>Каб. Детской стоматологии (2 этаж)</t>
  </si>
  <si>
    <t>В57</t>
  </si>
  <si>
    <t>Санузел (рентген.отд.)</t>
  </si>
  <si>
    <t>МО1</t>
  </si>
  <si>
    <t>МО2</t>
  </si>
  <si>
    <t>МО7</t>
  </si>
  <si>
    <t>МО8</t>
  </si>
  <si>
    <t>МО9</t>
  </si>
  <si>
    <t>МО13</t>
  </si>
  <si>
    <t>МО14</t>
  </si>
  <si>
    <t>ВД1</t>
  </si>
  <si>
    <t>Коридоры в осях 1-4,                                  1-6 этажи</t>
  </si>
  <si>
    <t>крышный</t>
  </si>
  <si>
    <t>KDV DU 400-80A-3х10</t>
  </si>
  <si>
    <t>нормальные условия</t>
  </si>
  <si>
    <t>Компенсация</t>
  </si>
  <si>
    <t>экстрем. условия</t>
  </si>
  <si>
    <t>800х400</t>
  </si>
  <si>
    <t>800х500</t>
  </si>
  <si>
    <t>ВД2.1</t>
  </si>
  <si>
    <t>Коридоры в осях 2-13,                           1-6 этажи</t>
  </si>
  <si>
    <t>KDV DU 400-50B-1,5х15</t>
  </si>
  <si>
    <t>500х250</t>
  </si>
  <si>
    <t>500х300</t>
  </si>
  <si>
    <t>ВД2.2</t>
  </si>
  <si>
    <t>Коридоры в осях 2-13,                          1-6 этажи</t>
  </si>
  <si>
    <t>ВД3</t>
  </si>
  <si>
    <t>Коридоры в осях 11-15,                      1-4 этажи</t>
  </si>
  <si>
    <t>KDV DU 400-63B-5,5х15</t>
  </si>
  <si>
    <t>Коридоры в осях 11-15,                      1-6 этажи</t>
  </si>
  <si>
    <t>ВД4</t>
  </si>
  <si>
    <t>Коридоры в осях 11-15,                                  1-6 этажи</t>
  </si>
  <si>
    <t>KDV DU 400-80B-4х10</t>
  </si>
  <si>
    <t>Коридоры в осях 11-15,                                  1,3,4 этажи</t>
  </si>
  <si>
    <t>ВД5</t>
  </si>
  <si>
    <t>Коридоры в осях 1-4,                          2-5 этажи</t>
  </si>
  <si>
    <t>Коридоры в осях 1-4,                          3-4 этажи</t>
  </si>
  <si>
    <t>ВД6</t>
  </si>
  <si>
    <t>Коридоры в осях 11-15,                                  3,5,6 этажи</t>
  </si>
  <si>
    <t>ПД1</t>
  </si>
  <si>
    <t>осевой</t>
  </si>
  <si>
    <t>KSO 50-2,2х30</t>
  </si>
  <si>
    <t>600х300</t>
  </si>
  <si>
    <t>600х400</t>
  </si>
  <si>
    <t>ПД2</t>
  </si>
  <si>
    <t>Коридоры в осях 2-13,                         1-6 этажи</t>
  </si>
  <si>
    <t>KSP 45-2,2х30</t>
  </si>
  <si>
    <t>ПД3</t>
  </si>
  <si>
    <t>Коридоры в осях 11-15,                      3-6 этажи</t>
  </si>
  <si>
    <t>ПД4</t>
  </si>
  <si>
    <t>Коридоры в осях 11-15,                                  1-3 этажи</t>
  </si>
  <si>
    <t>KSP 50-2,2х30</t>
  </si>
  <si>
    <t xml:space="preserve"> </t>
  </si>
  <si>
    <t>ПД5</t>
  </si>
  <si>
    <t>Коридоры в осях 1-4,                               2-5 этажи</t>
  </si>
  <si>
    <t>ПД6</t>
  </si>
  <si>
    <t>ПД7.1</t>
  </si>
  <si>
    <t>Подпор в шахту лифта в осях         7-8/И-К</t>
  </si>
  <si>
    <t>KSO 63-4х30</t>
  </si>
  <si>
    <t>ПД7.2</t>
  </si>
  <si>
    <t>Подпор в шахту лифта в осях         8-9/И-К</t>
  </si>
  <si>
    <t>ПД7.3</t>
  </si>
  <si>
    <t>Подпор в шахту лифта в осях         3-5/Е-Ж</t>
  </si>
  <si>
    <t>ПД7.4</t>
  </si>
  <si>
    <t>Подпор в шахту лифта в осях         11-13/Е-Ж</t>
  </si>
  <si>
    <t>ПД8.1</t>
  </si>
  <si>
    <t>Подпор в зону МГН в осях            12-13/Е-Ж                (режим 1)</t>
  </si>
  <si>
    <t>KSO 50-3х30</t>
  </si>
  <si>
    <t>ПД8.2</t>
  </si>
  <si>
    <t>Подпор в зону МГН в осях            12-13/Е-Ж                (режим 2)</t>
  </si>
  <si>
    <t>канальный</t>
  </si>
  <si>
    <t>WRW 60-30/28.4D</t>
  </si>
  <si>
    <t>ПД9.1</t>
  </si>
  <si>
    <t>Подпор в зону МГН в осях            3-4/Е-Ж                (режим 1)</t>
  </si>
  <si>
    <t>ПД9.2</t>
  </si>
  <si>
    <t>Подпор в зону МГН в осях            3-4/Е-Ж                (режим 2)</t>
  </si>
  <si>
    <t>ПД10.1</t>
  </si>
  <si>
    <t>Подпор в лестничную клетку</t>
  </si>
  <si>
    <t>KSO 56-4х30</t>
  </si>
  <si>
    <t>ПД10.2</t>
  </si>
  <si>
    <t>ПД11.1</t>
  </si>
  <si>
    <t>Подпор в зону МГН в осях            7-9/И-К                (режим 1)</t>
  </si>
  <si>
    <t>ПД11.2</t>
  </si>
  <si>
    <t>Подпор в зону МГН в осях            7-9/И-К                (режим 2)</t>
  </si>
  <si>
    <t>К1.1-К1.2, К2.1-К2.2</t>
  </si>
  <si>
    <t>Серверная                  (1 этаж)</t>
  </si>
  <si>
    <t>сплит-система с зимним комплектом</t>
  </si>
  <si>
    <t>18HN1/   OL_17Y</t>
  </si>
  <si>
    <t>основная+резерв</t>
  </si>
  <si>
    <t>К3.1-К3.2, К4.1-К4.2</t>
  </si>
  <si>
    <t>Серверная                  (6 этаж)</t>
  </si>
  <si>
    <t>К5</t>
  </si>
  <si>
    <t xml:space="preserve">Хирургический блок операционные </t>
  </si>
  <si>
    <t>компрессорно-конденсаторный блок</t>
  </si>
  <si>
    <t>KF-SPL 009</t>
  </si>
  <si>
    <t>система П9</t>
  </si>
  <si>
    <t>К6</t>
  </si>
  <si>
    <t>KSK 003</t>
  </si>
  <si>
    <t>система П10</t>
  </si>
  <si>
    <t>К7</t>
  </si>
  <si>
    <t>KF-SPL 032</t>
  </si>
  <si>
    <t>система П13</t>
  </si>
  <si>
    <t>К8</t>
  </si>
  <si>
    <t xml:space="preserve">Травмотолог. отд.             (помещения класса чистоты Б) </t>
  </si>
  <si>
    <t>KF-SPL-007 (B)</t>
  </si>
  <si>
    <t>система П1.1</t>
  </si>
  <si>
    <t>Итого людей</t>
  </si>
  <si>
    <t>проектами бортовых</t>
  </si>
  <si>
    <t xml:space="preserve"> систем</t>
  </si>
  <si>
    <t xml:space="preserve">Дирекция по </t>
  </si>
  <si>
    <t>проектированию,</t>
  </si>
  <si>
    <t>12 этаж</t>
  </si>
  <si>
    <t>12.22</t>
  </si>
  <si>
    <t>Резевный кабинет</t>
  </si>
  <si>
    <t>12.23</t>
  </si>
  <si>
    <t xml:space="preserve">Отрытое рабочее </t>
  </si>
  <si>
    <t>пространство</t>
  </si>
  <si>
    <t>Директор по закупкам</t>
  </si>
  <si>
    <t xml:space="preserve">Примная  директора по </t>
  </si>
  <si>
    <t>закупкам</t>
  </si>
  <si>
    <t>Кабинет Бекмурзова</t>
  </si>
  <si>
    <t>Кабинет Наронова</t>
  </si>
  <si>
    <t>Градероб</t>
  </si>
  <si>
    <t>Кабинет заместителей</t>
  </si>
  <si>
    <t>(2 чел) главного бухгалтера</t>
  </si>
  <si>
    <t xml:space="preserve">Кабинет главного </t>
  </si>
  <si>
    <t>бухгалтера</t>
  </si>
  <si>
    <t xml:space="preserve">Кабинет Кострова и </t>
  </si>
  <si>
    <t>Григорьева</t>
  </si>
  <si>
    <t>12.01</t>
  </si>
  <si>
    <t>13 этаж</t>
  </si>
  <si>
    <t>13.01</t>
  </si>
  <si>
    <t>13.16</t>
  </si>
  <si>
    <t>12.16</t>
  </si>
  <si>
    <t>13.22</t>
  </si>
  <si>
    <t>Кабинет Кошелвой</t>
  </si>
  <si>
    <t>13.23</t>
  </si>
  <si>
    <t>Кабинет Мосиенко</t>
  </si>
  <si>
    <t>Комната отдыха</t>
  </si>
  <si>
    <t>Кабинет генерального</t>
  </si>
  <si>
    <t>директора</t>
  </si>
  <si>
    <t>Приёмная (зона ожидания)</t>
  </si>
  <si>
    <t>Кабинет Кубыщенко</t>
  </si>
  <si>
    <t>Кабинет Максаковой</t>
  </si>
  <si>
    <t xml:space="preserve">Кабинет Лежнева и </t>
  </si>
  <si>
    <t>Петровского</t>
  </si>
  <si>
    <t>Кабинет Кулакевич</t>
  </si>
  <si>
    <t>Склад</t>
  </si>
  <si>
    <t>Гадероб</t>
  </si>
  <si>
    <t>Принтерная</t>
  </si>
  <si>
    <t>С/У</t>
  </si>
  <si>
    <t>Кофе-поинт</t>
  </si>
  <si>
    <t>12.36</t>
  </si>
  <si>
    <t>12.37</t>
  </si>
  <si>
    <t>изм</t>
  </si>
  <si>
    <t>Итого</t>
  </si>
  <si>
    <t>20 м3/ч на 1чел</t>
  </si>
  <si>
    <t>60 м3/ч на 1чел</t>
  </si>
  <si>
    <t>В2</t>
  </si>
  <si>
    <t>ПРИЛОЖЕНИЕ А. ТАБЛИЦА ВОЗДУХООБМЕНОВ</t>
  </si>
  <si>
    <t>10.01</t>
  </si>
  <si>
    <t>10.20</t>
  </si>
  <si>
    <t>10.23</t>
  </si>
  <si>
    <t>10.25</t>
  </si>
  <si>
    <t>10.26</t>
  </si>
  <si>
    <t>10.27</t>
  </si>
  <si>
    <t>10.28</t>
  </si>
  <si>
    <t>10.29</t>
  </si>
  <si>
    <t>10.31</t>
  </si>
  <si>
    <t>10.32</t>
  </si>
  <si>
    <t>10.33</t>
  </si>
  <si>
    <t>Серверная</t>
  </si>
  <si>
    <t>10.34</t>
  </si>
  <si>
    <t>10.35</t>
  </si>
  <si>
    <t>10.36</t>
  </si>
  <si>
    <t>10.37</t>
  </si>
  <si>
    <t>10.38</t>
  </si>
  <si>
    <t>10.39</t>
  </si>
  <si>
    <t>10.41</t>
  </si>
  <si>
    <t>10.42</t>
  </si>
  <si>
    <t>10.43</t>
  </si>
  <si>
    <t>10.44</t>
  </si>
  <si>
    <t>департамента</t>
  </si>
  <si>
    <t xml:space="preserve">Кабмнет руководителя </t>
  </si>
  <si>
    <t xml:space="preserve">Кабинет руководителя </t>
  </si>
  <si>
    <t>сущ. сист</t>
  </si>
  <si>
    <t>Кабинет Станько</t>
  </si>
  <si>
    <t>С/ У, сущ. тех.пом</t>
  </si>
  <si>
    <t>сущ сист</t>
  </si>
  <si>
    <t>50м3/ч на 1унит</t>
  </si>
  <si>
    <t>10  этаж</t>
  </si>
  <si>
    <t>17 этаж</t>
  </si>
  <si>
    <t>17.21</t>
  </si>
  <si>
    <t>В12</t>
  </si>
  <si>
    <t>17.22</t>
  </si>
  <si>
    <t>Приёмная генерального</t>
  </si>
  <si>
    <t>17.23</t>
  </si>
  <si>
    <t>17.24</t>
  </si>
  <si>
    <t>с 17.55</t>
  </si>
  <si>
    <t>с 17.30</t>
  </si>
  <si>
    <t>с 17.01</t>
  </si>
  <si>
    <t>коридор</t>
  </si>
  <si>
    <t>офис</t>
  </si>
  <si>
    <t>Рабочий кабинет на 80 чел</t>
  </si>
  <si>
    <t>17.31</t>
  </si>
  <si>
    <t>Кабинет на 8 рабочих мест</t>
  </si>
  <si>
    <t>Кабинет на 6 рабочих мест</t>
  </si>
  <si>
    <t>Кабинет на 3 рабочих мест</t>
  </si>
  <si>
    <t>Кабинет на 2 рабочих мест</t>
  </si>
  <si>
    <t>Кабинет кадрового работника</t>
  </si>
  <si>
    <t>Кабинет на 12 рабочих мест</t>
  </si>
  <si>
    <t>с 17.02</t>
  </si>
  <si>
    <t xml:space="preserve">Коридор </t>
  </si>
  <si>
    <t>18 этаж</t>
  </si>
  <si>
    <t>18.20</t>
  </si>
  <si>
    <t>с 18.19</t>
  </si>
  <si>
    <t>18.23</t>
  </si>
  <si>
    <t>18.24</t>
  </si>
  <si>
    <t>18.25</t>
  </si>
  <si>
    <t>с 18.40</t>
  </si>
  <si>
    <t>18.26</t>
  </si>
  <si>
    <t>18.27</t>
  </si>
  <si>
    <t>генерального директора</t>
  </si>
  <si>
    <t>Кабинет заместителя</t>
  </si>
  <si>
    <t>Кабинет на 15 рабочих мест</t>
  </si>
  <si>
    <t xml:space="preserve">Приёмная секретарей </t>
  </si>
  <si>
    <t>генеральных директоров</t>
  </si>
  <si>
    <t xml:space="preserve">генерального директора  </t>
  </si>
  <si>
    <t>на 2 рабочих места</t>
  </si>
  <si>
    <t>18.32</t>
  </si>
  <si>
    <t>с 18.38</t>
  </si>
  <si>
    <t xml:space="preserve"> директора</t>
  </si>
  <si>
    <t>по сопровождению</t>
  </si>
  <si>
    <t>по безопасности</t>
  </si>
  <si>
    <t>Кабинет на 42 рабочих места</t>
  </si>
  <si>
    <t>Кабинет на 13 рабочих места</t>
  </si>
  <si>
    <t>по новым клиентам</t>
  </si>
  <si>
    <t>Кабинет на 10 рабочих места</t>
  </si>
  <si>
    <t>Кабинет сотрудников</t>
  </si>
  <si>
    <t>по корпоративному</t>
  </si>
  <si>
    <t>сопровождению</t>
  </si>
  <si>
    <t xml:space="preserve">Кабинет ИБ и ЭК </t>
  </si>
  <si>
    <t>безопасность на 5 раб. мест</t>
  </si>
  <si>
    <t xml:space="preserve">Кабинет по внутреннему </t>
  </si>
  <si>
    <t>контролю и налогу</t>
  </si>
  <si>
    <t>рисков на 4 рабочих места</t>
  </si>
  <si>
    <t>с 18.01</t>
  </si>
  <si>
    <t>с 18.18</t>
  </si>
  <si>
    <t>19 этаж</t>
  </si>
  <si>
    <t xml:space="preserve">Кабинет директора по </t>
  </si>
  <si>
    <t xml:space="preserve">инфориационным </t>
  </si>
  <si>
    <t>технологиям</t>
  </si>
  <si>
    <t>направления ЗАКБ</t>
  </si>
  <si>
    <t>Кабинет на 2 рабочих места</t>
  </si>
  <si>
    <t>для сотрудников советника</t>
  </si>
  <si>
    <t>с 19.23</t>
  </si>
  <si>
    <t>19.24</t>
  </si>
  <si>
    <t>19.25</t>
  </si>
  <si>
    <t>19.26</t>
  </si>
  <si>
    <t>19.27</t>
  </si>
  <si>
    <t>Кабинет финансового</t>
  </si>
  <si>
    <t>Кабинет казначея</t>
  </si>
  <si>
    <t>19.31</t>
  </si>
  <si>
    <t xml:space="preserve">Кабинет заместителя </t>
  </si>
  <si>
    <t>по продуктовому</t>
  </si>
  <si>
    <t>напрвлню</t>
  </si>
  <si>
    <t>8.75</t>
  </si>
  <si>
    <t>8 этаж</t>
  </si>
  <si>
    <t>60 м3/ч на 1чел + 20 м3/ч на 1чел</t>
  </si>
  <si>
    <t>Кабинет директора по ГОЗ</t>
  </si>
  <si>
    <t>Склад ДИТ</t>
  </si>
  <si>
    <t>с 19.19</t>
  </si>
  <si>
    <t>Кабинет отдела</t>
  </si>
  <si>
    <t>бухгалтерии на 6 человек</t>
  </si>
  <si>
    <t>Кроссовая (серверная)</t>
  </si>
  <si>
    <t>Кабинет на 26 рабочих мест</t>
  </si>
  <si>
    <t>с 19.37</t>
  </si>
  <si>
    <t>с 19.01</t>
  </si>
  <si>
    <t>с 19.18</t>
  </si>
  <si>
    <t xml:space="preserve">Кабинет помощников </t>
  </si>
  <si>
    <t xml:space="preserve">генерального дирекора </t>
  </si>
  <si>
    <t>и работников</t>
  </si>
  <si>
    <t xml:space="preserve"> документооборота</t>
  </si>
  <si>
    <t>с 19.47</t>
  </si>
  <si>
    <t>Кабинет на 21 рабочее место</t>
  </si>
  <si>
    <t>аппарата генерального</t>
  </si>
  <si>
    <t>Комната отдыха/кухня</t>
  </si>
  <si>
    <t>Кабинет руководителя</t>
  </si>
  <si>
    <t>Кабинет технического</t>
  </si>
  <si>
    <t>Кабинет помощника первого</t>
  </si>
  <si>
    <t>заместителя генерального</t>
  </si>
  <si>
    <t xml:space="preserve"> генерального директора</t>
  </si>
  <si>
    <t xml:space="preserve">по операционной </t>
  </si>
  <si>
    <t>деяятельности</t>
  </si>
  <si>
    <t>Кабинет директора</t>
  </si>
  <si>
    <t>по инвестициям</t>
  </si>
  <si>
    <t xml:space="preserve">Кабинет генерального </t>
  </si>
  <si>
    <t>директора по персоналу</t>
  </si>
  <si>
    <t>Кабинет сотрудника</t>
  </si>
  <si>
    <t>директора с персональными</t>
  </si>
  <si>
    <t>данными и сейфом</t>
  </si>
  <si>
    <t>Кабинет советника</t>
  </si>
  <si>
    <t>61 м3/ч на 1чел + 20 м3/ч на 1чел</t>
  </si>
  <si>
    <t xml:space="preserve">генерального директора </t>
  </si>
  <si>
    <t xml:space="preserve"> на 2 рабочих места</t>
  </si>
  <si>
    <t>Переговорная генерального</t>
  </si>
  <si>
    <t>19 резервных</t>
  </si>
  <si>
    <t>20 резервных</t>
  </si>
  <si>
    <t>7 резервных</t>
  </si>
  <si>
    <t>6 резервных</t>
  </si>
  <si>
    <t>2 непост</t>
  </si>
  <si>
    <t>6 непост</t>
  </si>
  <si>
    <t>10 непост</t>
  </si>
  <si>
    <t>Кабинет Михалёва</t>
  </si>
  <si>
    <t>Кабинет гнер. Директора</t>
  </si>
  <si>
    <t>8.21</t>
  </si>
  <si>
    <t>Комната приёма пищи</t>
  </si>
  <si>
    <t>В25.1сущ</t>
  </si>
  <si>
    <t>Хозяйственная кладовая</t>
  </si>
  <si>
    <t>В15сущ</t>
  </si>
  <si>
    <t>14 этаж</t>
  </si>
  <si>
    <t>14.16</t>
  </si>
  <si>
    <t>14.20</t>
  </si>
  <si>
    <t xml:space="preserve">управления по развитию </t>
  </si>
  <si>
    <t>производственной системы</t>
  </si>
  <si>
    <t xml:space="preserve"> и качеству</t>
  </si>
  <si>
    <t>Опенспейс</t>
  </si>
  <si>
    <t xml:space="preserve">60 м3/ч на 1чел </t>
  </si>
  <si>
    <t>14.29</t>
  </si>
  <si>
    <t>14.30</t>
  </si>
  <si>
    <t xml:space="preserve">Кабинет директора </t>
  </si>
  <si>
    <t>по управлению персонала</t>
  </si>
  <si>
    <t>14.35</t>
  </si>
  <si>
    <t>14.36</t>
  </si>
  <si>
    <t>Кабинет начальника отдела</t>
  </si>
  <si>
    <t>14.37</t>
  </si>
  <si>
    <t>14.39</t>
  </si>
  <si>
    <t>юридического управления</t>
  </si>
  <si>
    <t>14.40</t>
  </si>
  <si>
    <t>Кабинет директора по</t>
  </si>
  <si>
    <t>безопасности и защите</t>
  </si>
  <si>
    <t>информации</t>
  </si>
  <si>
    <t xml:space="preserve">управления реализаци </t>
  </si>
  <si>
    <t>и развития сервисных услуг</t>
  </si>
  <si>
    <t>14.48</t>
  </si>
  <si>
    <t>14.50</t>
  </si>
  <si>
    <t>14.49</t>
  </si>
  <si>
    <t>14.51</t>
  </si>
  <si>
    <t>14.53</t>
  </si>
  <si>
    <t>по контролю качества</t>
  </si>
  <si>
    <t>14.54</t>
  </si>
  <si>
    <t>14.55</t>
  </si>
  <si>
    <t>14.56</t>
  </si>
  <si>
    <t>14.57</t>
  </si>
  <si>
    <t>14.58</t>
  </si>
  <si>
    <t>14.59</t>
  </si>
  <si>
    <t>14.60</t>
  </si>
  <si>
    <t>14.61</t>
  </si>
  <si>
    <t>14.62</t>
  </si>
  <si>
    <t>14.63</t>
  </si>
  <si>
    <t xml:space="preserve">Кабинет (Дирекции по </t>
  </si>
  <si>
    <t>развитию производственной</t>
  </si>
  <si>
    <t xml:space="preserve"> системы)</t>
  </si>
  <si>
    <t>4.90</t>
  </si>
  <si>
    <t>4.43</t>
  </si>
  <si>
    <t>9.39</t>
  </si>
  <si>
    <t>76.34</t>
  </si>
  <si>
    <t>102.81</t>
  </si>
  <si>
    <t>56.27</t>
  </si>
  <si>
    <t>С/У, кроссвые. хоз.пом.</t>
  </si>
  <si>
    <t>Сущ. сист</t>
  </si>
  <si>
    <t>по факту</t>
  </si>
  <si>
    <t>Комната прёма пищи</t>
  </si>
  <si>
    <t>22 этаж</t>
  </si>
  <si>
    <t>22.01</t>
  </si>
  <si>
    <t>баланс+20 м3/ч на 1чел</t>
  </si>
  <si>
    <t>П14</t>
  </si>
  <si>
    <t>Сущ. системы</t>
  </si>
  <si>
    <t>22.12</t>
  </si>
  <si>
    <t>22.13</t>
  </si>
  <si>
    <t>22.14</t>
  </si>
  <si>
    <t>22.15</t>
  </si>
  <si>
    <t>22.17</t>
  </si>
  <si>
    <t>22.18</t>
  </si>
  <si>
    <t>22.19</t>
  </si>
  <si>
    <t>22.20</t>
  </si>
  <si>
    <t>22.21</t>
  </si>
  <si>
    <t>22.23</t>
  </si>
  <si>
    <t>22.26</t>
  </si>
  <si>
    <t>23 этаж</t>
  </si>
  <si>
    <t>Коференц зал</t>
  </si>
  <si>
    <t>Сервировочная</t>
  </si>
  <si>
    <t>23.9</t>
  </si>
  <si>
    <t>23.10</t>
  </si>
  <si>
    <t>23.13</t>
  </si>
  <si>
    <t>23.14</t>
  </si>
  <si>
    <t>23.15</t>
  </si>
  <si>
    <t>23.16</t>
  </si>
  <si>
    <t>23.17</t>
  </si>
  <si>
    <t>23.18</t>
  </si>
  <si>
    <t>23.19</t>
  </si>
  <si>
    <t>23.20</t>
  </si>
  <si>
    <t>23.21</t>
  </si>
  <si>
    <t>23.22</t>
  </si>
  <si>
    <t>23.23</t>
  </si>
  <si>
    <t>23.24</t>
  </si>
  <si>
    <t>76.72</t>
  </si>
  <si>
    <t>75.61</t>
  </si>
  <si>
    <t>93.95</t>
  </si>
  <si>
    <t>18.16</t>
  </si>
  <si>
    <t>14.99</t>
  </si>
  <si>
    <t>15.00</t>
  </si>
  <si>
    <t>17.09</t>
  </si>
  <si>
    <t>6.64</t>
  </si>
  <si>
    <t>34.87</t>
  </si>
  <si>
    <t>40.24</t>
  </si>
  <si>
    <t>11.93</t>
  </si>
  <si>
    <t>6.65</t>
  </si>
  <si>
    <t>50м3/ч на 1ун+75м3/час на 1 душ</t>
  </si>
  <si>
    <t>20 м3/ч на 1чел+компен.</t>
  </si>
  <si>
    <t>5 этаж</t>
  </si>
  <si>
    <t xml:space="preserve">Обеденый зал на 228 </t>
  </si>
  <si>
    <t>посадочных мест</t>
  </si>
  <si>
    <t>Зона буфета</t>
  </si>
  <si>
    <t>по материально</t>
  </si>
  <si>
    <t>техническому обеспечению</t>
  </si>
  <si>
    <t>Помещение для приема пищи</t>
  </si>
  <si>
    <t>С/у</t>
  </si>
  <si>
    <t>ЗГД по юридическим вопросам</t>
  </si>
  <si>
    <t>Гардеробная</t>
  </si>
  <si>
    <t>Ведущий бухгалтер</t>
  </si>
  <si>
    <t>Главный юрист</t>
  </si>
  <si>
    <t>Главный бухгалтер</t>
  </si>
  <si>
    <t>Коммерческое управление</t>
  </si>
  <si>
    <t>Аналитическое управление</t>
  </si>
  <si>
    <t>Главный специалист АХО</t>
  </si>
  <si>
    <t>Главный внутренний аудитор</t>
  </si>
  <si>
    <t>Департамент по качеству</t>
  </si>
  <si>
    <t>16.01</t>
  </si>
  <si>
    <t>16.18</t>
  </si>
  <si>
    <t>16.20</t>
  </si>
  <si>
    <t>16.23</t>
  </si>
  <si>
    <t>16.24</t>
  </si>
  <si>
    <t>16.25</t>
  </si>
  <si>
    <t>16.26</t>
  </si>
  <si>
    <t>16.27</t>
  </si>
  <si>
    <t>16.28</t>
  </si>
  <si>
    <t>16.29</t>
  </si>
  <si>
    <t>16.30</t>
  </si>
  <si>
    <t>16.31</t>
  </si>
  <si>
    <t>16.32</t>
  </si>
  <si>
    <t>16.33</t>
  </si>
  <si>
    <t>16.34</t>
  </si>
  <si>
    <t>16.35</t>
  </si>
  <si>
    <t>16.36</t>
  </si>
  <si>
    <t>16.37</t>
  </si>
  <si>
    <t>16.38</t>
  </si>
  <si>
    <t>16.39</t>
  </si>
  <si>
    <t>16.40</t>
  </si>
  <si>
    <t>16.41</t>
  </si>
  <si>
    <t>16.42</t>
  </si>
  <si>
    <t>16.43</t>
  </si>
  <si>
    <t>16.44</t>
  </si>
  <si>
    <t>16.45</t>
  </si>
  <si>
    <t>16.46</t>
  </si>
  <si>
    <t>16.47</t>
  </si>
  <si>
    <t>16.48</t>
  </si>
  <si>
    <t>16.49</t>
  </si>
  <si>
    <t>16.50</t>
  </si>
  <si>
    <t>16.51</t>
  </si>
  <si>
    <t>16.52</t>
  </si>
  <si>
    <t>16.53</t>
  </si>
  <si>
    <t>16.54</t>
  </si>
  <si>
    <t>16.55</t>
  </si>
  <si>
    <t>16.56</t>
  </si>
  <si>
    <t>16.57</t>
  </si>
  <si>
    <t>16.58</t>
  </si>
  <si>
    <t>16.59</t>
  </si>
  <si>
    <t>16.60</t>
  </si>
  <si>
    <t>16.61</t>
  </si>
  <si>
    <t>16.62</t>
  </si>
  <si>
    <t>16.63</t>
  </si>
  <si>
    <t>16.64</t>
  </si>
  <si>
    <t>16.65</t>
  </si>
  <si>
    <t>16.66</t>
  </si>
  <si>
    <t>16.67</t>
  </si>
  <si>
    <t>16.68</t>
  </si>
  <si>
    <t>16.69</t>
  </si>
  <si>
    <t>16.70</t>
  </si>
  <si>
    <t>16.71</t>
  </si>
  <si>
    <t>16.72</t>
  </si>
  <si>
    <t>16.73</t>
  </si>
  <si>
    <t>16.74</t>
  </si>
  <si>
    <t>16.75</t>
  </si>
  <si>
    <t>16.76</t>
  </si>
  <si>
    <t>16.77</t>
  </si>
  <si>
    <t>16.78</t>
  </si>
  <si>
    <t>16.79</t>
  </si>
  <si>
    <t>116.71</t>
  </si>
  <si>
    <t>28.32</t>
  </si>
  <si>
    <t>49.34</t>
  </si>
  <si>
    <t>5.67</t>
  </si>
  <si>
    <t>24.30</t>
  </si>
  <si>
    <t>21.87</t>
  </si>
  <si>
    <t>21.17</t>
  </si>
  <si>
    <t>22.66</t>
  </si>
  <si>
    <t>24.34</t>
  </si>
  <si>
    <t>23.63</t>
  </si>
  <si>
    <t>25.19</t>
  </si>
  <si>
    <t>21.60</t>
  </si>
  <si>
    <t>19.45</t>
  </si>
  <si>
    <t>10.90</t>
  </si>
  <si>
    <t>21.94</t>
  </si>
  <si>
    <t>39.78</t>
  </si>
  <si>
    <t>15.67</t>
  </si>
  <si>
    <t>20.06</t>
  </si>
  <si>
    <t>17.01</t>
  </si>
  <si>
    <t>42.82</t>
  </si>
  <si>
    <t>28.62</t>
  </si>
  <si>
    <t>21.05</t>
  </si>
  <si>
    <t>13.80</t>
  </si>
  <si>
    <t>48.90</t>
  </si>
  <si>
    <t>117.61</t>
  </si>
  <si>
    <t>49.03</t>
  </si>
  <si>
    <t>34.60</t>
  </si>
  <si>
    <t>15.80</t>
  </si>
  <si>
    <t>54.47</t>
  </si>
  <si>
    <t>21.79</t>
  </si>
  <si>
    <t>11.50</t>
  </si>
  <si>
    <t>55.23</t>
  </si>
  <si>
    <t>17.33</t>
  </si>
  <si>
    <t>14.47</t>
  </si>
  <si>
    <t>35.56</t>
  </si>
  <si>
    <t>19.67</t>
  </si>
  <si>
    <t>30.18</t>
  </si>
  <si>
    <t>34.73</t>
  </si>
  <si>
    <t>13.09</t>
  </si>
  <si>
    <t>25.90</t>
  </si>
  <si>
    <t>58.60</t>
  </si>
  <si>
    <t>25.89</t>
  </si>
  <si>
    <t>20.89</t>
  </si>
  <si>
    <t>20.22</t>
  </si>
  <si>
    <t>22.93</t>
  </si>
  <si>
    <t>32.07</t>
  </si>
  <si>
    <t>32.40</t>
  </si>
  <si>
    <t>120.64</t>
  </si>
  <si>
    <t>121.54</t>
  </si>
  <si>
    <t>122.46</t>
  </si>
  <si>
    <t xml:space="preserve">Департамент тех. политики, </t>
  </si>
  <si>
    <t xml:space="preserve">проектный офис, департамент </t>
  </si>
  <si>
    <t xml:space="preserve">проектов импортозамещения  </t>
  </si>
  <si>
    <t>компонентов пассажирского</t>
  </si>
  <si>
    <t xml:space="preserve"> подвижного состава, </t>
  </si>
  <si>
    <t xml:space="preserve">продуктовая группа </t>
  </si>
  <si>
    <t>пассажирские ВИП-вагоны</t>
  </si>
  <si>
    <t>Начальник планово-</t>
  </si>
  <si>
    <t>экономического управления</t>
  </si>
  <si>
    <t xml:space="preserve"> и начальник финансового</t>
  </si>
  <si>
    <t xml:space="preserve"> отдела</t>
  </si>
  <si>
    <t>Директор по управлению</t>
  </si>
  <si>
    <t xml:space="preserve"> персоналом</t>
  </si>
  <si>
    <t>Директор по экономике</t>
  </si>
  <si>
    <t xml:space="preserve"> и финансам</t>
  </si>
  <si>
    <t xml:space="preserve">ЗГД по продуктовому и </t>
  </si>
  <si>
    <t>техническому маркетингу</t>
  </si>
  <si>
    <t xml:space="preserve">Руководитель управления </t>
  </si>
  <si>
    <t xml:space="preserve">развития новых продуктов и </t>
  </si>
  <si>
    <t xml:space="preserve">конкуретного анализа и </t>
  </si>
  <si>
    <t xml:space="preserve">руководитель управления </t>
  </si>
  <si>
    <t>технического маркетинга</t>
  </si>
  <si>
    <t>аналитического отдела и</t>
  </si>
  <si>
    <t xml:space="preserve"> мониторинга и начальник </t>
  </si>
  <si>
    <t>отдела</t>
  </si>
  <si>
    <t xml:space="preserve">Начальник коммерческого </t>
  </si>
  <si>
    <t>управления</t>
  </si>
  <si>
    <t>Начальник управления</t>
  </si>
  <si>
    <t xml:space="preserve"> технического обеспечения </t>
  </si>
  <si>
    <t>сервисного обслуживания</t>
  </si>
  <si>
    <t>Руководитель управления</t>
  </si>
  <si>
    <t xml:space="preserve"> по качеству подвижного </t>
  </si>
  <si>
    <t>состава</t>
  </si>
  <si>
    <t xml:space="preserve">Дирекция по продуктовому </t>
  </si>
  <si>
    <t>и техническому маркетингу</t>
  </si>
  <si>
    <t xml:space="preserve">Управление по качеству </t>
  </si>
  <si>
    <t>подвижного состава</t>
  </si>
  <si>
    <t xml:space="preserve">Управление технического </t>
  </si>
  <si>
    <t xml:space="preserve">обеспечения сервисного </t>
  </si>
  <si>
    <t>обслуживания</t>
  </si>
  <si>
    <t xml:space="preserve">Руководитель направления </t>
  </si>
  <si>
    <t>по информационным</t>
  </si>
  <si>
    <t xml:space="preserve"> технологиям</t>
  </si>
  <si>
    <t xml:space="preserve">Департамент по </t>
  </si>
  <si>
    <t xml:space="preserve">безопасности и общим </t>
  </si>
  <si>
    <t>вопросам</t>
  </si>
  <si>
    <t xml:space="preserve">Директор департамента по </t>
  </si>
  <si>
    <t>безопасности и общим</t>
  </si>
  <si>
    <t xml:space="preserve"> вопросам</t>
  </si>
  <si>
    <t xml:space="preserve">Управление деповского </t>
  </si>
  <si>
    <t>хозяйства</t>
  </si>
  <si>
    <t xml:space="preserve">Кабинет начальника </t>
  </si>
  <si>
    <t xml:space="preserve">управления деповского </t>
  </si>
  <si>
    <t xml:space="preserve">Руководитель департамента </t>
  </si>
  <si>
    <t xml:space="preserve">рук. проектного офиса и </t>
  </si>
  <si>
    <t>директор по продуктовой</t>
  </si>
  <si>
    <t xml:space="preserve"> группе "Пассажирские ВИП-вагоны"</t>
  </si>
  <si>
    <t>технической политики,</t>
  </si>
  <si>
    <t xml:space="preserve">Директор по импортозамещению </t>
  </si>
  <si>
    <t xml:space="preserve">компонентов пассажирского </t>
  </si>
  <si>
    <t>Планово-экономическое</t>
  </si>
  <si>
    <t xml:space="preserve"> управление</t>
  </si>
  <si>
    <t>персоналом</t>
  </si>
  <si>
    <t xml:space="preserve">Специалист по </t>
  </si>
  <si>
    <t>документообороту</t>
  </si>
  <si>
    <t>продаж</t>
  </si>
  <si>
    <t>Директор департамента по</t>
  </si>
  <si>
    <t xml:space="preserve"> качеству</t>
  </si>
  <si>
    <t>ЗГД по техническому</t>
  </si>
  <si>
    <t xml:space="preserve"> развитию</t>
  </si>
  <si>
    <t>Приемная генерального</t>
  </si>
  <si>
    <t>16 этаж</t>
  </si>
  <si>
    <t>В27 сущ</t>
  </si>
  <si>
    <t>С/У и тех пом.</t>
  </si>
  <si>
    <t>22.22</t>
  </si>
  <si>
    <t>Помещние приёма пищи</t>
  </si>
  <si>
    <t>по CO2</t>
  </si>
  <si>
    <t>20 этаж</t>
  </si>
  <si>
    <t>Кухня</t>
  </si>
  <si>
    <t>Приемная</t>
  </si>
  <si>
    <t>Кабинет на 3 рабочих места</t>
  </si>
  <si>
    <t xml:space="preserve">Кабинет </t>
  </si>
  <si>
    <t>Приток, м3/ч</t>
  </si>
  <si>
    <r>
      <t>Объем помеще-ния, м</t>
    </r>
    <r>
      <rPr>
        <vertAlign val="superscript"/>
        <sz val="10"/>
        <rFont val="Arial"/>
        <family val="2"/>
        <charset val="204"/>
      </rPr>
      <t>3</t>
    </r>
  </si>
  <si>
    <r>
      <t>Местн. отсосы, м</t>
    </r>
    <r>
      <rPr>
        <vertAlign val="super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>/ч</t>
    </r>
  </si>
  <si>
    <r>
      <t>Вытяжка, м</t>
    </r>
    <r>
      <rPr>
        <vertAlign val="super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>/ч</t>
    </r>
  </si>
  <si>
    <t>по балансу</t>
  </si>
  <si>
    <t>баланс</t>
  </si>
  <si>
    <t>В24, В28, В27, В26</t>
  </si>
  <si>
    <t>Санузлы, эл. щитовые, тех. Помещения</t>
  </si>
  <si>
    <t>Санузлы, эл. щит., тех помещения</t>
  </si>
  <si>
    <t>Сущ. сист.</t>
  </si>
  <si>
    <t xml:space="preserve"> сущ. сист</t>
  </si>
  <si>
    <t xml:space="preserve">1 зона </t>
  </si>
  <si>
    <t>2 зона</t>
  </si>
  <si>
    <t>3 зона</t>
  </si>
  <si>
    <t>6 этаж</t>
  </si>
  <si>
    <t>Подсобное помещение</t>
  </si>
  <si>
    <t>Администрация. Директор</t>
  </si>
  <si>
    <t>Кладовая ИТ</t>
  </si>
  <si>
    <t>Кладовая ПХОиОТ</t>
  </si>
  <si>
    <t xml:space="preserve">Отдел по информационным </t>
  </si>
  <si>
    <t>технологиям. Специалист</t>
  </si>
  <si>
    <t xml:space="preserve">Администрация. </t>
  </si>
  <si>
    <t>Генеральный конструктор</t>
  </si>
  <si>
    <t xml:space="preserve">Отдел по экспортной продукции </t>
  </si>
  <si>
    <t xml:space="preserve">и перспективного рынка. </t>
  </si>
  <si>
    <t xml:space="preserve">Главный конструктор, </t>
  </si>
  <si>
    <t xml:space="preserve">специалист по экспортным </t>
  </si>
  <si>
    <t>рынкам</t>
  </si>
  <si>
    <t xml:space="preserve">Отдел электрооборудования. </t>
  </si>
  <si>
    <t xml:space="preserve">Ведущий инженер-конструктор, </t>
  </si>
  <si>
    <t>специалисты</t>
  </si>
  <si>
    <t xml:space="preserve">Управление надежности, </t>
  </si>
  <si>
    <t xml:space="preserve">валидации и испытаний. </t>
  </si>
  <si>
    <t xml:space="preserve">Главный конструктор - </t>
  </si>
  <si>
    <t xml:space="preserve">начальник отдела, </t>
  </si>
  <si>
    <t xml:space="preserve">руководитель группы, </t>
  </si>
  <si>
    <t xml:space="preserve">Отдел экономической </t>
  </si>
  <si>
    <t xml:space="preserve">эффективности продукта. </t>
  </si>
  <si>
    <t>Начальник отдела, экономист</t>
  </si>
  <si>
    <t xml:space="preserve">Подразделение по </t>
  </si>
  <si>
    <t xml:space="preserve">Руководитель направления, </t>
  </si>
  <si>
    <t>специалист</t>
  </si>
  <si>
    <t xml:space="preserve">информационным </t>
  </si>
  <si>
    <t xml:space="preserve">технологиям. </t>
  </si>
  <si>
    <t xml:space="preserve">Заместитель генерального </t>
  </si>
  <si>
    <t>дизайну</t>
  </si>
  <si>
    <t xml:space="preserve">директора по промышленному </t>
  </si>
  <si>
    <t xml:space="preserve">Приемная генерального </t>
  </si>
  <si>
    <t xml:space="preserve">Подразделение </t>
  </si>
  <si>
    <t xml:space="preserve">стандартизации, менеджмента </t>
  </si>
  <si>
    <t xml:space="preserve">качества и метрологии. </t>
  </si>
  <si>
    <t xml:space="preserve">Руководитель подразделения, </t>
  </si>
  <si>
    <t>руководитель направления</t>
  </si>
  <si>
    <t xml:space="preserve">Проектный офис. Эксперт по </t>
  </si>
  <si>
    <t xml:space="preserve">методолгии и обучению, </t>
  </si>
  <si>
    <t xml:space="preserve">руководитель направления, </t>
  </si>
  <si>
    <t xml:space="preserve">администратор проектного </t>
  </si>
  <si>
    <t>офиса</t>
  </si>
  <si>
    <t xml:space="preserve">Подразделение по хоз. </t>
  </si>
  <si>
    <t xml:space="preserve">обеспечению и охране труда. </t>
  </si>
  <si>
    <t xml:space="preserve">Администрация. Главный </t>
  </si>
  <si>
    <t>конструктор</t>
  </si>
  <si>
    <t xml:space="preserve">директора по операционной </t>
  </si>
  <si>
    <t>деятельности</t>
  </si>
  <si>
    <t xml:space="preserve">Подразделение по экономике </t>
  </si>
  <si>
    <t>и финансам. Директор</t>
  </si>
  <si>
    <t>фин. Контроль</t>
  </si>
  <si>
    <t xml:space="preserve">и финансам. Бухгалтерия, ПЭО, </t>
  </si>
  <si>
    <t xml:space="preserve">Подразделение по управлению </t>
  </si>
  <si>
    <t>персоналом. Директор</t>
  </si>
  <si>
    <t xml:space="preserve">информационной и </t>
  </si>
  <si>
    <t xml:space="preserve">экономической безопасности. </t>
  </si>
  <si>
    <t xml:space="preserve">Директор по информационной </t>
  </si>
  <si>
    <t>безопасности</t>
  </si>
  <si>
    <t xml:space="preserve">Управление по юридическим </t>
  </si>
  <si>
    <t xml:space="preserve">вопросам и интеллектуальной </t>
  </si>
  <si>
    <t xml:space="preserve">собственности. Руководитель </t>
  </si>
  <si>
    <t xml:space="preserve">Начальник отдела, </t>
  </si>
  <si>
    <t xml:space="preserve">Управление по сопровождению </t>
  </si>
  <si>
    <t xml:space="preserve">серийной техники и </t>
  </si>
  <si>
    <t xml:space="preserve">взаимодействию с заказчиком. </t>
  </si>
  <si>
    <t>Начальник отдела, специалист</t>
  </si>
  <si>
    <t>директора, главный бухгалтер</t>
  </si>
  <si>
    <t xml:space="preserve">персоналом. Руководители </t>
  </si>
  <si>
    <t>направления, специалисты</t>
  </si>
  <si>
    <t xml:space="preserve">собственности. Эксперт, </t>
  </si>
  <si>
    <t>специалисты, юристы</t>
  </si>
  <si>
    <t xml:space="preserve">Подразделение методологии и </t>
  </si>
  <si>
    <t xml:space="preserve">программных средств. Рук. </t>
  </si>
  <si>
    <t>Направления</t>
  </si>
  <si>
    <t xml:space="preserve">Подразделение по дизайну. </t>
  </si>
  <si>
    <t xml:space="preserve">Администрация. Директор </t>
  </si>
  <si>
    <t xml:space="preserve">офиса цифровых проектов, рук. </t>
  </si>
  <si>
    <t xml:space="preserve">проектного офиса, рук. </t>
  </si>
  <si>
    <t xml:space="preserve">направления по работе с </t>
  </si>
  <si>
    <t>поставщиками</t>
  </si>
  <si>
    <t>Подразделение по экономике</t>
  </si>
  <si>
    <t xml:space="preserve"> и финансам. Главный</t>
  </si>
  <si>
    <t xml:space="preserve"> бухгалтер + заместитель</t>
  </si>
  <si>
    <t>16 мест резерв+ в балансе с коридором 6.14</t>
  </si>
  <si>
    <t>8 мест резерв+ в балансе с коридором 6.14</t>
  </si>
  <si>
    <t/>
  </si>
  <si>
    <t>и добавить компенсацию С/У 6.10,6.11,6.13</t>
  </si>
  <si>
    <t>по балансу+ баланс с пом 6.66</t>
  </si>
  <si>
    <t xml:space="preserve">20 м3/ч на 1чел </t>
  </si>
  <si>
    <t>2 места резерв</t>
  </si>
  <si>
    <t>3 места резерв+ баланс с коридором 6.15</t>
  </si>
  <si>
    <t>компенсация из коридора</t>
  </si>
  <si>
    <t>в балансе с 6.22 и 6.23</t>
  </si>
  <si>
    <t>Санузел женский</t>
  </si>
  <si>
    <t>Санузел для МГН</t>
  </si>
  <si>
    <t>ПУИ</t>
  </si>
  <si>
    <t>Санузел мужской</t>
  </si>
  <si>
    <t>Кроссовая</t>
  </si>
  <si>
    <t>Помещение приема пищи</t>
  </si>
  <si>
    <t>Кабинет ГД</t>
  </si>
  <si>
    <t>по балансу с 7.64</t>
  </si>
  <si>
    <t>по балансу с С/У и др. тех пом.</t>
  </si>
  <si>
    <t>по балансу с 7.43 и 7.68</t>
  </si>
  <si>
    <t>в балансе с 7.62 и 7.58 и 7.61 + 8 мест в резерве</t>
  </si>
  <si>
    <t>24 мест в резерве</t>
  </si>
  <si>
    <t>в балансе с 7.65, 7.66, 7.54 +9 мест в резерве</t>
  </si>
  <si>
    <t>по балансу с 7.57</t>
  </si>
  <si>
    <t>5 места в резерве</t>
  </si>
  <si>
    <t>7 этаж</t>
  </si>
  <si>
    <t>Помещение СС</t>
  </si>
  <si>
    <t>Отдел документооборота</t>
  </si>
  <si>
    <t>Кабинет главного бухгалтера</t>
  </si>
  <si>
    <t>Руководитель управления ИТ</t>
  </si>
  <si>
    <t>УИТ</t>
  </si>
  <si>
    <t>Управление развития сервиса</t>
  </si>
  <si>
    <t>15 этаж</t>
  </si>
  <si>
    <t xml:space="preserve">Дирекция по продажам </t>
  </si>
  <si>
    <t>и развитию бизнеса</t>
  </si>
  <si>
    <t xml:space="preserve">Дирекция по операционной </t>
  </si>
  <si>
    <t xml:space="preserve"> управления</t>
  </si>
  <si>
    <t xml:space="preserve">Дирекция по экономике </t>
  </si>
  <si>
    <t>и финансам</t>
  </si>
  <si>
    <t>Заместитель генерального</t>
  </si>
  <si>
    <t xml:space="preserve">Администрация ОПР </t>
  </si>
  <si>
    <t>(директор по производству)</t>
  </si>
  <si>
    <t>Помощник генерального</t>
  </si>
  <si>
    <t xml:space="preserve">Дирекция по корпоративной </t>
  </si>
  <si>
    <t xml:space="preserve">защите (кабинет заместителя </t>
  </si>
  <si>
    <t>генерального директора)</t>
  </si>
  <si>
    <t>защите</t>
  </si>
  <si>
    <t xml:space="preserve">Дирекция по управлению </t>
  </si>
  <si>
    <t xml:space="preserve">персоналом (кабинет </t>
  </si>
  <si>
    <t xml:space="preserve">заместителя генерального </t>
  </si>
  <si>
    <t>директора)</t>
  </si>
  <si>
    <t xml:space="preserve">Кабинет технического </t>
  </si>
  <si>
    <t>Комната отдыха с кофе</t>
  </si>
  <si>
    <t>-поинтом</t>
  </si>
  <si>
    <t>5 мест резерв</t>
  </si>
  <si>
    <t>12 мест резерв</t>
  </si>
  <si>
    <t>В40 (сущ)</t>
  </si>
  <si>
    <t>В25.2 (сущ)</t>
  </si>
  <si>
    <t>В24 (сущ)</t>
  </si>
  <si>
    <t>В28 (сущ)</t>
  </si>
  <si>
    <t>21 этаж</t>
  </si>
  <si>
    <t>Сущ. Системы</t>
  </si>
  <si>
    <t>1 вар.  Форум/аудитория на 200 п.м.</t>
  </si>
  <si>
    <t>2 вар. Форум/аудитория на 200 п.м.</t>
  </si>
  <si>
    <t>3 вар. Форум/аудитория на 200 п.м.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</si>
</sst>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* #,##0.00_р_._-;\-* #,##0.00_р_._-;_-* &quot;-&quot;??_р_._-;_-@_-"/>
    <numFmt numFmtId="165" formatCode="_-* #,##0.0_р_._-;\-* #,##0.0_р_._-;_-* &quot;-&quot;??_р_._-;_-@_-"/>
    <numFmt numFmtId="166" formatCode="_-* #,##0_р_._-;\-* #,##0_р_._-;_-* &quot;-&quot;??_р_._-;_-@_-"/>
    <numFmt numFmtId="167" formatCode="_-* ###0_р_._-;\-* ###0_р_._-;_-* &quot;-&quot;??_р_._-;_-@_-"/>
    <numFmt numFmtId="168" formatCode="&quot;П&quot;0;&quot;-&quot;0;&quot;-&quot;"/>
    <numFmt numFmtId="169" formatCode="0.0"/>
    <numFmt numFmtId="170" formatCode="_-* #,##0.0\ _₽_-;\-* #,##0.0\ _₽_-;_-* &quot;-&quot;?\ _₽_-;_-@_-"/>
    <numFmt numFmtId="171" formatCode="&quot;В&quot;0;&quot;-&quot;0;&quot;-&quot;"/>
    <numFmt numFmtId="172" formatCode="0.000"/>
    <numFmt numFmtId="173" formatCode="0.0_ ;\-0.0\ "/>
    <numFmt numFmtId="174" formatCode="_-* #,##0.00\ _₽_-;\-* #,##0.00\ _₽_-;_-* &quot;-&quot;??\ _₽_-;_-@_-"/>
    <numFmt numFmtId="175" formatCode="#,##0_ ;\-#,##0\ "/>
  </numFmts>
  <fonts count="50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i/>
      <sz val="11"/>
      <name val="Arial"/>
      <family val="2"/>
      <charset val="204"/>
    </font>
    <font>
      <sz val="12"/>
      <name val="Times New Roman Cyr"/>
      <charset val="204"/>
    </font>
    <font>
      <i/>
      <sz val="10"/>
      <name val="Arial"/>
      <family val="2"/>
      <charset val="204"/>
    </font>
    <font>
      <i/>
      <vertAlign val="superscript"/>
      <sz val="11"/>
      <name val="Arial"/>
      <family val="2"/>
      <charset val="204"/>
    </font>
    <font>
      <sz val="10"/>
      <name val="Arial Cyr"/>
      <charset val="204"/>
    </font>
    <font>
      <i/>
      <sz val="9"/>
      <name val="Arial"/>
      <family val="2"/>
      <charset val="204"/>
    </font>
    <font>
      <i/>
      <sz val="9"/>
      <color theme="1"/>
      <name val="Arial"/>
      <family val="2"/>
      <charset val="204"/>
    </font>
    <font>
      <sz val="11"/>
      <color theme="1"/>
      <name val="ISOCPEUR"/>
      <family val="2"/>
      <charset val="204"/>
    </font>
    <font>
      <sz val="11"/>
      <name val="ISOCPEUR"/>
      <family val="2"/>
      <charset val="204"/>
    </font>
    <font>
      <b/>
      <sz val="11"/>
      <color theme="1"/>
      <name val="ISOCPEUR"/>
      <family val="2"/>
      <charset val="204"/>
    </font>
    <font>
      <i/>
      <sz val="11"/>
      <color theme="0" tint="-0.249977111117893"/>
      <name val="Arial"/>
      <family val="2"/>
      <charset val="204"/>
    </font>
    <font>
      <sz val="11"/>
      <color rgb="FFFF0000"/>
      <name val="ISOCPEUR"/>
      <family val="2"/>
      <charset val="204"/>
    </font>
    <font>
      <i/>
      <sz val="11"/>
      <color rgb="FFFF0000"/>
      <name val="Arial"/>
      <family val="2"/>
      <charset val="204"/>
    </font>
    <font>
      <i/>
      <sz val="11"/>
      <color theme="0" tint="-4.9989318521683403E-2"/>
      <name val="Arial"/>
      <family val="2"/>
      <charset val="204"/>
    </font>
    <font>
      <sz val="11"/>
      <color theme="0" tint="-4.9989318521683403E-2"/>
      <name val="ISOCPEUR"/>
      <family val="2"/>
      <charset val="204"/>
    </font>
    <font>
      <b/>
      <i/>
      <sz val="11"/>
      <color theme="0" tint="-4.9989318521683403E-2"/>
      <name val="Arial"/>
      <family val="2"/>
      <charset val="204"/>
    </font>
    <font>
      <b/>
      <sz val="11"/>
      <color theme="0" tint="-4.9989318521683403E-2"/>
      <name val="Arial"/>
      <family val="2"/>
      <charset val="204"/>
    </font>
    <font>
      <b/>
      <sz val="10"/>
      <color theme="0" tint="-4.9989318521683403E-2"/>
      <name val="Arial"/>
      <family val="2"/>
      <charset val="204"/>
    </font>
    <font>
      <u/>
      <sz val="11"/>
      <color indexed="22"/>
      <name val="ISOCPEUR"/>
      <family val="2"/>
      <charset val="204"/>
    </font>
    <font>
      <sz val="11"/>
      <color indexed="22"/>
      <name val="ISOCPEUR"/>
      <family val="2"/>
      <charset val="204"/>
    </font>
    <font>
      <sz val="11"/>
      <color theme="0" tint="-4.9989318521683403E-2"/>
      <name val="Arial"/>
      <family val="2"/>
      <charset val="204"/>
    </font>
    <font>
      <i/>
      <sz val="10"/>
      <color theme="0" tint="-4.9989318521683403E-2"/>
      <name val="Arial"/>
      <family val="2"/>
      <charset val="204"/>
    </font>
    <font>
      <sz val="10"/>
      <color indexed="0"/>
      <name val="Arial Cyr"/>
      <family val="2"/>
      <charset val="204"/>
    </font>
    <font>
      <i/>
      <sz val="9"/>
      <color theme="0" tint="-4.9989318521683403E-2"/>
      <name val="Arial"/>
      <family val="2"/>
      <charset val="204"/>
    </font>
    <font>
      <i/>
      <sz val="8.5"/>
      <color theme="0" tint="-4.9989318521683403E-2"/>
      <name val="Arial"/>
      <family val="2"/>
      <charset val="204"/>
    </font>
    <font>
      <sz val="11"/>
      <color theme="0" tint="-0.249977111117893"/>
      <name val="ISOCPEUR"/>
      <family val="2"/>
      <charset val="204"/>
    </font>
    <font>
      <sz val="11"/>
      <color rgb="FFFF0000"/>
      <name val="Arial"/>
      <family val="2"/>
      <charset val="204"/>
    </font>
    <font>
      <sz val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vertAlign val="superscript"/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sz val="10"/>
      <color theme="1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164" fontId="6" fillId="0" borderId="0" applyFont="0" applyFill="0" applyBorder="0" applyAlignment="0" applyProtection="0"/>
    <xf numFmtId="0" fontId="24" fillId="0" borderId="0"/>
  </cellStyleXfs>
  <cellXfs count="824">
    <xf numFmtId="0" fontId="0" fillId="0" borderId="0" xfId="0"/>
    <xf numFmtId="0" fontId="9" fillId="0" borderId="0" xfId="0" applyFont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8" xfId="1" applyFont="1" applyBorder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center" vertical="center" wrapText="1"/>
      <protection locked="0"/>
    </xf>
    <xf numFmtId="0" fontId="9" fillId="0" borderId="17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2" fillId="0" borderId="2" xfId="1" applyFont="1" applyBorder="1" applyAlignment="1" applyProtection="1">
      <alignment horizontal="center" vertical="center" wrapText="1"/>
      <protection locked="0"/>
    </xf>
    <xf numFmtId="0" fontId="12" fillId="0" borderId="8" xfId="1" applyFont="1" applyBorder="1" applyAlignment="1" applyProtection="1">
      <alignment horizontal="center" vertical="center" wrapText="1"/>
      <protection locked="0"/>
    </xf>
    <xf numFmtId="2" fontId="2" fillId="4" borderId="34" xfId="1" applyNumberFormat="1" applyFont="1" applyFill="1" applyBorder="1" applyAlignment="1" applyProtection="1">
      <alignment horizontal="center" vertical="center" wrapText="1"/>
      <protection locked="0"/>
    </xf>
    <xf numFmtId="0" fontId="2" fillId="4" borderId="35" xfId="1" applyFont="1" applyFill="1" applyBorder="1" applyAlignment="1" applyProtection="1">
      <alignment horizontal="center" vertical="center" wrapText="1"/>
      <protection locked="0"/>
    </xf>
    <xf numFmtId="0" fontId="2" fillId="4" borderId="34" xfId="1" applyFont="1" applyFill="1" applyBorder="1" applyAlignment="1" applyProtection="1">
      <alignment horizontal="center" vertical="center" wrapText="1"/>
      <protection locked="0"/>
    </xf>
    <xf numFmtId="0" fontId="7" fillId="4" borderId="34" xfId="1" applyFont="1" applyFill="1" applyBorder="1" applyAlignment="1" applyProtection="1">
      <alignment horizontal="center" vertical="center" wrapText="1"/>
      <protection locked="0"/>
    </xf>
    <xf numFmtId="0" fontId="8" fillId="4" borderId="10" xfId="0" applyFont="1" applyFill="1" applyBorder="1" applyAlignment="1">
      <alignment horizontal="center" vertical="center" wrapText="1"/>
    </xf>
    <xf numFmtId="0" fontId="8" fillId="4" borderId="34" xfId="1" applyFont="1" applyFill="1" applyBorder="1" applyAlignment="1" applyProtection="1">
      <alignment horizontal="center" vertical="center" wrapText="1"/>
      <protection locked="0"/>
    </xf>
    <xf numFmtId="2" fontId="4" fillId="4" borderId="34" xfId="1" applyNumberFormat="1" applyFont="1" applyFill="1" applyBorder="1" applyAlignment="1" applyProtection="1">
      <alignment horizontal="center" vertical="center" wrapText="1"/>
      <protection locked="0"/>
    </xf>
    <xf numFmtId="169" fontId="2" fillId="4" borderId="34" xfId="1" applyNumberFormat="1" applyFont="1" applyFill="1" applyBorder="1" applyAlignment="1" applyProtection="1">
      <alignment horizontal="center" vertical="center" wrapText="1"/>
      <protection locked="0"/>
    </xf>
    <xf numFmtId="0" fontId="2" fillId="4" borderId="34" xfId="1" applyFont="1" applyFill="1" applyBorder="1" applyAlignment="1">
      <alignment horizontal="center" vertical="center" wrapText="1"/>
    </xf>
    <xf numFmtId="16" fontId="2" fillId="4" borderId="34" xfId="1" applyNumberFormat="1" applyFont="1" applyFill="1" applyBorder="1" applyAlignment="1" applyProtection="1">
      <alignment horizontal="center" vertical="center" wrapText="1"/>
      <protection locked="0"/>
    </xf>
    <xf numFmtId="169" fontId="2" fillId="4" borderId="36" xfId="1" applyNumberFormat="1" applyFont="1" applyFill="1" applyBorder="1" applyAlignment="1">
      <alignment horizontal="center" vertical="center" wrapText="1"/>
    </xf>
    <xf numFmtId="1" fontId="10" fillId="0" borderId="0" xfId="1" applyNumberFormat="1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172" fontId="9" fillId="0" borderId="10" xfId="0" applyNumberFormat="1" applyFont="1" applyBorder="1" applyAlignment="1">
      <alignment horizontal="center" vertical="center"/>
    </xf>
    <xf numFmtId="172" fontId="10" fillId="0" borderId="0" xfId="1" applyNumberFormat="1" applyFont="1" applyAlignment="1">
      <alignment horizontal="center" vertical="center" wrapText="1"/>
    </xf>
    <xf numFmtId="0" fontId="13" fillId="2" borderId="2" xfId="0" applyFont="1" applyFill="1" applyBorder="1" applyAlignment="1">
      <alignment vertical="center" wrapText="1" shrinkToFit="1"/>
    </xf>
    <xf numFmtId="0" fontId="12" fillId="4" borderId="34" xfId="1" applyFont="1" applyFill="1" applyBorder="1" applyAlignment="1">
      <alignment horizontal="center" vertical="center" wrapText="1"/>
    </xf>
    <xf numFmtId="0" fontId="9" fillId="4" borderId="0" xfId="0" applyFont="1" applyFill="1" applyAlignment="1">
      <alignment vertical="center"/>
    </xf>
    <xf numFmtId="0" fontId="13" fillId="2" borderId="7" xfId="0" applyFont="1" applyFill="1" applyBorder="1" applyAlignment="1">
      <alignment vertical="center" wrapText="1" shrinkToFit="1"/>
    </xf>
    <xf numFmtId="0" fontId="12" fillId="4" borderId="0" xfId="1" applyFont="1" applyFill="1" applyAlignment="1">
      <alignment horizontal="center" vertical="center" wrapText="1"/>
    </xf>
    <xf numFmtId="0" fontId="2" fillId="5" borderId="20" xfId="1" applyFont="1" applyFill="1" applyBorder="1" applyAlignment="1" applyProtection="1">
      <alignment horizontal="center" vertical="center" wrapText="1"/>
      <protection locked="0"/>
    </xf>
    <xf numFmtId="0" fontId="2" fillId="5" borderId="18" xfId="1" applyFont="1" applyFill="1" applyBorder="1" applyAlignment="1" applyProtection="1">
      <alignment horizontal="center" vertical="center" wrapText="1"/>
      <protection locked="0"/>
    </xf>
    <xf numFmtId="0" fontId="7" fillId="5" borderId="18" xfId="1" applyFont="1" applyFill="1" applyBorder="1" applyAlignment="1" applyProtection="1">
      <alignment horizontal="center" vertical="center" wrapText="1"/>
      <protection locked="0"/>
    </xf>
    <xf numFmtId="0" fontId="14" fillId="5" borderId="18" xfId="1" applyFont="1" applyFill="1" applyBorder="1" applyAlignment="1" applyProtection="1">
      <alignment horizontal="center" vertical="center" wrapText="1"/>
      <protection locked="0"/>
    </xf>
    <xf numFmtId="16" fontId="2" fillId="5" borderId="18" xfId="1" applyNumberFormat="1" applyFont="1" applyFill="1" applyBorder="1" applyAlignment="1" applyProtection="1">
      <alignment horizontal="center" vertical="center" wrapText="1"/>
      <protection locked="0"/>
    </xf>
    <xf numFmtId="0" fontId="2" fillId="5" borderId="18" xfId="1" applyFont="1" applyFill="1" applyBorder="1" applyAlignment="1">
      <alignment horizontal="center" vertical="center" wrapText="1"/>
    </xf>
    <xf numFmtId="169" fontId="2" fillId="5" borderId="18" xfId="1" applyNumberFormat="1" applyFont="1" applyFill="1" applyBorder="1" applyAlignment="1" applyProtection="1">
      <alignment horizontal="center" vertical="center" wrapText="1"/>
      <protection locked="0"/>
    </xf>
    <xf numFmtId="169" fontId="2" fillId="5" borderId="37" xfId="1" applyNumberFormat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3" fillId="2" borderId="7" xfId="0" applyFont="1" applyFill="1" applyBorder="1" applyAlignment="1">
      <alignment vertical="center" wrapText="1"/>
    </xf>
    <xf numFmtId="0" fontId="14" fillId="0" borderId="20" xfId="1" applyFont="1" applyBorder="1" applyAlignment="1" applyProtection="1">
      <alignment horizontal="center" vertical="center" wrapText="1"/>
      <protection locked="0"/>
    </xf>
    <xf numFmtId="0" fontId="14" fillId="0" borderId="18" xfId="1" applyFont="1" applyBorder="1" applyAlignment="1" applyProtection="1">
      <alignment horizontal="center" vertical="center" wrapText="1"/>
      <protection locked="0"/>
    </xf>
    <xf numFmtId="2" fontId="14" fillId="0" borderId="18" xfId="1" applyNumberFormat="1" applyFont="1" applyBorder="1" applyAlignment="1" applyProtection="1">
      <alignment horizontal="center" vertical="center" wrapText="1"/>
      <protection locked="0"/>
    </xf>
    <xf numFmtId="169" fontId="14" fillId="0" borderId="18" xfId="1" applyNumberFormat="1" applyFont="1" applyBorder="1" applyAlignment="1" applyProtection="1">
      <alignment horizontal="center" vertical="center" wrapText="1"/>
      <protection locked="0"/>
    </xf>
    <xf numFmtId="0" fontId="14" fillId="0" borderId="18" xfId="1" applyFont="1" applyBorder="1" applyAlignment="1">
      <alignment horizontal="center" vertical="center" wrapText="1"/>
    </xf>
    <xf numFmtId="16" fontId="14" fillId="0" borderId="18" xfId="1" applyNumberFormat="1" applyFont="1" applyBorder="1" applyAlignment="1" applyProtection="1">
      <alignment horizontal="center" vertical="center" wrapText="1"/>
      <protection locked="0"/>
    </xf>
    <xf numFmtId="1" fontId="14" fillId="0" borderId="18" xfId="1" applyNumberFormat="1" applyFont="1" applyBorder="1" applyAlignment="1" applyProtection="1">
      <alignment horizontal="center" vertical="center" wrapText="1"/>
      <protection locked="0"/>
    </xf>
    <xf numFmtId="169" fontId="14" fillId="0" borderId="37" xfId="1" applyNumberFormat="1" applyFont="1" applyBorder="1" applyAlignment="1">
      <alignment horizontal="center" vertical="center" wrapText="1"/>
    </xf>
    <xf numFmtId="0" fontId="14" fillId="0" borderId="9" xfId="1" applyFont="1" applyBorder="1" applyAlignment="1" applyProtection="1">
      <alignment horizontal="center" vertical="center" wrapText="1"/>
      <protection locked="0"/>
    </xf>
    <xf numFmtId="0" fontId="14" fillId="0" borderId="10" xfId="1" applyFont="1" applyBorder="1" applyAlignment="1" applyProtection="1">
      <alignment horizontal="center" vertical="center" wrapText="1"/>
      <protection locked="0"/>
    </xf>
    <xf numFmtId="2" fontId="14" fillId="0" borderId="10" xfId="1" applyNumberFormat="1" applyFont="1" applyBorder="1" applyAlignment="1" applyProtection="1">
      <alignment horizontal="center" vertical="center" wrapText="1"/>
      <protection locked="0"/>
    </xf>
    <xf numFmtId="169" fontId="14" fillId="0" borderId="10" xfId="1" applyNumberFormat="1" applyFont="1" applyBorder="1" applyAlignment="1" applyProtection="1">
      <alignment horizontal="center" vertical="center" wrapText="1"/>
      <protection locked="0"/>
    </xf>
    <xf numFmtId="0" fontId="14" fillId="0" borderId="10" xfId="1" applyFont="1" applyBorder="1" applyAlignment="1">
      <alignment horizontal="center" vertical="center" wrapText="1"/>
    </xf>
    <xf numFmtId="16" fontId="14" fillId="0" borderId="10" xfId="1" applyNumberFormat="1" applyFont="1" applyBorder="1" applyAlignment="1" applyProtection="1">
      <alignment horizontal="center" vertical="center" wrapText="1"/>
      <protection locked="0"/>
    </xf>
    <xf numFmtId="1" fontId="14" fillId="0" borderId="10" xfId="1" applyNumberFormat="1" applyFont="1" applyBorder="1" applyAlignment="1" applyProtection="1">
      <alignment horizontal="center" vertical="center" wrapText="1"/>
      <protection locked="0"/>
    </xf>
    <xf numFmtId="169" fontId="14" fillId="0" borderId="12" xfId="1" applyNumberFormat="1" applyFont="1" applyBorder="1" applyAlignment="1">
      <alignment horizontal="center" vertical="center" wrapText="1"/>
    </xf>
    <xf numFmtId="0" fontId="15" fillId="0" borderId="9" xfId="1" applyFont="1" applyBorder="1" applyAlignment="1" applyProtection="1">
      <alignment horizontal="center" vertical="center" wrapText="1"/>
      <protection locked="0"/>
    </xf>
    <xf numFmtId="0" fontId="15" fillId="0" borderId="10" xfId="1" applyFont="1" applyBorder="1" applyAlignment="1" applyProtection="1">
      <alignment horizontal="center" vertical="center" wrapText="1"/>
      <protection locked="0"/>
    </xf>
    <xf numFmtId="2" fontId="15" fillId="0" borderId="10" xfId="1" applyNumberFormat="1" applyFont="1" applyBorder="1" applyAlignment="1" applyProtection="1">
      <alignment horizontal="center" vertical="center" wrapText="1"/>
      <protection locked="0"/>
    </xf>
    <xf numFmtId="169" fontId="15" fillId="0" borderId="10" xfId="1" applyNumberFormat="1" applyFont="1" applyBorder="1" applyAlignment="1" applyProtection="1">
      <alignment horizontal="center" vertical="center" wrapText="1"/>
      <protection locked="0"/>
    </xf>
    <xf numFmtId="0" fontId="15" fillId="0" borderId="10" xfId="1" applyFont="1" applyBorder="1" applyAlignment="1">
      <alignment horizontal="center" vertical="center" wrapText="1"/>
    </xf>
    <xf numFmtId="16" fontId="15" fillId="0" borderId="10" xfId="1" applyNumberFormat="1" applyFont="1" applyBorder="1" applyAlignment="1" applyProtection="1">
      <alignment horizontal="center" vertical="center" wrapText="1"/>
      <protection locked="0"/>
    </xf>
    <xf numFmtId="1" fontId="15" fillId="0" borderId="10" xfId="1" applyNumberFormat="1" applyFont="1" applyBorder="1" applyAlignment="1" applyProtection="1">
      <alignment horizontal="center" vertical="center" wrapText="1"/>
      <protection locked="0"/>
    </xf>
    <xf numFmtId="169" fontId="15" fillId="0" borderId="12" xfId="1" applyNumberFormat="1" applyFont="1" applyBorder="1" applyAlignment="1">
      <alignment horizontal="center" vertical="center" wrapText="1"/>
    </xf>
    <xf numFmtId="1" fontId="16" fillId="0" borderId="0" xfId="1" applyNumberFormat="1" applyFont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172" fontId="16" fillId="0" borderId="10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172" fontId="16" fillId="0" borderId="0" xfId="1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2" borderId="7" xfId="0" applyFont="1" applyFill="1" applyBorder="1" applyAlignment="1">
      <alignment vertical="center" wrapText="1"/>
    </xf>
    <xf numFmtId="2" fontId="16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vertical="center"/>
    </xf>
    <xf numFmtId="0" fontId="16" fillId="2" borderId="7" xfId="0" applyFont="1" applyFill="1" applyBorder="1" applyAlignment="1">
      <alignment vertical="center"/>
    </xf>
    <xf numFmtId="0" fontId="15" fillId="0" borderId="18" xfId="1" applyFont="1" applyBorder="1" applyAlignment="1" applyProtection="1">
      <alignment horizontal="center" vertical="center" wrapText="1"/>
      <protection locked="0"/>
    </xf>
    <xf numFmtId="0" fontId="16" fillId="2" borderId="7" xfId="0" applyFont="1" applyFill="1" applyBorder="1" applyAlignment="1">
      <alignment vertical="center" wrapText="1" shrinkToFit="1"/>
    </xf>
    <xf numFmtId="0" fontId="17" fillId="0" borderId="9" xfId="1" applyFont="1" applyBorder="1" applyAlignment="1" applyProtection="1">
      <alignment horizontal="center" vertical="center" wrapText="1"/>
      <protection locked="0"/>
    </xf>
    <xf numFmtId="0" fontId="17" fillId="0" borderId="10" xfId="1" applyFont="1" applyBorder="1" applyAlignment="1" applyProtection="1">
      <alignment horizontal="center" vertical="center" wrapText="1"/>
      <protection locked="0"/>
    </xf>
    <xf numFmtId="0" fontId="17" fillId="0" borderId="10" xfId="1" applyFont="1" applyBorder="1" applyAlignment="1" applyProtection="1">
      <alignment horizontal="center" vertical="center" wrapText="1" shrinkToFit="1"/>
      <protection locked="0"/>
    </xf>
    <xf numFmtId="2" fontId="17" fillId="0" borderId="10" xfId="1" applyNumberFormat="1" applyFont="1" applyBorder="1" applyAlignment="1" applyProtection="1">
      <alignment horizontal="center" vertical="center" wrapText="1"/>
      <protection locked="0"/>
    </xf>
    <xf numFmtId="169" fontId="17" fillId="0" borderId="10" xfId="1" applyNumberFormat="1" applyFont="1" applyBorder="1" applyAlignment="1" applyProtection="1">
      <alignment horizontal="center" vertical="center" wrapText="1"/>
      <protection locked="0"/>
    </xf>
    <xf numFmtId="0" fontId="17" fillId="0" borderId="10" xfId="1" applyFont="1" applyBorder="1" applyAlignment="1">
      <alignment horizontal="center" vertical="center" wrapText="1"/>
    </xf>
    <xf numFmtId="16" fontId="17" fillId="0" borderId="10" xfId="1" applyNumberFormat="1" applyFont="1" applyBorder="1" applyAlignment="1" applyProtection="1">
      <alignment horizontal="center" vertical="center" wrapText="1"/>
      <protection locked="0"/>
    </xf>
    <xf numFmtId="169" fontId="17" fillId="0" borderId="12" xfId="1" applyNumberFormat="1" applyFont="1" applyBorder="1" applyAlignment="1">
      <alignment horizontal="center" vertical="center" wrapText="1"/>
    </xf>
    <xf numFmtId="0" fontId="18" fillId="0" borderId="15" xfId="1" applyFont="1" applyBorder="1" applyAlignment="1" applyProtection="1">
      <alignment horizontal="center" vertical="center" wrapText="1"/>
      <protection locked="0"/>
    </xf>
    <xf numFmtId="0" fontId="18" fillId="0" borderId="16" xfId="1" applyFont="1" applyBorder="1" applyAlignment="1" applyProtection="1">
      <alignment horizontal="center" vertical="center" wrapText="1"/>
      <protection locked="0"/>
    </xf>
    <xf numFmtId="169" fontId="18" fillId="0" borderId="16" xfId="1" applyNumberFormat="1" applyFont="1" applyBorder="1" applyAlignment="1" applyProtection="1">
      <alignment horizontal="center" vertical="center" wrapText="1"/>
      <protection locked="0"/>
    </xf>
    <xf numFmtId="2" fontId="18" fillId="0" borderId="16" xfId="1" applyNumberFormat="1" applyFont="1" applyBorder="1" applyAlignment="1" applyProtection="1">
      <alignment horizontal="center" vertical="center" wrapText="1"/>
      <protection locked="0"/>
    </xf>
    <xf numFmtId="0" fontId="18" fillId="0" borderId="16" xfId="1" applyFont="1" applyBorder="1" applyAlignment="1">
      <alignment horizontal="center" vertical="center" wrapText="1"/>
    </xf>
    <xf numFmtId="16" fontId="18" fillId="0" borderId="16" xfId="1" applyNumberFormat="1" applyFont="1" applyBorder="1" applyAlignment="1" applyProtection="1">
      <alignment horizontal="center" vertical="center" wrapText="1"/>
      <protection locked="0"/>
    </xf>
    <xf numFmtId="1" fontId="18" fillId="0" borderId="16" xfId="1" applyNumberFormat="1" applyFont="1" applyBorder="1" applyAlignment="1" applyProtection="1">
      <alignment horizontal="center" vertical="center" wrapText="1"/>
      <protection locked="0"/>
    </xf>
    <xf numFmtId="0" fontId="19" fillId="0" borderId="16" xfId="1" applyFont="1" applyBorder="1" applyAlignment="1">
      <alignment horizontal="center" vertical="center" wrapText="1"/>
    </xf>
    <xf numFmtId="169" fontId="18" fillId="0" borderId="39" xfId="1" applyNumberFormat="1" applyFont="1" applyBorder="1" applyAlignment="1">
      <alignment horizontal="center" vertical="center" wrapText="1"/>
    </xf>
    <xf numFmtId="0" fontId="16" fillId="2" borderId="6" xfId="0" applyFont="1" applyFill="1" applyBorder="1" applyAlignment="1">
      <alignment vertical="center" wrapText="1"/>
    </xf>
    <xf numFmtId="0" fontId="9" fillId="8" borderId="0" xfId="0" applyFont="1" applyFill="1" applyAlignment="1">
      <alignment vertical="center"/>
    </xf>
    <xf numFmtId="0" fontId="15" fillId="0" borderId="20" xfId="1" applyFont="1" applyBorder="1" applyAlignment="1" applyProtection="1">
      <alignment horizontal="center" vertical="center" wrapText="1"/>
      <protection locked="0"/>
    </xf>
    <xf numFmtId="0" fontId="22" fillId="0" borderId="18" xfId="1" applyFont="1" applyBorder="1" applyAlignment="1" applyProtection="1">
      <alignment horizontal="center" vertical="center" wrapText="1"/>
      <protection locked="0"/>
    </xf>
    <xf numFmtId="0" fontId="17" fillId="0" borderId="18" xfId="1" applyFont="1" applyBorder="1" applyAlignment="1" applyProtection="1">
      <alignment horizontal="center" vertical="center" wrapText="1"/>
      <protection locked="0"/>
    </xf>
    <xf numFmtId="2" fontId="15" fillId="0" borderId="18" xfId="1" applyNumberFormat="1" applyFont="1" applyBorder="1" applyAlignment="1" applyProtection="1">
      <alignment horizontal="center" vertical="center" wrapText="1"/>
      <protection locked="0"/>
    </xf>
    <xf numFmtId="16" fontId="15" fillId="0" borderId="18" xfId="1" applyNumberFormat="1" applyFont="1" applyBorder="1" applyAlignment="1" applyProtection="1">
      <alignment horizontal="center" vertical="center" wrapText="1"/>
      <protection locked="0"/>
    </xf>
    <xf numFmtId="0" fontId="15" fillId="0" borderId="18" xfId="1" applyFont="1" applyBorder="1" applyAlignment="1">
      <alignment horizontal="center" vertical="center" wrapText="1"/>
    </xf>
    <xf numFmtId="169" fontId="15" fillId="0" borderId="18" xfId="1" applyNumberFormat="1" applyFont="1" applyBorder="1" applyAlignment="1" applyProtection="1">
      <alignment horizontal="center" vertical="center" wrapText="1"/>
      <protection locked="0"/>
    </xf>
    <xf numFmtId="169" fontId="15" fillId="0" borderId="37" xfId="1" applyNumberFormat="1" applyFont="1" applyBorder="1" applyAlignment="1">
      <alignment horizontal="center" vertical="center" wrapText="1"/>
    </xf>
    <xf numFmtId="0" fontId="16" fillId="0" borderId="17" xfId="0" applyFont="1" applyBorder="1" applyAlignment="1">
      <alignment vertical="center"/>
    </xf>
    <xf numFmtId="0" fontId="18" fillId="0" borderId="18" xfId="1" applyFont="1" applyBorder="1" applyAlignment="1" applyProtection="1">
      <alignment horizontal="center" vertical="center" wrapText="1"/>
      <protection locked="0"/>
    </xf>
    <xf numFmtId="0" fontId="15" fillId="0" borderId="15" xfId="1" applyFont="1" applyBorder="1" applyAlignment="1" applyProtection="1">
      <alignment horizontal="center" vertical="center" wrapText="1"/>
      <protection locked="0"/>
    </xf>
    <xf numFmtId="0" fontId="15" fillId="0" borderId="16" xfId="1" applyFont="1" applyBorder="1" applyAlignment="1" applyProtection="1">
      <alignment horizontal="center" vertical="center" wrapText="1"/>
      <protection locked="0"/>
    </xf>
    <xf numFmtId="0" fontId="15" fillId="0" borderId="38" xfId="1" applyFont="1" applyBorder="1" applyAlignment="1" applyProtection="1">
      <alignment horizontal="center" vertical="center" wrapText="1"/>
      <protection locked="0"/>
    </xf>
    <xf numFmtId="0" fontId="22" fillId="0" borderId="16" xfId="1" applyFont="1" applyBorder="1" applyAlignment="1" applyProtection="1">
      <alignment horizontal="center" vertical="center" wrapText="1"/>
      <protection locked="0"/>
    </xf>
    <xf numFmtId="2" fontId="15" fillId="0" borderId="16" xfId="1" applyNumberFormat="1" applyFont="1" applyBorder="1" applyAlignment="1" applyProtection="1">
      <alignment horizontal="center" vertical="center" wrapText="1"/>
      <protection locked="0"/>
    </xf>
    <xf numFmtId="16" fontId="15" fillId="0" borderId="16" xfId="1" applyNumberFormat="1" applyFont="1" applyBorder="1" applyAlignment="1" applyProtection="1">
      <alignment horizontal="center" vertical="center" wrapText="1"/>
      <protection locked="0"/>
    </xf>
    <xf numFmtId="0" fontId="15" fillId="0" borderId="16" xfId="1" applyFont="1" applyBorder="1" applyAlignment="1">
      <alignment horizontal="center" vertical="center" wrapText="1"/>
    </xf>
    <xf numFmtId="169" fontId="15" fillId="0" borderId="16" xfId="1" applyNumberFormat="1" applyFont="1" applyBorder="1" applyAlignment="1" applyProtection="1">
      <alignment horizontal="center" vertical="center" wrapText="1"/>
      <protection locked="0"/>
    </xf>
    <xf numFmtId="169" fontId="15" fillId="0" borderId="39" xfId="1" applyNumberFormat="1" applyFont="1" applyBorder="1" applyAlignment="1">
      <alignment horizontal="center" vertical="center" wrapText="1"/>
    </xf>
    <xf numFmtId="1" fontId="16" fillId="0" borderId="1" xfId="1" applyNumberFormat="1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172" fontId="16" fillId="0" borderId="16" xfId="0" applyNumberFormat="1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172" fontId="16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6" fillId="0" borderId="1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 wrapText="1"/>
    </xf>
    <xf numFmtId="0" fontId="18" fillId="0" borderId="10" xfId="1" applyFont="1" applyBorder="1" applyAlignment="1" applyProtection="1">
      <alignment horizontal="center" vertical="center" wrapText="1"/>
      <protection locked="0"/>
    </xf>
    <xf numFmtId="0" fontId="15" fillId="0" borderId="40" xfId="1" applyFont="1" applyBorder="1" applyAlignment="1" applyProtection="1">
      <alignment horizontal="center" vertical="center" wrapText="1"/>
      <protection locked="0"/>
    </xf>
    <xf numFmtId="0" fontId="15" fillId="0" borderId="14" xfId="1" applyFont="1" applyBorder="1" applyAlignment="1" applyProtection="1">
      <alignment horizontal="center" vertical="center" wrapText="1"/>
      <protection locked="0"/>
    </xf>
    <xf numFmtId="0" fontId="15" fillId="0" borderId="13" xfId="1" applyFont="1" applyBorder="1" applyAlignment="1" applyProtection="1">
      <alignment horizontal="center" vertical="center" wrapText="1"/>
      <protection locked="0"/>
    </xf>
    <xf numFmtId="16" fontId="15" fillId="0" borderId="14" xfId="1" applyNumberFormat="1" applyFont="1" applyBorder="1" applyAlignment="1" applyProtection="1">
      <alignment horizontal="center" vertical="center" wrapText="1"/>
      <protection locked="0"/>
    </xf>
    <xf numFmtId="0" fontId="15" fillId="0" borderId="14" xfId="1" applyFont="1" applyBorder="1" applyAlignment="1">
      <alignment horizontal="center" vertical="center" wrapText="1"/>
    </xf>
    <xf numFmtId="169" fontId="15" fillId="0" borderId="14" xfId="1" applyNumberFormat="1" applyFont="1" applyBorder="1" applyAlignment="1" applyProtection="1">
      <alignment horizontal="center" vertical="center" wrapText="1"/>
      <protection locked="0"/>
    </xf>
    <xf numFmtId="169" fontId="15" fillId="0" borderId="41" xfId="1" applyNumberFormat="1" applyFont="1" applyBorder="1" applyAlignment="1">
      <alignment horizontal="center" vertical="center" wrapText="1"/>
    </xf>
    <xf numFmtId="0" fontId="17" fillId="0" borderId="23" xfId="1" applyFont="1" applyBorder="1" applyAlignment="1" applyProtection="1">
      <alignment horizontal="center" vertical="center" wrapText="1"/>
      <protection locked="0"/>
    </xf>
    <xf numFmtId="0" fontId="17" fillId="0" borderId="24" xfId="1" applyFont="1" applyBorder="1" applyAlignment="1" applyProtection="1">
      <alignment horizontal="center" vertical="center" wrapText="1"/>
      <protection locked="0"/>
    </xf>
    <xf numFmtId="0" fontId="15" fillId="0" borderId="24" xfId="1" applyFont="1" applyBorder="1" applyAlignment="1" applyProtection="1">
      <alignment horizontal="center" vertical="center" wrapText="1"/>
      <protection locked="0"/>
    </xf>
    <xf numFmtId="16" fontId="15" fillId="0" borderId="24" xfId="1" applyNumberFormat="1" applyFont="1" applyBorder="1" applyAlignment="1" applyProtection="1">
      <alignment horizontal="center" vertical="center" wrapText="1"/>
      <protection locked="0"/>
    </xf>
    <xf numFmtId="0" fontId="15" fillId="0" borderId="24" xfId="1" applyFont="1" applyBorder="1" applyAlignment="1">
      <alignment horizontal="center" vertical="center" wrapText="1"/>
    </xf>
    <xf numFmtId="169" fontId="15" fillId="0" borderId="24" xfId="1" applyNumberFormat="1" applyFont="1" applyBorder="1" applyAlignment="1" applyProtection="1">
      <alignment horizontal="center" vertical="center" wrapText="1"/>
      <protection locked="0"/>
    </xf>
    <xf numFmtId="169" fontId="15" fillId="0" borderId="25" xfId="1" applyNumberFormat="1" applyFont="1" applyBorder="1" applyAlignment="1">
      <alignment horizontal="center" vertical="center" wrapText="1"/>
    </xf>
    <xf numFmtId="16" fontId="23" fillId="0" borderId="12" xfId="1" applyNumberFormat="1" applyFont="1" applyBorder="1" applyAlignment="1" applyProtection="1">
      <alignment horizontal="center" vertical="center" wrapText="1"/>
      <protection locked="0"/>
    </xf>
    <xf numFmtId="0" fontId="16" fillId="0" borderId="42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2" fontId="15" fillId="0" borderId="14" xfId="1" applyNumberFormat="1" applyFont="1" applyBorder="1" applyAlignment="1" applyProtection="1">
      <alignment horizontal="center" vertical="center" wrapText="1"/>
      <protection locked="0"/>
    </xf>
    <xf numFmtId="0" fontId="15" fillId="0" borderId="23" xfId="1" applyFont="1" applyBorder="1" applyAlignment="1" applyProtection="1">
      <alignment horizontal="center" vertical="center" wrapText="1"/>
      <protection locked="0"/>
    </xf>
    <xf numFmtId="2" fontId="15" fillId="0" borderId="24" xfId="1" applyNumberFormat="1" applyFont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>
      <alignment vertical="center"/>
    </xf>
    <xf numFmtId="0" fontId="15" fillId="0" borderId="9" xfId="4" applyFont="1" applyBorder="1" applyAlignment="1" applyProtection="1">
      <alignment horizontal="center" vertical="center" wrapText="1"/>
      <protection locked="0"/>
    </xf>
    <xf numFmtId="0" fontId="15" fillId="0" borderId="10" xfId="4" applyFont="1" applyBorder="1" applyAlignment="1" applyProtection="1">
      <alignment horizontal="center" vertical="center" wrapText="1"/>
      <protection locked="0"/>
    </xf>
    <xf numFmtId="0" fontId="25" fillId="0" borderId="10" xfId="4" applyFont="1" applyBorder="1" applyAlignment="1" applyProtection="1">
      <alignment horizontal="center" vertical="center" wrapText="1"/>
      <protection locked="0"/>
    </xf>
    <xf numFmtId="169" fontId="15" fillId="0" borderId="12" xfId="4" applyNumberFormat="1" applyFont="1" applyBorder="1" applyAlignment="1">
      <alignment horizontal="center" vertical="center" wrapText="1"/>
    </xf>
    <xf numFmtId="0" fontId="26" fillId="0" borderId="10" xfId="4" applyFont="1" applyBorder="1" applyAlignment="1" applyProtection="1">
      <alignment horizontal="center" vertical="center" wrapText="1"/>
      <protection locked="0"/>
    </xf>
    <xf numFmtId="169" fontId="15" fillId="0" borderId="10" xfId="1" applyNumberFormat="1" applyFont="1" applyBorder="1" applyAlignment="1">
      <alignment horizontal="center" vertical="center" wrapText="1"/>
    </xf>
    <xf numFmtId="0" fontId="15" fillId="0" borderId="20" xfId="4" applyFont="1" applyBorder="1" applyAlignment="1" applyProtection="1">
      <alignment horizontal="center" vertical="center" wrapText="1"/>
      <protection locked="0"/>
    </xf>
    <xf numFmtId="0" fontId="15" fillId="0" borderId="18" xfId="4" applyFont="1" applyBorder="1" applyAlignment="1" applyProtection="1">
      <alignment horizontal="center" vertical="center" wrapText="1"/>
      <protection locked="0"/>
    </xf>
    <xf numFmtId="0" fontId="26" fillId="0" borderId="18" xfId="4" applyFont="1" applyBorder="1" applyAlignment="1" applyProtection="1">
      <alignment horizontal="center" vertical="center" wrapText="1"/>
      <protection locked="0"/>
    </xf>
    <xf numFmtId="169" fontId="15" fillId="0" borderId="37" xfId="4" applyNumberFormat="1" applyFont="1" applyBorder="1" applyAlignment="1">
      <alignment horizontal="center" vertical="center" wrapText="1"/>
    </xf>
    <xf numFmtId="0" fontId="15" fillId="0" borderId="15" xfId="4" applyFont="1" applyBorder="1" applyAlignment="1" applyProtection="1">
      <alignment horizontal="center" vertical="center" wrapText="1"/>
      <protection locked="0"/>
    </xf>
    <xf numFmtId="0" fontId="15" fillId="0" borderId="16" xfId="4" applyFont="1" applyBorder="1" applyAlignment="1" applyProtection="1">
      <alignment horizontal="center" vertical="center" wrapText="1"/>
      <protection locked="0"/>
    </xf>
    <xf numFmtId="0" fontId="26" fillId="0" borderId="16" xfId="4" applyFont="1" applyBorder="1" applyAlignment="1" applyProtection="1">
      <alignment horizontal="center" vertical="center" wrapText="1"/>
      <protection locked="0"/>
    </xf>
    <xf numFmtId="169" fontId="15" fillId="0" borderId="16" xfId="1" applyNumberFormat="1" applyFont="1" applyBorder="1" applyAlignment="1">
      <alignment horizontal="center" vertical="center" wrapText="1"/>
    </xf>
    <xf numFmtId="169" fontId="15" fillId="0" borderId="39" xfId="4" applyNumberFormat="1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172" fontId="9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2" fillId="4" borderId="20" xfId="1" applyFont="1" applyFill="1" applyBorder="1" applyAlignment="1" applyProtection="1">
      <alignment horizontal="center" vertical="center" wrapText="1"/>
      <protection locked="0"/>
    </xf>
    <xf numFmtId="0" fontId="2" fillId="4" borderId="18" xfId="1" applyFont="1" applyFill="1" applyBorder="1" applyAlignment="1" applyProtection="1">
      <alignment horizontal="center" vertical="center" wrapText="1"/>
      <protection locked="0"/>
    </xf>
    <xf numFmtId="0" fontId="7" fillId="4" borderId="18" xfId="1" applyFont="1" applyFill="1" applyBorder="1" applyAlignment="1" applyProtection="1">
      <alignment horizontal="center" vertical="center" wrapText="1"/>
      <protection locked="0"/>
    </xf>
    <xf numFmtId="0" fontId="14" fillId="4" borderId="18" xfId="1" applyFont="1" applyFill="1" applyBorder="1" applyAlignment="1" applyProtection="1">
      <alignment horizontal="center" vertical="center" wrapText="1"/>
      <protection locked="0"/>
    </xf>
    <xf numFmtId="16" fontId="2" fillId="4" borderId="18" xfId="1" applyNumberFormat="1" applyFont="1" applyFill="1" applyBorder="1" applyAlignment="1" applyProtection="1">
      <alignment horizontal="center" vertical="center" wrapText="1"/>
      <protection locked="0"/>
    </xf>
    <xf numFmtId="0" fontId="2" fillId="4" borderId="18" xfId="1" applyFont="1" applyFill="1" applyBorder="1" applyAlignment="1">
      <alignment horizontal="center" vertical="center" wrapText="1"/>
    </xf>
    <xf numFmtId="169" fontId="2" fillId="4" borderId="18" xfId="1" applyNumberFormat="1" applyFont="1" applyFill="1" applyBorder="1" applyAlignment="1" applyProtection="1">
      <alignment horizontal="center" vertical="center" wrapText="1"/>
      <protection locked="0"/>
    </xf>
    <xf numFmtId="169" fontId="2" fillId="4" borderId="37" xfId="1" applyNumberFormat="1" applyFont="1" applyFill="1" applyBorder="1" applyAlignment="1">
      <alignment horizontal="center" vertical="center" wrapText="1"/>
    </xf>
    <xf numFmtId="0" fontId="2" fillId="5" borderId="15" xfId="1" applyFont="1" applyFill="1" applyBorder="1" applyAlignment="1" applyProtection="1">
      <alignment horizontal="center" vertical="center" wrapText="1"/>
      <protection locked="0"/>
    </xf>
    <xf numFmtId="0" fontId="2" fillId="5" borderId="16" xfId="1" applyFont="1" applyFill="1" applyBorder="1" applyAlignment="1" applyProtection="1">
      <alignment horizontal="center" vertical="center" wrapText="1"/>
      <protection locked="0"/>
    </xf>
    <xf numFmtId="0" fontId="7" fillId="5" borderId="16" xfId="1" applyFont="1" applyFill="1" applyBorder="1" applyAlignment="1" applyProtection="1">
      <alignment horizontal="center" vertical="center" wrapText="1"/>
      <protection locked="0"/>
    </xf>
    <xf numFmtId="0" fontId="2" fillId="5" borderId="38" xfId="1" applyFont="1" applyFill="1" applyBorder="1" applyAlignment="1" applyProtection="1">
      <alignment horizontal="center" vertical="center" wrapText="1"/>
      <protection locked="0"/>
    </xf>
    <xf numFmtId="0" fontId="14" fillId="5" borderId="16" xfId="1" applyFont="1" applyFill="1" applyBorder="1" applyAlignment="1" applyProtection="1">
      <alignment horizontal="center" vertical="center" wrapText="1"/>
      <protection locked="0"/>
    </xf>
    <xf numFmtId="2" fontId="2" fillId="5" borderId="16" xfId="1" applyNumberFormat="1" applyFont="1" applyFill="1" applyBorder="1" applyAlignment="1" applyProtection="1">
      <alignment horizontal="center" vertical="center" wrapText="1"/>
      <protection locked="0"/>
    </xf>
    <xf numFmtId="16" fontId="2" fillId="5" borderId="16" xfId="1" applyNumberFormat="1" applyFont="1" applyFill="1" applyBorder="1" applyAlignment="1" applyProtection="1">
      <alignment horizontal="center" vertical="center" wrapText="1"/>
      <protection locked="0"/>
    </xf>
    <xf numFmtId="0" fontId="2" fillId="5" borderId="16" xfId="1" applyFont="1" applyFill="1" applyBorder="1" applyAlignment="1">
      <alignment horizontal="center" vertical="center" wrapText="1"/>
    </xf>
    <xf numFmtId="169" fontId="2" fillId="5" borderId="16" xfId="1" applyNumberFormat="1" applyFont="1" applyFill="1" applyBorder="1" applyAlignment="1" applyProtection="1">
      <alignment horizontal="center" vertical="center" wrapText="1"/>
      <protection locked="0"/>
    </xf>
    <xf numFmtId="169" fontId="2" fillId="5" borderId="39" xfId="1" applyNumberFormat="1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5" borderId="18" xfId="1" applyFont="1" applyFill="1" applyBorder="1" applyAlignment="1" applyProtection="1">
      <alignment horizontal="center" vertical="center" wrapText="1"/>
      <protection locked="0"/>
    </xf>
    <xf numFmtId="2" fontId="4" fillId="5" borderId="18" xfId="1" applyNumberFormat="1" applyFont="1" applyFill="1" applyBorder="1" applyAlignment="1" applyProtection="1">
      <alignment horizontal="center" vertical="center" wrapText="1"/>
      <protection locked="0"/>
    </xf>
    <xf numFmtId="2" fontId="14" fillId="4" borderId="34" xfId="1" applyNumberFormat="1" applyFont="1" applyFill="1" applyBorder="1" applyAlignment="1" applyProtection="1">
      <alignment horizontal="center" vertical="center" wrapText="1"/>
      <protection locked="0"/>
    </xf>
    <xf numFmtId="0" fontId="14" fillId="4" borderId="34" xfId="1" applyFont="1" applyFill="1" applyBorder="1" applyAlignment="1" applyProtection="1">
      <alignment horizontal="center" vertical="center" wrapText="1"/>
      <protection locked="0"/>
    </xf>
    <xf numFmtId="2" fontId="14" fillId="5" borderId="18" xfId="1" applyNumberFormat="1" applyFont="1" applyFill="1" applyBorder="1" applyAlignment="1" applyProtection="1">
      <alignment horizontal="center" vertical="center" wrapText="1"/>
      <protection locked="0"/>
    </xf>
    <xf numFmtId="2" fontId="14" fillId="4" borderId="18" xfId="1" applyNumberFormat="1" applyFont="1" applyFill="1" applyBorder="1" applyAlignment="1" applyProtection="1">
      <alignment horizontal="center" vertical="center" wrapText="1"/>
      <protection locked="0"/>
    </xf>
    <xf numFmtId="169" fontId="14" fillId="4" borderId="34" xfId="1" applyNumberFormat="1" applyFont="1" applyFill="1" applyBorder="1" applyAlignment="1" applyProtection="1">
      <alignment horizontal="center" vertical="center" wrapText="1"/>
      <protection locked="0"/>
    </xf>
    <xf numFmtId="0" fontId="13" fillId="4" borderId="33" xfId="0" applyFont="1" applyFill="1" applyBorder="1" applyAlignment="1">
      <alignment horizontal="center" vertical="center"/>
    </xf>
    <xf numFmtId="0" fontId="14" fillId="4" borderId="34" xfId="0" applyFont="1" applyFill="1" applyBorder="1" applyAlignment="1">
      <alignment horizontal="center" vertical="center"/>
    </xf>
    <xf numFmtId="0" fontId="14" fillId="4" borderId="34" xfId="1" applyFont="1" applyFill="1" applyBorder="1" applyAlignment="1">
      <alignment horizontal="center" vertical="center" wrapText="1"/>
    </xf>
    <xf numFmtId="2" fontId="28" fillId="4" borderId="10" xfId="0" applyNumberFormat="1" applyFont="1" applyFill="1" applyBorder="1" applyAlignment="1">
      <alignment horizontal="center" vertical="center"/>
    </xf>
    <xf numFmtId="169" fontId="14" fillId="5" borderId="18" xfId="1" applyNumberFormat="1" applyFont="1" applyFill="1" applyBorder="1" applyAlignment="1" applyProtection="1">
      <alignment horizontal="center" vertical="center" wrapText="1"/>
      <protection locked="0"/>
    </xf>
    <xf numFmtId="0" fontId="13" fillId="5" borderId="33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/>
    </xf>
    <xf numFmtId="0" fontId="14" fillId="5" borderId="18" xfId="1" applyFont="1" applyFill="1" applyBorder="1" applyAlignment="1">
      <alignment horizontal="center" vertical="center" wrapText="1"/>
    </xf>
    <xf numFmtId="2" fontId="28" fillId="5" borderId="18" xfId="0" applyNumberFormat="1" applyFont="1" applyFill="1" applyBorder="1" applyAlignment="1">
      <alignment horizontal="center" vertical="center"/>
    </xf>
    <xf numFmtId="49" fontId="32" fillId="0" borderId="20" xfId="0" applyNumberFormat="1" applyFont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0" fontId="32" fillId="0" borderId="10" xfId="0" applyFont="1" applyBorder="1" applyAlignment="1" applyProtection="1">
      <alignment horizontal="left" vertical="center" wrapText="1"/>
      <protection locked="0"/>
    </xf>
    <xf numFmtId="0" fontId="32" fillId="0" borderId="34" xfId="3" applyNumberFormat="1" applyFont="1" applyFill="1" applyBorder="1" applyAlignment="1" applyProtection="1">
      <alignment horizontal="center" vertical="center"/>
      <protection locked="0"/>
    </xf>
    <xf numFmtId="1" fontId="32" fillId="0" borderId="34" xfId="3" applyNumberFormat="1" applyFont="1" applyFill="1" applyBorder="1" applyAlignment="1" applyProtection="1">
      <alignment horizontal="center" vertical="center" wrapText="1"/>
    </xf>
    <xf numFmtId="0" fontId="37" fillId="0" borderId="34" xfId="3" applyNumberFormat="1" applyFont="1" applyFill="1" applyBorder="1" applyAlignment="1" applyProtection="1">
      <alignment horizontal="center" vertical="center" wrapText="1"/>
      <protection locked="0"/>
    </xf>
    <xf numFmtId="1" fontId="32" fillId="0" borderId="34" xfId="3" applyNumberFormat="1" applyFont="1" applyFill="1" applyBorder="1" applyAlignment="1" applyProtection="1">
      <alignment horizontal="center" vertical="center" wrapText="1"/>
      <protection locked="0"/>
    </xf>
    <xf numFmtId="1" fontId="32" fillId="0" borderId="34" xfId="3" applyNumberFormat="1" applyFont="1" applyFill="1" applyBorder="1" applyAlignment="1" applyProtection="1">
      <alignment horizontal="center" vertical="center"/>
      <protection locked="0"/>
    </xf>
    <xf numFmtId="0" fontId="32" fillId="0" borderId="10" xfId="3" applyNumberFormat="1" applyFont="1" applyFill="1" applyBorder="1" applyAlignment="1" applyProtection="1">
      <alignment horizontal="center" vertical="center"/>
      <protection locked="0"/>
    </xf>
    <xf numFmtId="1" fontId="32" fillId="0" borderId="10" xfId="3" applyNumberFormat="1" applyFont="1" applyFill="1" applyBorder="1" applyAlignment="1" applyProtection="1">
      <alignment horizontal="center" vertical="center" wrapText="1"/>
    </xf>
    <xf numFmtId="0" fontId="37" fillId="0" borderId="10" xfId="3" applyNumberFormat="1" applyFont="1" applyFill="1" applyBorder="1" applyAlignment="1" applyProtection="1">
      <alignment horizontal="center" vertical="center" wrapText="1"/>
      <protection locked="0"/>
    </xf>
    <xf numFmtId="1" fontId="32" fillId="0" borderId="10" xfId="3" applyNumberFormat="1" applyFont="1" applyFill="1" applyBorder="1" applyAlignment="1" applyProtection="1">
      <alignment horizontal="center" vertical="center" wrapText="1"/>
      <protection locked="0"/>
    </xf>
    <xf numFmtId="1" fontId="32" fillId="0" borderId="10" xfId="3" applyNumberFormat="1" applyFont="1" applyFill="1" applyBorder="1" applyAlignment="1" applyProtection="1">
      <alignment horizontal="center" vertical="center"/>
      <protection locked="0"/>
    </xf>
    <xf numFmtId="0" fontId="32" fillId="0" borderId="12" xfId="0" applyFont="1" applyBorder="1" applyAlignment="1">
      <alignment horizontal="center" vertical="center"/>
    </xf>
    <xf numFmtId="1" fontId="32" fillId="0" borderId="10" xfId="3" applyNumberFormat="1" applyFont="1" applyFill="1" applyBorder="1" applyAlignment="1" applyProtection="1">
      <alignment horizontal="center" vertical="center"/>
    </xf>
    <xf numFmtId="168" fontId="32" fillId="0" borderId="10" xfId="2" applyNumberFormat="1" applyFont="1" applyBorder="1" applyAlignment="1" applyProtection="1">
      <alignment horizontal="center" vertical="center"/>
      <protection locked="0"/>
    </xf>
    <xf numFmtId="0" fontId="32" fillId="0" borderId="12" xfId="3" applyNumberFormat="1" applyFont="1" applyFill="1" applyBorder="1" applyAlignment="1" applyProtection="1">
      <alignment horizontal="center" vertical="center"/>
      <protection locked="0"/>
    </xf>
    <xf numFmtId="165" fontId="32" fillId="0" borderId="18" xfId="3" applyNumberFormat="1" applyFont="1" applyFill="1" applyBorder="1" applyAlignment="1" applyProtection="1">
      <alignment horizontal="center" vertical="center"/>
      <protection locked="0"/>
    </xf>
    <xf numFmtId="0" fontId="32" fillId="0" borderId="18" xfId="3" applyNumberFormat="1" applyFont="1" applyFill="1" applyBorder="1" applyAlignment="1" applyProtection="1">
      <alignment horizontal="center" vertical="center"/>
      <protection locked="0"/>
    </xf>
    <xf numFmtId="2" fontId="32" fillId="0" borderId="18" xfId="3" applyNumberFormat="1" applyFont="1" applyFill="1" applyBorder="1" applyAlignment="1" applyProtection="1">
      <alignment horizontal="center" vertical="center" wrapText="1"/>
      <protection locked="0"/>
    </xf>
    <xf numFmtId="1" fontId="32" fillId="0" borderId="18" xfId="3" applyNumberFormat="1" applyFont="1" applyFill="1" applyBorder="1" applyAlignment="1" applyProtection="1">
      <alignment horizontal="center" vertical="center" wrapText="1"/>
    </xf>
    <xf numFmtId="0" fontId="34" fillId="0" borderId="18" xfId="3" applyNumberFormat="1" applyFont="1" applyFill="1" applyBorder="1" applyAlignment="1" applyProtection="1">
      <alignment horizontal="center" vertical="center"/>
      <protection locked="0"/>
    </xf>
    <xf numFmtId="166" fontId="34" fillId="0" borderId="18" xfId="3" applyNumberFormat="1" applyFont="1" applyFill="1" applyBorder="1" applyAlignment="1" applyProtection="1">
      <alignment horizontal="center" vertical="center"/>
      <protection locked="0"/>
    </xf>
    <xf numFmtId="1" fontId="32" fillId="0" borderId="18" xfId="3" applyNumberFormat="1" applyFont="1" applyFill="1" applyBorder="1" applyAlignment="1" applyProtection="1">
      <alignment horizontal="center" vertical="center"/>
      <protection locked="0"/>
    </xf>
    <xf numFmtId="167" fontId="33" fillId="0" borderId="0" xfId="0" applyNumberFormat="1" applyFont="1" applyAlignment="1">
      <alignment horizontal="center" vertical="center"/>
    </xf>
    <xf numFmtId="170" fontId="33" fillId="0" borderId="0" xfId="0" applyNumberFormat="1" applyFont="1" applyAlignment="1">
      <alignment horizontal="center" vertical="center"/>
    </xf>
    <xf numFmtId="0" fontId="33" fillId="3" borderId="0" xfId="0" applyFont="1" applyFill="1" applyAlignment="1">
      <alignment vertical="center"/>
    </xf>
    <xf numFmtId="165" fontId="32" fillId="0" borderId="10" xfId="3" applyNumberFormat="1" applyFont="1" applyFill="1" applyBorder="1" applyAlignment="1" applyProtection="1">
      <alignment horizontal="center" vertical="center"/>
      <protection locked="0"/>
    </xf>
    <xf numFmtId="169" fontId="32" fillId="0" borderId="10" xfId="3" applyNumberFormat="1" applyFont="1" applyFill="1" applyBorder="1" applyAlignment="1" applyProtection="1">
      <alignment horizontal="center" vertical="center" wrapText="1"/>
      <protection locked="0"/>
    </xf>
    <xf numFmtId="2" fontId="32" fillId="0" borderId="10" xfId="3" applyNumberFormat="1" applyFont="1" applyFill="1" applyBorder="1" applyAlignment="1" applyProtection="1">
      <alignment horizontal="center" vertical="center" wrapText="1"/>
      <protection locked="0"/>
    </xf>
    <xf numFmtId="0" fontId="40" fillId="0" borderId="10" xfId="3" applyNumberFormat="1" applyFont="1" applyFill="1" applyBorder="1" applyAlignment="1" applyProtection="1">
      <alignment horizontal="center" vertical="center" wrapText="1"/>
      <protection locked="0"/>
    </xf>
    <xf numFmtId="0" fontId="37" fillId="0" borderId="10" xfId="3" applyNumberFormat="1" applyFont="1" applyFill="1" applyBorder="1" applyAlignment="1" applyProtection="1">
      <alignment horizontal="center" vertical="center"/>
      <protection locked="0"/>
    </xf>
    <xf numFmtId="166" fontId="34" fillId="0" borderId="10" xfId="3" applyNumberFormat="1" applyFont="1" applyFill="1" applyBorder="1" applyAlignment="1" applyProtection="1">
      <alignment horizontal="center" vertical="center"/>
      <protection locked="0"/>
    </xf>
    <xf numFmtId="168" fontId="32" fillId="0" borderId="12" xfId="2" applyNumberFormat="1" applyFont="1" applyBorder="1" applyAlignment="1" applyProtection="1">
      <alignment horizontal="center" vertical="center"/>
      <protection locked="0"/>
    </xf>
    <xf numFmtId="1" fontId="32" fillId="0" borderId="18" xfId="3" applyNumberFormat="1" applyFont="1" applyFill="1" applyBorder="1" applyAlignment="1" applyProtection="1">
      <alignment horizontal="center" vertical="center" wrapText="1"/>
      <protection locked="0"/>
    </xf>
    <xf numFmtId="1" fontId="32" fillId="0" borderId="18" xfId="3" applyNumberFormat="1" applyFont="1" applyFill="1" applyBorder="1" applyAlignment="1" applyProtection="1">
      <alignment horizontal="center" vertical="center"/>
    </xf>
    <xf numFmtId="168" fontId="37" fillId="0" borderId="12" xfId="2" applyNumberFormat="1" applyFont="1" applyBorder="1" applyAlignment="1" applyProtection="1">
      <alignment horizontal="center" vertical="center"/>
      <protection locked="0"/>
    </xf>
    <xf numFmtId="0" fontId="37" fillId="0" borderId="12" xfId="0" applyFont="1" applyBorder="1" applyAlignment="1">
      <alignment horizontal="center" vertical="center"/>
    </xf>
    <xf numFmtId="0" fontId="33" fillId="4" borderId="0" xfId="0" applyFont="1" applyFill="1" applyAlignment="1">
      <alignment vertical="center"/>
    </xf>
    <xf numFmtId="49" fontId="34" fillId="0" borderId="9" xfId="0" applyNumberFormat="1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left" vertical="center" wrapText="1"/>
      <protection locked="0"/>
    </xf>
    <xf numFmtId="0" fontId="34" fillId="0" borderId="10" xfId="3" applyNumberFormat="1" applyFont="1" applyFill="1" applyBorder="1" applyAlignment="1" applyProtection="1">
      <alignment horizontal="center" vertical="center"/>
      <protection locked="0"/>
    </xf>
    <xf numFmtId="0" fontId="34" fillId="0" borderId="13" xfId="3" applyNumberFormat="1" applyFont="1" applyFill="1" applyBorder="1" applyAlignment="1" applyProtection="1">
      <alignment horizontal="left" vertical="center"/>
      <protection locked="0"/>
    </xf>
    <xf numFmtId="0" fontId="34" fillId="0" borderId="14" xfId="3" applyNumberFormat="1" applyFont="1" applyFill="1" applyBorder="1" applyAlignment="1" applyProtection="1">
      <alignment horizontal="center" vertical="center"/>
      <protection locked="0"/>
    </xf>
    <xf numFmtId="165" fontId="32" fillId="0" borderId="12" xfId="3" applyNumberFormat="1" applyFont="1" applyFill="1" applyBorder="1" applyAlignment="1" applyProtection="1">
      <alignment horizontal="center" vertical="center"/>
      <protection locked="0"/>
    </xf>
    <xf numFmtId="167" fontId="33" fillId="0" borderId="0" xfId="0" applyNumberFormat="1" applyFont="1" applyAlignment="1">
      <alignment vertical="center"/>
    </xf>
    <xf numFmtId="0" fontId="34" fillId="5" borderId="10" xfId="3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center"/>
    </xf>
    <xf numFmtId="49" fontId="34" fillId="0" borderId="15" xfId="0" applyNumberFormat="1" applyFont="1" applyBorder="1" applyAlignment="1" applyProtection="1">
      <alignment horizontal="center" vertical="center"/>
      <protection locked="0"/>
    </xf>
    <xf numFmtId="0" fontId="34" fillId="0" borderId="16" xfId="0" applyFont="1" applyBorder="1" applyAlignment="1" applyProtection="1">
      <alignment horizontal="left" vertical="center" wrapText="1"/>
      <protection locked="0"/>
    </xf>
    <xf numFmtId="0" fontId="34" fillId="5" borderId="16" xfId="3" applyNumberFormat="1" applyFont="1" applyFill="1" applyBorder="1" applyAlignment="1" applyProtection="1">
      <alignment horizontal="center" vertical="center"/>
      <protection locked="0"/>
    </xf>
    <xf numFmtId="0" fontId="33" fillId="6" borderId="0" xfId="0" applyFont="1" applyFill="1" applyAlignment="1">
      <alignment vertical="center"/>
    </xf>
    <xf numFmtId="167" fontId="33" fillId="0" borderId="0" xfId="0" applyNumberFormat="1" applyFont="1" applyAlignment="1">
      <alignment horizontal="center"/>
    </xf>
    <xf numFmtId="166" fontId="33" fillId="0" borderId="0" xfId="0" applyNumberFormat="1" applyFont="1" applyAlignment="1">
      <alignment horizontal="center"/>
    </xf>
    <xf numFmtId="175" fontId="32" fillId="0" borderId="10" xfId="3" applyNumberFormat="1" applyFont="1" applyFill="1" applyBorder="1" applyAlignment="1" applyProtection="1">
      <alignment horizontal="center" vertical="center"/>
      <protection locked="0"/>
    </xf>
    <xf numFmtId="0" fontId="33" fillId="10" borderId="0" xfId="0" applyFon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167" fontId="33" fillId="7" borderId="0" xfId="0" applyNumberFormat="1" applyFont="1" applyFill="1" applyAlignment="1">
      <alignment horizontal="center" vertical="center"/>
    </xf>
    <xf numFmtId="170" fontId="33" fillId="7" borderId="0" xfId="0" applyNumberFormat="1" applyFont="1" applyFill="1" applyAlignment="1">
      <alignment horizontal="center" vertical="center"/>
    </xf>
    <xf numFmtId="0" fontId="33" fillId="7" borderId="0" xfId="0" applyFont="1" applyFill="1" applyAlignment="1">
      <alignment vertical="center"/>
    </xf>
    <xf numFmtId="0" fontId="33" fillId="7" borderId="0" xfId="0" applyFont="1" applyFill="1" applyAlignment="1">
      <alignment horizontal="center" vertical="center"/>
    </xf>
    <xf numFmtId="0" fontId="34" fillId="7" borderId="9" xfId="0" applyFont="1" applyFill="1" applyBorder="1" applyAlignment="1" applyProtection="1">
      <alignment horizontal="center" vertical="center"/>
      <protection locked="0"/>
    </xf>
    <xf numFmtId="0" fontId="34" fillId="7" borderId="10" xfId="0" applyFont="1" applyFill="1" applyBorder="1" applyAlignment="1" applyProtection="1">
      <alignment horizontal="left" vertical="center" wrapText="1"/>
      <protection locked="0"/>
    </xf>
    <xf numFmtId="0" fontId="34" fillId="7" borderId="10" xfId="3" applyNumberFormat="1" applyFont="1" applyFill="1" applyBorder="1" applyAlignment="1" applyProtection="1">
      <alignment horizontal="center" vertical="center"/>
      <protection locked="0"/>
    </xf>
    <xf numFmtId="0" fontId="33" fillId="2" borderId="0" xfId="0" applyFont="1" applyFill="1" applyAlignment="1">
      <alignment vertical="center"/>
    </xf>
    <xf numFmtId="49" fontId="34" fillId="7" borderId="9" xfId="0" applyNumberFormat="1" applyFont="1" applyFill="1" applyBorder="1" applyAlignment="1" applyProtection="1">
      <alignment horizontal="center" vertical="center"/>
      <protection locked="0"/>
    </xf>
    <xf numFmtId="0" fontId="28" fillId="0" borderId="0" xfId="0" applyFont="1" applyAlignment="1">
      <alignment vertical="center"/>
    </xf>
    <xf numFmtId="2" fontId="37" fillId="0" borderId="10" xfId="3" applyNumberFormat="1" applyFont="1" applyFill="1" applyBorder="1" applyAlignment="1" applyProtection="1">
      <alignment horizontal="center" vertical="center" wrapText="1"/>
      <protection locked="0"/>
    </xf>
    <xf numFmtId="0" fontId="34" fillId="2" borderId="10" xfId="0" applyFont="1" applyFill="1" applyBorder="1" applyAlignment="1" applyProtection="1">
      <alignment horizontal="left" vertical="center" wrapText="1"/>
      <protection locked="0"/>
    </xf>
    <xf numFmtId="0" fontId="41" fillId="10" borderId="0" xfId="0" applyFont="1" applyFill="1" applyAlignment="1">
      <alignment horizontal="center" vertical="center"/>
    </xf>
    <xf numFmtId="169" fontId="32" fillId="0" borderId="42" xfId="3" applyNumberFormat="1" applyFont="1" applyFill="1" applyBorder="1" applyAlignment="1" applyProtection="1">
      <alignment horizontal="center" vertical="center" wrapText="1"/>
      <protection locked="0"/>
    </xf>
    <xf numFmtId="0" fontId="43" fillId="0" borderId="10" xfId="3" applyNumberFormat="1" applyFont="1" applyFill="1" applyBorder="1" applyAlignment="1" applyProtection="1">
      <alignment horizontal="center" vertical="center"/>
      <protection locked="0"/>
    </xf>
    <xf numFmtId="0" fontId="32" fillId="0" borderId="14" xfId="3" applyNumberFormat="1" applyFont="1" applyFill="1" applyBorder="1" applyAlignment="1" applyProtection="1">
      <alignment horizontal="center" vertical="center"/>
      <protection locked="0"/>
    </xf>
    <xf numFmtId="2" fontId="32" fillId="0" borderId="14" xfId="3" applyNumberFormat="1" applyFont="1" applyFill="1" applyBorder="1" applyAlignment="1" applyProtection="1">
      <alignment horizontal="center" vertical="center" wrapText="1"/>
      <protection locked="0"/>
    </xf>
    <xf numFmtId="1" fontId="32" fillId="0" borderId="14" xfId="3" applyNumberFormat="1" applyFont="1" applyFill="1" applyBorder="1" applyAlignment="1" applyProtection="1">
      <alignment horizontal="center" vertical="center" wrapText="1"/>
    </xf>
    <xf numFmtId="1" fontId="32" fillId="0" borderId="14" xfId="3" applyNumberFormat="1" applyFont="1" applyFill="1" applyBorder="1" applyAlignment="1" applyProtection="1">
      <alignment horizontal="center" vertical="center"/>
    </xf>
    <xf numFmtId="165" fontId="32" fillId="0" borderId="42" xfId="3" applyNumberFormat="1" applyFont="1" applyFill="1" applyBorder="1" applyAlignment="1" applyProtection="1">
      <alignment horizontal="center" vertical="center"/>
      <protection locked="0"/>
    </xf>
    <xf numFmtId="0" fontId="33" fillId="10" borderId="0" xfId="0" applyFont="1" applyFill="1" applyAlignment="1">
      <alignment vertical="center"/>
    </xf>
    <xf numFmtId="165" fontId="32" fillId="0" borderId="34" xfId="3" applyNumberFormat="1" applyFont="1" applyFill="1" applyBorder="1" applyAlignment="1" applyProtection="1">
      <alignment horizontal="center" vertical="center"/>
      <protection locked="0"/>
    </xf>
    <xf numFmtId="2" fontId="32" fillId="0" borderId="34" xfId="3" applyNumberFormat="1" applyFont="1" applyFill="1" applyBorder="1" applyAlignment="1" applyProtection="1">
      <alignment horizontal="center" vertical="center" wrapText="1"/>
      <protection locked="0"/>
    </xf>
    <xf numFmtId="0" fontId="40" fillId="0" borderId="34" xfId="3" applyNumberFormat="1" applyFont="1" applyFill="1" applyBorder="1" applyAlignment="1" applyProtection="1">
      <alignment horizontal="center" vertical="center" wrapText="1"/>
      <protection locked="0"/>
    </xf>
    <xf numFmtId="1" fontId="32" fillId="0" borderId="34" xfId="3" applyNumberFormat="1" applyFont="1" applyFill="1" applyBorder="1" applyAlignment="1" applyProtection="1">
      <alignment horizontal="center" vertical="center"/>
    </xf>
    <xf numFmtId="0" fontId="39" fillId="0" borderId="10" xfId="0" applyFont="1" applyBorder="1" applyAlignment="1">
      <alignment horizontal="center" vertical="center"/>
    </xf>
    <xf numFmtId="169" fontId="39" fillId="0" borderId="10" xfId="0" applyNumberFormat="1" applyFont="1" applyBorder="1" applyAlignment="1" applyProtection="1">
      <alignment horizontal="center" vertical="center"/>
      <protection locked="0"/>
    </xf>
    <xf numFmtId="0" fontId="33" fillId="0" borderId="10" xfId="0" applyFont="1" applyBorder="1" applyAlignment="1">
      <alignment horizontal="center" vertical="center"/>
    </xf>
    <xf numFmtId="0" fontId="40" fillId="0" borderId="10" xfId="3" applyNumberFormat="1" applyFont="1" applyFill="1" applyBorder="1" applyAlignment="1" applyProtection="1">
      <alignment horizontal="center" vertical="center" wrapText="1" shrinkToFit="1"/>
      <protection locked="0"/>
    </xf>
    <xf numFmtId="0" fontId="39" fillId="0" borderId="12" xfId="0" applyFont="1" applyBorder="1" applyAlignment="1">
      <alignment horizontal="center" vertical="center"/>
    </xf>
    <xf numFmtId="167" fontId="32" fillId="0" borderId="10" xfId="3" applyNumberFormat="1" applyFont="1" applyFill="1" applyBorder="1" applyAlignment="1" applyProtection="1">
      <alignment horizontal="center" vertical="center"/>
    </xf>
    <xf numFmtId="169" fontId="32" fillId="0" borderId="34" xfId="3" applyNumberFormat="1" applyFont="1" applyFill="1" applyBorder="1" applyAlignment="1" applyProtection="1">
      <alignment horizontal="center" vertical="center" wrapText="1"/>
      <protection locked="0"/>
    </xf>
    <xf numFmtId="0" fontId="37" fillId="0" borderId="34" xfId="3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0" fontId="32" fillId="0" borderId="42" xfId="3" applyNumberFormat="1" applyFont="1" applyFill="1" applyBorder="1" applyAlignment="1" applyProtection="1">
      <alignment horizontal="center" vertical="center"/>
      <protection locked="0"/>
    </xf>
    <xf numFmtId="165" fontId="32" fillId="0" borderId="14" xfId="3" applyNumberFormat="1" applyFont="1" applyFill="1" applyBorder="1" applyAlignment="1" applyProtection="1">
      <alignment horizontal="center" vertical="center"/>
      <protection locked="0"/>
    </xf>
    <xf numFmtId="0" fontId="34" fillId="9" borderId="0" xfId="0" applyFont="1" applyFill="1" applyAlignment="1">
      <alignment vertical="center"/>
    </xf>
    <xf numFmtId="0" fontId="34" fillId="9" borderId="0" xfId="0" applyFont="1" applyFill="1" applyAlignment="1">
      <alignment horizontal="center" vertical="center"/>
    </xf>
    <xf numFmtId="2" fontId="32" fillId="0" borderId="13" xfId="3" applyNumberFormat="1" applyFont="1" applyFill="1" applyBorder="1" applyAlignment="1" applyProtection="1">
      <alignment horizontal="center" vertical="center" wrapText="1"/>
      <protection locked="0"/>
    </xf>
    <xf numFmtId="1" fontId="32" fillId="0" borderId="13" xfId="3" applyNumberFormat="1" applyFont="1" applyFill="1" applyBorder="1" applyAlignment="1" applyProtection="1">
      <alignment horizontal="center" vertical="center" wrapText="1"/>
    </xf>
    <xf numFmtId="0" fontId="44" fillId="0" borderId="10" xfId="3" applyNumberFormat="1" applyFont="1" applyFill="1" applyBorder="1" applyAlignment="1" applyProtection="1">
      <alignment horizontal="center" vertical="center"/>
      <protection locked="0"/>
    </xf>
    <xf numFmtId="1" fontId="32" fillId="0" borderId="16" xfId="3" applyNumberFormat="1" applyFont="1" applyFill="1" applyBorder="1" applyAlignment="1" applyProtection="1">
      <alignment horizontal="center" vertical="center" wrapText="1"/>
    </xf>
    <xf numFmtId="0" fontId="39" fillId="0" borderId="42" xfId="0" applyFont="1" applyBorder="1" applyAlignment="1">
      <alignment horizontal="center" vertical="center"/>
    </xf>
    <xf numFmtId="170" fontId="33" fillId="0" borderId="0" xfId="0" applyNumberFormat="1" applyFont="1" applyAlignment="1">
      <alignment vertical="center"/>
    </xf>
    <xf numFmtId="174" fontId="33" fillId="0" borderId="0" xfId="0" applyNumberFormat="1" applyFont="1" applyAlignment="1">
      <alignment vertical="center"/>
    </xf>
    <xf numFmtId="0" fontId="32" fillId="9" borderId="49" xfId="0" applyFont="1" applyFill="1" applyBorder="1" applyAlignment="1">
      <alignment horizontal="center" vertical="center"/>
    </xf>
    <xf numFmtId="166" fontId="28" fillId="0" borderId="10" xfId="3" applyNumberFormat="1" applyFont="1" applyFill="1" applyBorder="1" applyAlignment="1" applyProtection="1">
      <alignment horizontal="center" vertical="center"/>
      <protection locked="0"/>
    </xf>
    <xf numFmtId="1" fontId="44" fillId="0" borderId="10" xfId="3" applyNumberFormat="1" applyFont="1" applyFill="1" applyBorder="1" applyAlignment="1" applyProtection="1">
      <alignment horizontal="center" vertical="center" wrapText="1"/>
    </xf>
    <xf numFmtId="166" fontId="34" fillId="0" borderId="34" xfId="3" applyNumberFormat="1" applyFont="1" applyFill="1" applyBorder="1" applyAlignment="1" applyProtection="1">
      <alignment horizontal="center" vertical="center"/>
      <protection locked="0"/>
    </xf>
    <xf numFmtId="0" fontId="40" fillId="0" borderId="10" xfId="3" applyNumberFormat="1" applyFont="1" applyFill="1" applyBorder="1" applyAlignment="1" applyProtection="1">
      <alignment horizontal="center" vertical="center"/>
      <protection locked="0"/>
    </xf>
    <xf numFmtId="0" fontId="39" fillId="0" borderId="10" xfId="0" applyFont="1" applyBorder="1" applyAlignment="1" applyProtection="1">
      <alignment horizontal="center" vertical="center"/>
      <protection locked="0"/>
    </xf>
    <xf numFmtId="0" fontId="33" fillId="11" borderId="0" xfId="0" applyFont="1" applyFill="1" applyAlignment="1">
      <alignment horizontal="center" vertical="center"/>
    </xf>
    <xf numFmtId="0" fontId="40" fillId="0" borderId="18" xfId="3" applyNumberFormat="1" applyFont="1" applyFill="1" applyBorder="1" applyAlignment="1" applyProtection="1">
      <alignment horizontal="center" vertical="center" wrapText="1" shrinkToFit="1"/>
      <protection locked="0"/>
    </xf>
    <xf numFmtId="0" fontId="37" fillId="0" borderId="18" xfId="3" applyNumberFormat="1" applyFont="1" applyFill="1" applyBorder="1" applyAlignment="1" applyProtection="1">
      <alignment horizontal="center" vertical="center"/>
      <protection locked="0"/>
    </xf>
    <xf numFmtId="167" fontId="33" fillId="0" borderId="0" xfId="0" applyNumberFormat="1" applyFont="1" applyAlignment="1">
      <alignment horizontal="left" vertical="center"/>
    </xf>
    <xf numFmtId="0" fontId="33" fillId="11" borderId="0" xfId="0" applyFont="1" applyFill="1" applyAlignment="1">
      <alignment vertical="center"/>
    </xf>
    <xf numFmtId="2" fontId="32" fillId="0" borderId="10" xfId="3" applyNumberFormat="1" applyFont="1" applyFill="1" applyBorder="1" applyAlignment="1" applyProtection="1">
      <alignment horizontal="center" vertical="center"/>
      <protection locked="0"/>
    </xf>
    <xf numFmtId="165" fontId="32" fillId="0" borderId="37" xfId="3" applyNumberFormat="1" applyFont="1" applyFill="1" applyBorder="1" applyAlignment="1" applyProtection="1">
      <alignment horizontal="center" vertical="center"/>
      <protection locked="0"/>
    </xf>
    <xf numFmtId="1" fontId="33" fillId="0" borderId="10" xfId="0" applyNumberFormat="1" applyFont="1" applyBorder="1" applyAlignment="1">
      <alignment horizontal="center" vertical="center"/>
    </xf>
    <xf numFmtId="165" fontId="32" fillId="0" borderId="32" xfId="3" applyNumberFormat="1" applyFont="1" applyFill="1" applyBorder="1" applyAlignment="1" applyProtection="1">
      <alignment horizontal="center" vertical="center"/>
      <protection locked="0"/>
    </xf>
    <xf numFmtId="167" fontId="32" fillId="0" borderId="12" xfId="3" applyNumberFormat="1" applyFont="1" applyFill="1" applyBorder="1" applyAlignment="1" applyProtection="1">
      <alignment horizontal="center" vertical="center"/>
    </xf>
    <xf numFmtId="165" fontId="44" fillId="0" borderId="10" xfId="3" applyNumberFormat="1" applyFont="1" applyFill="1" applyBorder="1" applyAlignment="1" applyProtection="1">
      <alignment horizontal="center" vertical="center"/>
      <protection locked="0"/>
    </xf>
    <xf numFmtId="0" fontId="45" fillId="0" borderId="10" xfId="3" applyNumberFormat="1" applyFont="1" applyFill="1" applyBorder="1" applyAlignment="1" applyProtection="1">
      <alignment horizontal="center" vertical="center"/>
      <protection locked="0"/>
    </xf>
    <xf numFmtId="2" fontId="32" fillId="0" borderId="19" xfId="3" applyNumberFormat="1" applyFont="1" applyFill="1" applyBorder="1" applyAlignment="1" applyProtection="1">
      <alignment horizontal="center" vertical="center" wrapText="1"/>
      <protection locked="0"/>
    </xf>
    <xf numFmtId="0" fontId="37" fillId="0" borderId="19" xfId="3" applyNumberFormat="1" applyFont="1" applyFill="1" applyBorder="1" applyAlignment="1" applyProtection="1">
      <alignment horizontal="center" vertical="center"/>
      <protection locked="0"/>
    </xf>
    <xf numFmtId="1" fontId="32" fillId="0" borderId="10" xfId="0" applyNumberFormat="1" applyFont="1" applyBorder="1" applyAlignment="1" applyProtection="1">
      <alignment horizontal="center" vertical="center"/>
      <protection locked="0"/>
    </xf>
    <xf numFmtId="167" fontId="32" fillId="0" borderId="49" xfId="3" applyNumberFormat="1" applyFont="1" applyFill="1" applyBorder="1" applyAlignment="1" applyProtection="1">
      <alignment horizontal="center" vertical="center"/>
    </xf>
    <xf numFmtId="1" fontId="44" fillId="0" borderId="10" xfId="3" applyNumberFormat="1" applyFont="1" applyFill="1" applyBorder="1" applyAlignment="1" applyProtection="1">
      <alignment horizontal="center" vertical="center" wrapText="1"/>
      <protection locked="0"/>
    </xf>
    <xf numFmtId="1" fontId="44" fillId="0" borderId="10" xfId="3" applyNumberFormat="1" applyFont="1" applyFill="1" applyBorder="1" applyAlignment="1" applyProtection="1">
      <alignment horizontal="center" vertical="center"/>
      <protection locked="0"/>
    </xf>
    <xf numFmtId="0" fontId="37" fillId="0" borderId="14" xfId="3" applyNumberFormat="1" applyFont="1" applyFill="1" applyBorder="1" applyAlignment="1" applyProtection="1">
      <alignment horizontal="center" vertical="center"/>
      <protection locked="0"/>
    </xf>
    <xf numFmtId="166" fontId="34" fillId="0" borderId="14" xfId="3" applyNumberFormat="1" applyFont="1" applyFill="1" applyBorder="1" applyAlignment="1" applyProtection="1">
      <alignment horizontal="center" vertical="center"/>
      <protection locked="0"/>
    </xf>
    <xf numFmtId="0" fontId="37" fillId="0" borderId="10" xfId="3" applyNumberFormat="1" applyFont="1" applyFill="1" applyBorder="1" applyAlignment="1" applyProtection="1">
      <alignment horizontal="center" vertical="center" wrapText="1" shrinkToFit="1"/>
      <protection locked="0"/>
    </xf>
    <xf numFmtId="1" fontId="32" fillId="0" borderId="16" xfId="3" applyNumberFormat="1" applyFont="1" applyFill="1" applyBorder="1" applyAlignment="1" applyProtection="1">
      <alignment horizontal="center" vertical="center"/>
    </xf>
    <xf numFmtId="0" fontId="33" fillId="0" borderId="0" xfId="0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left" vertical="center"/>
      <protection locked="0"/>
    </xf>
    <xf numFmtId="1" fontId="33" fillId="0" borderId="0" xfId="0" applyNumberFormat="1" applyFont="1" applyAlignment="1">
      <alignment horizontal="center" vertical="center" wrapText="1"/>
    </xf>
    <xf numFmtId="1" fontId="33" fillId="0" borderId="0" xfId="0" applyNumberFormat="1" applyFont="1" applyAlignment="1">
      <alignment horizontal="center" vertical="center"/>
    </xf>
    <xf numFmtId="1" fontId="32" fillId="0" borderId="42" xfId="3" applyNumberFormat="1" applyFont="1" applyFill="1" applyBorder="1" applyAlignment="1" applyProtection="1">
      <alignment horizontal="center" vertical="center"/>
      <protection locked="0"/>
    </xf>
    <xf numFmtId="1" fontId="32" fillId="0" borderId="18" xfId="3" applyNumberFormat="1" applyFont="1" applyFill="1" applyBorder="1" applyAlignment="1" applyProtection="1">
      <alignment vertical="center"/>
    </xf>
    <xf numFmtId="1" fontId="32" fillId="0" borderId="14" xfId="3" applyNumberFormat="1" applyFont="1" applyFill="1" applyBorder="1" applyAlignment="1" applyProtection="1">
      <alignment horizontal="center" vertical="center" wrapText="1"/>
      <protection locked="0"/>
    </xf>
    <xf numFmtId="1" fontId="33" fillId="0" borderId="0" xfId="0" applyNumberFormat="1" applyFont="1" applyAlignment="1">
      <alignment vertical="center"/>
    </xf>
    <xf numFmtId="1" fontId="33" fillId="0" borderId="0" xfId="0" applyNumberFormat="1" applyFont="1" applyAlignment="1">
      <alignment horizontal="left" vertical="center"/>
    </xf>
    <xf numFmtId="49" fontId="32" fillId="0" borderId="10" xfId="0" applyNumberFormat="1" applyFont="1" applyBorder="1" applyAlignment="1" applyProtection="1">
      <alignment horizontal="left" vertical="center" wrapText="1"/>
      <protection locked="0"/>
    </xf>
    <xf numFmtId="49" fontId="32" fillId="0" borderId="13" xfId="3" applyNumberFormat="1" applyFont="1" applyFill="1" applyBorder="1" applyAlignment="1" applyProtection="1">
      <alignment horizontal="left" vertical="center"/>
      <protection locked="0"/>
    </xf>
    <xf numFmtId="49" fontId="39" fillId="0" borderId="10" xfId="0" applyNumberFormat="1" applyFont="1" applyBorder="1" applyAlignment="1" applyProtection="1">
      <alignment horizontal="left" vertical="center"/>
      <protection locked="0"/>
    </xf>
    <xf numFmtId="49" fontId="33" fillId="0" borderId="0" xfId="0" applyNumberFormat="1" applyFont="1" applyAlignment="1" applyProtection="1">
      <alignment horizontal="left" vertical="center"/>
      <protection locked="0"/>
    </xf>
    <xf numFmtId="165" fontId="37" fillId="0" borderId="10" xfId="3" applyNumberFormat="1" applyFont="1" applyFill="1" applyBorder="1" applyAlignment="1" applyProtection="1">
      <alignment horizontal="center" vertical="center"/>
      <protection locked="0"/>
    </xf>
    <xf numFmtId="173" fontId="37" fillId="0" borderId="10" xfId="3" applyNumberFormat="1" applyFont="1" applyFill="1" applyBorder="1" applyAlignment="1" applyProtection="1">
      <alignment horizontal="center" vertical="center"/>
    </xf>
    <xf numFmtId="0" fontId="37" fillId="0" borderId="14" xfId="3" applyNumberFormat="1" applyFont="1" applyFill="1" applyBorder="1" applyAlignment="1" applyProtection="1">
      <alignment horizontal="center" vertical="center" wrapText="1"/>
      <protection locked="0"/>
    </xf>
    <xf numFmtId="0" fontId="44" fillId="0" borderId="14" xfId="3" applyNumberFormat="1" applyFont="1" applyFill="1" applyBorder="1" applyAlignment="1" applyProtection="1">
      <alignment horizontal="center" vertical="center"/>
      <protection locked="0"/>
    </xf>
    <xf numFmtId="169" fontId="32" fillId="0" borderId="14" xfId="3" applyNumberFormat="1" applyFont="1" applyFill="1" applyBorder="1" applyAlignment="1" applyProtection="1">
      <alignment horizontal="center" vertical="center" wrapText="1"/>
      <protection locked="0"/>
    </xf>
    <xf numFmtId="1" fontId="32" fillId="0" borderId="14" xfId="3" applyNumberFormat="1" applyFont="1" applyFill="1" applyBorder="1" applyAlignment="1" applyProtection="1">
      <alignment horizontal="center" vertical="center"/>
      <protection locked="0"/>
    </xf>
    <xf numFmtId="169" fontId="32" fillId="0" borderId="10" xfId="3" applyNumberFormat="1" applyFont="1" applyFill="1" applyBorder="1" applyAlignment="1" applyProtection="1">
      <alignment horizontal="center" vertical="center"/>
    </xf>
    <xf numFmtId="166" fontId="32" fillId="0" borderId="10" xfId="3" applyNumberFormat="1" applyFont="1" applyFill="1" applyBorder="1" applyAlignment="1" applyProtection="1">
      <alignment horizontal="center" vertical="center"/>
      <protection locked="0"/>
    </xf>
    <xf numFmtId="0" fontId="37" fillId="0" borderId="57" xfId="3" applyNumberFormat="1" applyFont="1" applyFill="1" applyBorder="1" applyAlignment="1" applyProtection="1">
      <alignment horizontal="center" vertical="center" wrapText="1"/>
      <protection locked="0"/>
    </xf>
    <xf numFmtId="0" fontId="37" fillId="0" borderId="12" xfId="3" applyNumberFormat="1" applyFont="1" applyFill="1" applyBorder="1" applyAlignment="1" applyProtection="1">
      <alignment horizontal="center" vertical="center" wrapText="1"/>
      <protection locked="0"/>
    </xf>
    <xf numFmtId="1" fontId="32" fillId="0" borderId="38" xfId="3" applyNumberFormat="1" applyFont="1" applyFill="1" applyBorder="1" applyAlignment="1" applyProtection="1">
      <alignment horizontal="center" vertical="center" wrapText="1"/>
    </xf>
    <xf numFmtId="0" fontId="34" fillId="0" borderId="34" xfId="3" applyNumberFormat="1" applyFont="1" applyFill="1" applyBorder="1" applyAlignment="1" applyProtection="1">
      <alignment horizontal="center" vertical="center"/>
      <protection locked="0"/>
    </xf>
    <xf numFmtId="0" fontId="32" fillId="0" borderId="41" xfId="3" applyNumberFormat="1" applyFont="1" applyFill="1" applyBorder="1" applyAlignment="1" applyProtection="1">
      <alignment horizontal="center" vertical="center"/>
      <protection locked="0"/>
    </xf>
    <xf numFmtId="1" fontId="32" fillId="0" borderId="38" xfId="3" applyNumberFormat="1" applyFont="1" applyFill="1" applyBorder="1" applyAlignment="1" applyProtection="1">
      <alignment horizontal="center" vertical="center"/>
    </xf>
    <xf numFmtId="0" fontId="37" fillId="0" borderId="12" xfId="3" applyNumberFormat="1" applyFont="1" applyFill="1" applyBorder="1" applyAlignment="1" applyProtection="1">
      <alignment horizontal="center" vertical="center"/>
      <protection locked="0"/>
    </xf>
    <xf numFmtId="0" fontId="37" fillId="0" borderId="38" xfId="3" applyNumberFormat="1" applyFont="1" applyFill="1" applyBorder="1" applyAlignment="1" applyProtection="1">
      <alignment horizontal="center" vertical="center" wrapText="1"/>
      <protection locked="0"/>
    </xf>
    <xf numFmtId="2" fontId="32" fillId="0" borderId="34" xfId="3" applyNumberFormat="1" applyFont="1" applyFill="1" applyBorder="1" applyAlignment="1" applyProtection="1">
      <alignment horizontal="center" vertical="center"/>
      <protection locked="0"/>
    </xf>
    <xf numFmtId="0" fontId="32" fillId="0" borderId="38" xfId="3" applyNumberFormat="1" applyFont="1" applyFill="1" applyBorder="1" applyAlignment="1" applyProtection="1">
      <alignment horizontal="center" vertical="center"/>
      <protection locked="0"/>
    </xf>
    <xf numFmtId="0" fontId="32" fillId="0" borderId="57" xfId="3" applyNumberFormat="1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2" fillId="0" borderId="13" xfId="3" applyNumberFormat="1" applyFont="1" applyFill="1" applyBorder="1" applyAlignment="1" applyProtection="1">
      <alignment horizontal="center" vertical="center"/>
      <protection locked="0"/>
    </xf>
    <xf numFmtId="1" fontId="32" fillId="0" borderId="57" xfId="3" applyNumberFormat="1" applyFont="1" applyFill="1" applyBorder="1" applyAlignment="1" applyProtection="1">
      <alignment horizontal="center" vertical="center" wrapText="1"/>
    </xf>
    <xf numFmtId="1" fontId="32" fillId="0" borderId="57" xfId="3" applyNumberFormat="1" applyFont="1" applyFill="1" applyBorder="1" applyAlignment="1" applyProtection="1">
      <alignment horizontal="center" vertical="center"/>
      <protection locked="0"/>
    </xf>
    <xf numFmtId="1" fontId="32" fillId="0" borderId="57" xfId="3" applyNumberFormat="1" applyFont="1" applyFill="1" applyBorder="1" applyAlignment="1" applyProtection="1">
      <alignment horizontal="center" vertical="center"/>
    </xf>
    <xf numFmtId="169" fontId="32" fillId="0" borderId="57" xfId="3" applyNumberFormat="1" applyFont="1" applyFill="1" applyBorder="1" applyAlignment="1" applyProtection="1">
      <alignment horizontal="center" vertical="center"/>
    </xf>
    <xf numFmtId="1" fontId="32" fillId="0" borderId="57" xfId="3" applyNumberFormat="1" applyFont="1" applyFill="1" applyBorder="1" applyAlignment="1" applyProtection="1">
      <alignment horizontal="center" vertical="center" wrapText="1"/>
      <protection locked="0"/>
    </xf>
    <xf numFmtId="1" fontId="32" fillId="0" borderId="13" xfId="3" applyNumberFormat="1" applyFont="1" applyFill="1" applyBorder="1" applyAlignment="1" applyProtection="1">
      <alignment horizontal="center" vertical="center"/>
      <protection locked="0"/>
    </xf>
    <xf numFmtId="1" fontId="32" fillId="0" borderId="13" xfId="3" applyNumberFormat="1" applyFont="1" applyFill="1" applyBorder="1" applyAlignment="1" applyProtection="1">
      <alignment horizontal="center" vertical="center"/>
    </xf>
    <xf numFmtId="169" fontId="32" fillId="0" borderId="13" xfId="3" applyNumberFormat="1" applyFont="1" applyFill="1" applyBorder="1" applyAlignment="1" applyProtection="1">
      <alignment horizontal="center" vertical="center"/>
    </xf>
    <xf numFmtId="1" fontId="32" fillId="0" borderId="13" xfId="3" applyNumberFormat="1" applyFont="1" applyFill="1" applyBorder="1" applyAlignment="1" applyProtection="1">
      <alignment horizontal="center" vertical="center" wrapText="1"/>
      <protection locked="0"/>
    </xf>
    <xf numFmtId="0" fontId="48" fillId="0" borderId="0" xfId="0" applyFont="1"/>
    <xf numFmtId="0" fontId="48" fillId="0" borderId="0" xfId="0" applyFont="1" applyAlignment="1">
      <alignment vertical="center"/>
    </xf>
    <xf numFmtId="0" fontId="32" fillId="0" borderId="16" xfId="3" applyNumberFormat="1" applyFont="1" applyFill="1" applyBorder="1" applyAlignment="1" applyProtection="1">
      <alignment horizontal="center" vertical="center"/>
      <protection locked="0"/>
    </xf>
    <xf numFmtId="0" fontId="48" fillId="12" borderId="0" xfId="0" applyFont="1" applyFill="1"/>
    <xf numFmtId="0" fontId="48" fillId="0" borderId="10" xfId="0" applyFont="1" applyBorder="1" applyAlignment="1">
      <alignment horizontal="center" vertical="center" wrapText="1"/>
    </xf>
    <xf numFmtId="0" fontId="39" fillId="2" borderId="10" xfId="0" applyFont="1" applyFill="1" applyBorder="1" applyAlignment="1">
      <alignment horizontal="center" wrapText="1"/>
    </xf>
    <xf numFmtId="169" fontId="32" fillId="0" borderId="34" xfId="3" applyNumberFormat="1" applyFont="1" applyFill="1" applyBorder="1" applyAlignment="1" applyProtection="1">
      <alignment horizontal="center" vertical="center"/>
    </xf>
    <xf numFmtId="0" fontId="32" fillId="0" borderId="37" xfId="3" applyNumberFormat="1" applyFont="1" applyFill="1" applyBorder="1" applyAlignment="1" applyProtection="1">
      <alignment horizontal="center" vertical="center"/>
      <protection locked="0"/>
    </xf>
    <xf numFmtId="1" fontId="32" fillId="0" borderId="12" xfId="3" applyNumberFormat="1" applyFont="1" applyFill="1" applyBorder="1" applyAlignment="1" applyProtection="1">
      <alignment horizontal="center" vertical="center"/>
      <protection locked="0"/>
    </xf>
    <xf numFmtId="49" fontId="32" fillId="13" borderId="10" xfId="0" applyNumberFormat="1" applyFont="1" applyFill="1" applyBorder="1" applyAlignment="1" applyProtection="1">
      <alignment horizontal="left" vertical="center" wrapText="1"/>
      <protection locked="0"/>
    </xf>
    <xf numFmtId="49" fontId="32" fillId="13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13" borderId="10" xfId="0" applyFill="1" applyBorder="1" applyAlignment="1">
      <alignment horizontal="center" vertical="center" wrapText="1"/>
    </xf>
    <xf numFmtId="0" fontId="39" fillId="13" borderId="10" xfId="0" applyFont="1" applyFill="1" applyBorder="1" applyAlignment="1">
      <alignment horizontal="center" wrapText="1"/>
    </xf>
    <xf numFmtId="0" fontId="32" fillId="13" borderId="10" xfId="3" applyNumberFormat="1" applyFont="1" applyFill="1" applyBorder="1" applyAlignment="1" applyProtection="1">
      <alignment horizontal="center" vertical="center"/>
      <protection locked="0"/>
    </xf>
    <xf numFmtId="1" fontId="32" fillId="13" borderId="10" xfId="3" applyNumberFormat="1" applyFont="1" applyFill="1" applyBorder="1" applyAlignment="1" applyProtection="1">
      <alignment horizontal="center" vertical="center" wrapText="1"/>
    </xf>
    <xf numFmtId="0" fontId="48" fillId="13" borderId="10" xfId="0" applyFont="1" applyFill="1" applyBorder="1" applyAlignment="1">
      <alignment horizontal="center" vertical="center"/>
    </xf>
    <xf numFmtId="0" fontId="48" fillId="13" borderId="10" xfId="0" applyFont="1" applyFill="1" applyBorder="1" applyAlignment="1">
      <alignment horizontal="center" vertical="center" wrapText="1"/>
    </xf>
    <xf numFmtId="0" fontId="39" fillId="13" borderId="10" xfId="0" applyFont="1" applyFill="1" applyBorder="1" applyAlignment="1">
      <alignment horizontal="center" vertical="center"/>
    </xf>
    <xf numFmtId="169" fontId="32" fillId="0" borderId="10" xfId="3" applyNumberFormat="1" applyFont="1" applyFill="1" applyBorder="1" applyAlignment="1" applyProtection="1">
      <alignment horizontal="center" vertical="center"/>
      <protection locked="0"/>
    </xf>
    <xf numFmtId="169" fontId="32" fillId="0" borderId="34" xfId="3" applyNumberFormat="1" applyFont="1" applyFill="1" applyBorder="1" applyAlignment="1" applyProtection="1">
      <alignment horizontal="center" vertical="center"/>
      <protection locked="0"/>
    </xf>
    <xf numFmtId="0" fontId="48" fillId="13" borderId="12" xfId="0" applyFont="1" applyFill="1" applyBorder="1" applyAlignment="1">
      <alignment horizontal="center" vertical="center"/>
    </xf>
    <xf numFmtId="0" fontId="48" fillId="0" borderId="12" xfId="0" applyFont="1" applyBorder="1" applyAlignment="1">
      <alignment horizontal="center" vertical="center"/>
    </xf>
    <xf numFmtId="169" fontId="32" fillId="0" borderId="18" xfId="3" applyNumberFormat="1" applyFont="1" applyFill="1" applyBorder="1" applyAlignment="1" applyProtection="1">
      <alignment horizontal="center" vertical="center"/>
      <protection locked="0"/>
    </xf>
    <xf numFmtId="169" fontId="37" fillId="0" borderId="10" xfId="3" applyNumberFormat="1" applyFont="1" applyFill="1" applyBorder="1" applyAlignment="1" applyProtection="1">
      <alignment horizontal="center" vertical="center"/>
      <protection locked="0"/>
    </xf>
    <xf numFmtId="169" fontId="32" fillId="0" borderId="18" xfId="3" applyNumberFormat="1" applyFont="1" applyFill="1" applyBorder="1" applyAlignment="1" applyProtection="1">
      <alignment horizontal="center" vertical="center"/>
    </xf>
    <xf numFmtId="0" fontId="37" fillId="0" borderId="18" xfId="3" applyNumberFormat="1" applyFont="1" applyFill="1" applyBorder="1" applyAlignment="1" applyProtection="1">
      <alignment horizontal="center" vertical="center" wrapText="1"/>
      <protection locked="0"/>
    </xf>
    <xf numFmtId="0" fontId="32" fillId="0" borderId="18" xfId="3" applyNumberFormat="1" applyFont="1" applyFill="1" applyBorder="1" applyAlignment="1" applyProtection="1">
      <alignment horizontal="center" vertical="center" wrapText="1"/>
      <protection locked="0"/>
    </xf>
    <xf numFmtId="0" fontId="32" fillId="0" borderId="34" xfId="3" applyNumberFormat="1" applyFont="1" applyFill="1" applyBorder="1" applyAlignment="1" applyProtection="1">
      <alignment horizontal="center" vertical="center" wrapText="1"/>
      <protection locked="0"/>
    </xf>
    <xf numFmtId="0" fontId="32" fillId="0" borderId="18" xfId="0" applyFont="1" applyBorder="1" applyAlignment="1">
      <alignment horizontal="center" vertical="center" wrapText="1"/>
    </xf>
    <xf numFmtId="49" fontId="32" fillId="5" borderId="20" xfId="0" applyNumberFormat="1" applyFont="1" applyFill="1" applyBorder="1" applyAlignment="1" applyProtection="1">
      <alignment horizontal="center" vertical="center"/>
      <protection locked="0"/>
    </xf>
    <xf numFmtId="49" fontId="39" fillId="5" borderId="10" xfId="0" applyNumberFormat="1" applyFont="1" applyFill="1" applyBorder="1" applyAlignment="1" applyProtection="1">
      <alignment horizontal="left" vertical="center"/>
      <protection locked="0"/>
    </xf>
    <xf numFmtId="169" fontId="39" fillId="5" borderId="10" xfId="0" applyNumberFormat="1" applyFont="1" applyFill="1" applyBorder="1" applyAlignment="1" applyProtection="1">
      <alignment horizontal="center" vertical="center"/>
      <protection locked="0"/>
    </xf>
    <xf numFmtId="0" fontId="33" fillId="5" borderId="10" xfId="0" applyFont="1" applyFill="1" applyBorder="1" applyAlignment="1">
      <alignment horizontal="center" vertical="center"/>
    </xf>
    <xf numFmtId="0" fontId="39" fillId="5" borderId="10" xfId="0" applyFont="1" applyFill="1" applyBorder="1" applyAlignment="1" applyProtection="1">
      <alignment horizontal="center" vertical="center"/>
      <protection locked="0"/>
    </xf>
    <xf numFmtId="2" fontId="39" fillId="5" borderId="10" xfId="0" applyNumberFormat="1" applyFont="1" applyFill="1" applyBorder="1" applyAlignment="1" applyProtection="1">
      <alignment horizontal="center" vertical="center"/>
      <protection locked="0"/>
    </xf>
    <xf numFmtId="2" fontId="0" fillId="5" borderId="10" xfId="0" applyNumberFormat="1" applyFill="1" applyBorder="1" applyAlignment="1">
      <alignment horizontal="center" vertical="center"/>
    </xf>
    <xf numFmtId="1" fontId="32" fillId="5" borderId="10" xfId="3" applyNumberFormat="1" applyFont="1" applyFill="1" applyBorder="1" applyAlignment="1" applyProtection="1">
      <alignment horizontal="center" vertical="center" wrapText="1"/>
    </xf>
    <xf numFmtId="0" fontId="37" fillId="5" borderId="10" xfId="3" applyNumberFormat="1" applyFont="1" applyFill="1" applyBorder="1" applyAlignment="1" applyProtection="1">
      <alignment horizontal="center" vertical="center" wrapText="1"/>
      <protection locked="0"/>
    </xf>
    <xf numFmtId="0" fontId="32" fillId="5" borderId="10" xfId="3" applyNumberFormat="1" applyFont="1" applyFill="1" applyBorder="1" applyAlignment="1" applyProtection="1">
      <alignment horizontal="center" vertical="center" wrapText="1"/>
      <protection locked="0"/>
    </xf>
    <xf numFmtId="0" fontId="39" fillId="5" borderId="10" xfId="0" applyFont="1" applyFill="1" applyBorder="1" applyAlignment="1">
      <alignment horizontal="center" vertical="center" wrapText="1"/>
    </xf>
    <xf numFmtId="0" fontId="32" fillId="5" borderId="12" xfId="0" applyFont="1" applyFill="1" applyBorder="1" applyAlignment="1">
      <alignment horizontal="center" vertical="center"/>
    </xf>
    <xf numFmtId="0" fontId="32" fillId="5" borderId="10" xfId="0" applyFont="1" applyFill="1" applyBorder="1" applyAlignment="1">
      <alignment horizontal="center" vertical="center" wrapText="1"/>
    </xf>
    <xf numFmtId="1" fontId="32" fillId="0" borderId="42" xfId="3" applyNumberFormat="1" applyFont="1" applyFill="1" applyBorder="1" applyAlignment="1" applyProtection="1">
      <alignment horizontal="center" vertical="center" wrapText="1"/>
    </xf>
    <xf numFmtId="1" fontId="32" fillId="0" borderId="12" xfId="3" applyNumberFormat="1" applyFont="1" applyFill="1" applyBorder="1" applyAlignment="1" applyProtection="1">
      <alignment horizontal="center" vertical="center" wrapText="1"/>
    </xf>
    <xf numFmtId="0" fontId="32" fillId="0" borderId="38" xfId="3" applyNumberFormat="1" applyFont="1" applyFill="1" applyBorder="1" applyAlignment="1" applyProtection="1">
      <alignment horizontal="center" vertical="center" wrapText="1"/>
      <protection locked="0"/>
    </xf>
    <xf numFmtId="2" fontId="32" fillId="0" borderId="16" xfId="3" applyNumberFormat="1" applyFont="1" applyFill="1" applyBorder="1" applyAlignment="1" applyProtection="1">
      <alignment horizontal="center" vertical="center" wrapText="1"/>
      <protection locked="0"/>
    </xf>
    <xf numFmtId="2" fontId="32" fillId="5" borderId="9" xfId="0" applyNumberFormat="1" applyFont="1" applyFill="1" applyBorder="1" applyAlignment="1" applyProtection="1">
      <alignment horizontal="center" vertical="center"/>
      <protection locked="0"/>
    </xf>
    <xf numFmtId="49" fontId="32" fillId="5" borderId="10" xfId="0" applyNumberFormat="1" applyFont="1" applyFill="1" applyBorder="1" applyAlignment="1" applyProtection="1">
      <alignment horizontal="left" vertical="center" wrapText="1"/>
      <protection locked="0"/>
    </xf>
    <xf numFmtId="0" fontId="33" fillId="5" borderId="10" xfId="0" applyFont="1" applyFill="1" applyBorder="1" applyAlignment="1">
      <alignment vertical="center"/>
    </xf>
    <xf numFmtId="0" fontId="0" fillId="5" borderId="10" xfId="0" applyFill="1" applyBorder="1" applyAlignment="1">
      <alignment horizontal="center" wrapText="1"/>
    </xf>
    <xf numFmtId="2" fontId="32" fillId="5" borderId="10" xfId="3" applyNumberFormat="1" applyFont="1" applyFill="1" applyBorder="1" applyAlignment="1" applyProtection="1">
      <alignment horizontal="center" vertical="center" wrapText="1"/>
      <protection locked="0"/>
    </xf>
    <xf numFmtId="0" fontId="34" fillId="5" borderId="10" xfId="0" applyFont="1" applyFill="1" applyBorder="1" applyAlignment="1">
      <alignment horizontal="center" vertical="center"/>
    </xf>
    <xf numFmtId="0" fontId="32" fillId="5" borderId="10" xfId="0" applyFont="1" applyFill="1" applyBorder="1" applyAlignment="1">
      <alignment horizontal="center" vertical="center"/>
    </xf>
    <xf numFmtId="1" fontId="34" fillId="5" borderId="10" xfId="0" applyNumberFormat="1" applyFont="1" applyFill="1" applyBorder="1" applyAlignment="1">
      <alignment vertical="center"/>
    </xf>
    <xf numFmtId="1" fontId="32" fillId="5" borderId="10" xfId="3" applyNumberFormat="1" applyFont="1" applyFill="1" applyBorder="1" applyAlignment="1" applyProtection="1">
      <alignment horizontal="center" vertical="center"/>
    </xf>
    <xf numFmtId="169" fontId="44" fillId="0" borderId="10" xfId="3" applyNumberFormat="1" applyFont="1" applyFill="1" applyBorder="1" applyAlignment="1" applyProtection="1">
      <alignment horizontal="center" vertical="center"/>
      <protection locked="0"/>
    </xf>
    <xf numFmtId="169" fontId="32" fillId="0" borderId="16" xfId="3" applyNumberFormat="1" applyFont="1" applyFill="1" applyBorder="1" applyAlignment="1" applyProtection="1">
      <alignment horizontal="center" vertical="center" wrapText="1"/>
      <protection locked="0"/>
    </xf>
    <xf numFmtId="0" fontId="45" fillId="0" borderId="16" xfId="3" applyNumberFormat="1" applyFont="1" applyFill="1" applyBorder="1" applyAlignment="1" applyProtection="1">
      <alignment horizontal="center" vertical="center"/>
      <protection locked="0"/>
    </xf>
    <xf numFmtId="1" fontId="44" fillId="0" borderId="16" xfId="3" applyNumberFormat="1" applyFont="1" applyFill="1" applyBorder="1" applyAlignment="1" applyProtection="1">
      <alignment vertical="center"/>
    </xf>
    <xf numFmtId="1" fontId="44" fillId="0" borderId="16" xfId="3" applyNumberFormat="1" applyFont="1" applyFill="1" applyBorder="1" applyAlignment="1" applyProtection="1">
      <alignment horizontal="center" vertical="center" wrapText="1"/>
      <protection locked="0"/>
    </xf>
    <xf numFmtId="169" fontId="32" fillId="0" borderId="47" xfId="3" applyNumberFormat="1" applyFont="1" applyFill="1" applyBorder="1" applyAlignment="1" applyProtection="1">
      <alignment horizontal="center" vertical="center"/>
    </xf>
    <xf numFmtId="169" fontId="32" fillId="0" borderId="42" xfId="3" applyNumberFormat="1" applyFont="1" applyFill="1" applyBorder="1" applyAlignment="1" applyProtection="1">
      <alignment horizontal="center" vertical="center"/>
    </xf>
    <xf numFmtId="169" fontId="32" fillId="0" borderId="29" xfId="3" applyNumberFormat="1" applyFont="1" applyFill="1" applyBorder="1" applyAlignment="1" applyProtection="1">
      <alignment horizontal="center" vertical="center"/>
    </xf>
    <xf numFmtId="169" fontId="32" fillId="0" borderId="14" xfId="3" applyNumberFormat="1" applyFont="1" applyFill="1" applyBorder="1" applyAlignment="1" applyProtection="1">
      <alignment horizontal="center" vertical="center"/>
    </xf>
    <xf numFmtId="165" fontId="32" fillId="0" borderId="36" xfId="3" applyNumberFormat="1" applyFont="1" applyFill="1" applyBorder="1" applyAlignment="1" applyProtection="1">
      <alignment horizontal="center" vertical="center"/>
      <protection locked="0"/>
    </xf>
    <xf numFmtId="0" fontId="32" fillId="0" borderId="61" xfId="3" applyNumberFormat="1" applyFont="1" applyFill="1" applyBorder="1" applyAlignment="1" applyProtection="1">
      <alignment horizontal="center" vertical="center"/>
    </xf>
    <xf numFmtId="0" fontId="33" fillId="0" borderId="0" xfId="0" applyFont="1" applyAlignment="1">
      <alignment horizontal="center" vertical="center"/>
    </xf>
    <xf numFmtId="167" fontId="33" fillId="10" borderId="0" xfId="0" applyNumberFormat="1" applyFont="1" applyFill="1" applyAlignment="1">
      <alignment horizontal="center" vertical="center"/>
    </xf>
    <xf numFmtId="167" fontId="33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167" fontId="33" fillId="10" borderId="17" xfId="0" applyNumberFormat="1" applyFont="1" applyFill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8" xfId="1" applyFont="1" applyBorder="1" applyAlignment="1" applyProtection="1">
      <alignment horizontal="center" vertical="center" wrapText="1"/>
      <protection locked="0"/>
    </xf>
    <xf numFmtId="2" fontId="2" fillId="0" borderId="8" xfId="1" applyNumberFormat="1" applyFont="1" applyBorder="1" applyAlignment="1" applyProtection="1">
      <alignment horizontal="center" vertical="center" wrapText="1"/>
      <protection locked="0"/>
    </xf>
    <xf numFmtId="16" fontId="15" fillId="0" borderId="10" xfId="1" applyNumberFormat="1" applyFont="1" applyBorder="1" applyAlignment="1" applyProtection="1">
      <alignment horizontal="center" vertical="center" wrapText="1"/>
      <protection locked="0"/>
    </xf>
    <xf numFmtId="0" fontId="15" fillId="0" borderId="10" xfId="1" applyFont="1" applyBorder="1" applyAlignment="1" applyProtection="1">
      <alignment horizontal="center" vertical="center" wrapText="1"/>
      <protection locked="0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10" fillId="0" borderId="14" xfId="1" applyFont="1" applyBorder="1" applyAlignment="1" applyProtection="1">
      <alignment horizontal="center" vertical="center" wrapText="1"/>
      <protection locked="0"/>
    </xf>
    <xf numFmtId="0" fontId="10" fillId="0" borderId="13" xfId="1" applyFont="1" applyBorder="1" applyAlignment="1" applyProtection="1">
      <alignment horizontal="center" vertical="center" wrapText="1"/>
      <protection locked="0"/>
    </xf>
    <xf numFmtId="0" fontId="10" fillId="0" borderId="18" xfId="1" applyFont="1" applyBorder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center" vertical="center" wrapText="1"/>
      <protection locked="0"/>
    </xf>
    <xf numFmtId="0" fontId="15" fillId="0" borderId="9" xfId="1" applyFont="1" applyBorder="1" applyAlignment="1" applyProtection="1">
      <alignment horizontal="center" vertical="center" wrapText="1"/>
      <protection locked="0"/>
    </xf>
    <xf numFmtId="2" fontId="15" fillId="0" borderId="10" xfId="1" applyNumberFormat="1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5" fillId="0" borderId="14" xfId="1" applyFont="1" applyBorder="1" applyAlignment="1" applyProtection="1">
      <alignment horizontal="center" vertical="center" wrapText="1"/>
      <protection locked="0"/>
    </xf>
    <xf numFmtId="0" fontId="15" fillId="0" borderId="18" xfId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/>
    </xf>
    <xf numFmtId="0" fontId="34" fillId="0" borderId="3" xfId="1" applyFont="1" applyFill="1" applyBorder="1" applyAlignment="1">
      <alignment horizontal="center" vertical="center"/>
    </xf>
    <xf numFmtId="0" fontId="34" fillId="0" borderId="5" xfId="1" applyFont="1" applyFill="1" applyBorder="1" applyAlignment="1">
      <alignment horizontal="center" vertical="center"/>
    </xf>
    <xf numFmtId="0" fontId="34" fillId="0" borderId="4" xfId="1" applyFont="1" applyFill="1" applyBorder="1" applyAlignment="1">
      <alignment horizontal="center" vertical="center"/>
    </xf>
    <xf numFmtId="2" fontId="32" fillId="0" borderId="2" xfId="2" applyNumberFormat="1" applyFont="1" applyFill="1" applyBorder="1" applyAlignment="1">
      <alignment horizontal="center" vertical="center" wrapText="1"/>
    </xf>
    <xf numFmtId="49" fontId="32" fillId="0" borderId="2" xfId="2" applyNumberFormat="1" applyFont="1" applyFill="1" applyBorder="1" applyAlignment="1">
      <alignment horizontal="center" vertical="center" wrapText="1"/>
    </xf>
    <xf numFmtId="0" fontId="32" fillId="0" borderId="2" xfId="2" applyFont="1" applyFill="1" applyBorder="1" applyAlignment="1">
      <alignment horizontal="center" vertical="center" wrapText="1"/>
    </xf>
    <xf numFmtId="0" fontId="32" fillId="0" borderId="3" xfId="2" applyFont="1" applyFill="1" applyBorder="1" applyAlignment="1">
      <alignment horizontal="center" vertical="center" wrapText="1"/>
    </xf>
    <xf numFmtId="0" fontId="32" fillId="0" borderId="4" xfId="2" applyFont="1" applyFill="1" applyBorder="1" applyAlignment="1">
      <alignment horizontal="center" vertical="center" wrapText="1"/>
    </xf>
    <xf numFmtId="1" fontId="32" fillId="0" borderId="2" xfId="2" applyNumberFormat="1" applyFont="1" applyFill="1" applyBorder="1" applyAlignment="1">
      <alignment horizontal="center" vertical="center" wrapText="1"/>
    </xf>
    <xf numFmtId="1" fontId="32" fillId="0" borderId="3" xfId="2" applyNumberFormat="1" applyFont="1" applyFill="1" applyBorder="1" applyAlignment="1">
      <alignment horizontal="center" vertical="center" wrapText="1"/>
    </xf>
    <xf numFmtId="1" fontId="32" fillId="0" borderId="4" xfId="2" applyNumberFormat="1" applyFont="1" applyFill="1" applyBorder="1" applyAlignment="1">
      <alignment horizontal="center" vertical="center" wrapText="1"/>
    </xf>
    <xf numFmtId="0" fontId="32" fillId="0" borderId="5" xfId="2" applyFont="1" applyFill="1" applyBorder="1" applyAlignment="1">
      <alignment horizontal="center" vertical="center" wrapText="1"/>
    </xf>
    <xf numFmtId="2" fontId="32" fillId="0" borderId="6" xfId="2" applyNumberFormat="1" applyFont="1" applyFill="1" applyBorder="1" applyAlignment="1">
      <alignment horizontal="center" vertical="center" wrapText="1"/>
    </xf>
    <xf numFmtId="49" fontId="32" fillId="0" borderId="6" xfId="2" applyNumberFormat="1" applyFont="1" applyFill="1" applyBorder="1" applyAlignment="1">
      <alignment horizontal="center" vertical="center" wrapText="1"/>
    </xf>
    <xf numFmtId="0" fontId="32" fillId="0" borderId="6" xfId="2" applyFont="1" applyFill="1" applyBorder="1" applyAlignment="1">
      <alignment horizontal="center" vertical="center" wrapText="1"/>
    </xf>
    <xf numFmtId="0" fontId="32" fillId="0" borderId="6" xfId="2" applyFont="1" applyFill="1" applyBorder="1" applyAlignment="1">
      <alignment horizontal="center" vertical="center" wrapText="1"/>
    </xf>
    <xf numFmtId="0" fontId="32" fillId="0" borderId="7" xfId="2" applyFont="1" applyFill="1" applyBorder="1" applyAlignment="1">
      <alignment horizontal="center" vertical="center" wrapText="1"/>
    </xf>
    <xf numFmtId="0" fontId="32" fillId="0" borderId="2" xfId="2" applyFont="1" applyFill="1" applyBorder="1" applyAlignment="1">
      <alignment horizontal="center" vertical="center" wrapText="1"/>
    </xf>
    <xf numFmtId="1" fontId="32" fillId="0" borderId="6" xfId="2" applyNumberFormat="1" applyFont="1" applyFill="1" applyBorder="1" applyAlignment="1">
      <alignment horizontal="center" vertical="center" wrapText="1"/>
    </xf>
    <xf numFmtId="1" fontId="32" fillId="0" borderId="2" xfId="2" applyNumberFormat="1" applyFont="1" applyFill="1" applyBorder="1" applyAlignment="1">
      <alignment horizontal="center" vertical="center" wrapText="1"/>
    </xf>
    <xf numFmtId="1" fontId="34" fillId="0" borderId="2" xfId="2" applyNumberFormat="1" applyFont="1" applyFill="1" applyBorder="1" applyAlignment="1">
      <alignment horizontal="center" vertical="center" wrapText="1"/>
    </xf>
    <xf numFmtId="49" fontId="34" fillId="0" borderId="2" xfId="2" applyNumberFormat="1" applyFont="1" applyFill="1" applyBorder="1" applyAlignment="1">
      <alignment horizontal="center" vertical="center" wrapText="1"/>
    </xf>
    <xf numFmtId="0" fontId="34" fillId="0" borderId="2" xfId="2" applyFont="1" applyFill="1" applyBorder="1" applyAlignment="1">
      <alignment horizontal="center" vertical="center" wrapText="1"/>
    </xf>
    <xf numFmtId="0" fontId="34" fillId="0" borderId="2" xfId="2" applyFont="1" applyFill="1" applyBorder="1" applyAlignment="1">
      <alignment horizontal="center" vertical="center"/>
    </xf>
    <xf numFmtId="0" fontId="36" fillId="0" borderId="56" xfId="0" applyFont="1" applyFill="1" applyBorder="1" applyAlignment="1" applyProtection="1">
      <alignment horizontal="center" vertical="center"/>
      <protection locked="0"/>
    </xf>
    <xf numFmtId="0" fontId="36" fillId="0" borderId="57" xfId="0" applyFont="1" applyFill="1" applyBorder="1" applyAlignment="1" applyProtection="1">
      <alignment horizontal="center" vertical="center"/>
      <protection locked="0"/>
    </xf>
    <xf numFmtId="0" fontId="36" fillId="0" borderId="58" xfId="0" applyFont="1" applyFill="1" applyBorder="1" applyAlignment="1" applyProtection="1">
      <alignment horizontal="center" vertical="center"/>
      <protection locked="0"/>
    </xf>
    <xf numFmtId="2" fontId="32" fillId="0" borderId="3" xfId="0" applyNumberFormat="1" applyFont="1" applyFill="1" applyBorder="1" applyAlignment="1" applyProtection="1">
      <alignment horizontal="center" vertical="center"/>
      <protection locked="0"/>
    </xf>
    <xf numFmtId="2" fontId="0" fillId="0" borderId="5" xfId="0" applyNumberFormat="1" applyFill="1" applyBorder="1" applyAlignment="1">
      <alignment vertical="center"/>
    </xf>
    <xf numFmtId="2" fontId="0" fillId="0" borderId="4" xfId="0" applyNumberFormat="1" applyFill="1" applyBorder="1" applyAlignment="1">
      <alignment vertical="center"/>
    </xf>
    <xf numFmtId="0" fontId="32" fillId="0" borderId="35" xfId="0" applyFont="1" applyFill="1" applyBorder="1" applyAlignment="1" applyProtection="1">
      <alignment horizontal="center" vertical="center" wrapText="1"/>
      <protection locked="0"/>
    </xf>
    <xf numFmtId="49" fontId="32" fillId="0" borderId="34" xfId="0" applyNumberFormat="1" applyFont="1" applyFill="1" applyBorder="1" applyAlignment="1" applyProtection="1">
      <alignment horizontal="left" vertical="center" wrapText="1"/>
      <protection locked="0"/>
    </xf>
    <xf numFmtId="168" fontId="32" fillId="0" borderId="62" xfId="2" applyNumberFormat="1" applyFont="1" applyFill="1" applyBorder="1" applyAlignment="1" applyProtection="1">
      <alignment horizontal="center" vertical="center"/>
      <protection locked="0"/>
    </xf>
    <xf numFmtId="0" fontId="32" fillId="0" borderId="58" xfId="0" applyFont="1" applyFill="1" applyBorder="1" applyAlignment="1">
      <alignment horizontal="center" vertical="center"/>
    </xf>
    <xf numFmtId="0" fontId="38" fillId="0" borderId="9" xfId="0" applyFont="1" applyFill="1" applyBorder="1" applyAlignment="1" applyProtection="1">
      <alignment horizontal="center" vertical="center"/>
      <protection locked="0"/>
    </xf>
    <xf numFmtId="49" fontId="32" fillId="0" borderId="11" xfId="0" applyNumberFormat="1" applyFont="1" applyFill="1" applyBorder="1" applyAlignment="1" applyProtection="1">
      <alignment horizontal="left" vertical="center" wrapText="1"/>
      <protection locked="0"/>
    </xf>
    <xf numFmtId="0" fontId="32" fillId="0" borderId="9" xfId="0" applyFont="1" applyFill="1" applyBorder="1" applyAlignment="1" applyProtection="1">
      <alignment horizontal="center" vertical="center" wrapText="1"/>
      <protection locked="0"/>
    </xf>
    <xf numFmtId="49" fontId="32" fillId="0" borderId="18" xfId="0" applyNumberFormat="1" applyFont="1" applyFill="1" applyBorder="1" applyAlignment="1" applyProtection="1">
      <alignment horizontal="left" vertical="center" wrapText="1"/>
      <protection locked="0"/>
    </xf>
    <xf numFmtId="168" fontId="32" fillId="0" borderId="63" xfId="2" applyNumberFormat="1" applyFont="1" applyFill="1" applyBorder="1" applyAlignment="1" applyProtection="1">
      <alignment horizontal="center" vertical="center"/>
      <protection locked="0"/>
    </xf>
    <xf numFmtId="0" fontId="32" fillId="0" borderId="64" xfId="0" applyFont="1" applyFill="1" applyBorder="1" applyAlignment="1">
      <alignment horizontal="center" vertical="center"/>
    </xf>
    <xf numFmtId="49" fontId="32" fillId="0" borderId="10" xfId="0" applyNumberFormat="1" applyFont="1" applyFill="1" applyBorder="1" applyAlignment="1" applyProtection="1">
      <alignment horizontal="left" vertical="center" wrapText="1"/>
      <protection locked="0"/>
    </xf>
    <xf numFmtId="168" fontId="32" fillId="0" borderId="10" xfId="2" applyNumberFormat="1" applyFont="1" applyFill="1" applyBorder="1" applyAlignment="1" applyProtection="1">
      <alignment horizontal="center" vertical="center"/>
      <protection locked="0"/>
    </xf>
    <xf numFmtId="0" fontId="32" fillId="0" borderId="12" xfId="0" applyFont="1" applyFill="1" applyBorder="1" applyAlignment="1">
      <alignment horizontal="center" vertical="center"/>
    </xf>
    <xf numFmtId="168" fontId="32" fillId="0" borderId="14" xfId="2" applyNumberFormat="1" applyFont="1" applyFill="1" applyBorder="1" applyAlignment="1" applyProtection="1">
      <alignment horizontal="center" vertical="center"/>
      <protection locked="0"/>
    </xf>
    <xf numFmtId="0" fontId="36" fillId="0" borderId="40" xfId="0" applyFont="1" applyFill="1" applyBorder="1" applyAlignment="1" applyProtection="1">
      <alignment horizontal="center" vertical="center"/>
      <protection locked="0"/>
    </xf>
    <xf numFmtId="49" fontId="32" fillId="0" borderId="14" xfId="0" applyNumberFormat="1" applyFont="1" applyFill="1" applyBorder="1" applyAlignment="1" applyProtection="1">
      <alignment horizontal="left" vertical="center" wrapText="1"/>
      <protection locked="0"/>
    </xf>
    <xf numFmtId="0" fontId="36" fillId="0" borderId="15" xfId="0" applyFont="1" applyFill="1" applyBorder="1" applyAlignment="1" applyProtection="1">
      <alignment horizontal="center" vertical="center"/>
      <protection locked="0"/>
    </xf>
    <xf numFmtId="49" fontId="36" fillId="0" borderId="16" xfId="0" applyNumberFormat="1" applyFont="1" applyFill="1" applyBorder="1" applyAlignment="1" applyProtection="1">
      <alignment horizontal="center" vertical="center"/>
      <protection locked="0"/>
    </xf>
    <xf numFmtId="2" fontId="39" fillId="0" borderId="16" xfId="0" applyNumberFormat="1" applyFont="1" applyFill="1" applyBorder="1" applyAlignment="1" applyProtection="1">
      <alignment horizontal="center" vertical="center"/>
      <protection locked="0"/>
    </xf>
    <xf numFmtId="2" fontId="0" fillId="0" borderId="16" xfId="0" applyNumberFormat="1" applyFill="1" applyBorder="1" applyAlignment="1">
      <alignment vertical="center"/>
    </xf>
    <xf numFmtId="0" fontId="36" fillId="0" borderId="16" xfId="0" applyFont="1" applyFill="1" applyBorder="1" applyAlignment="1" applyProtection="1">
      <alignment horizontal="center" vertical="center"/>
      <protection locked="0"/>
    </xf>
    <xf numFmtId="2" fontId="39" fillId="0" borderId="16" xfId="0" applyNumberFormat="1" applyFont="1" applyFill="1" applyBorder="1" applyAlignment="1" applyProtection="1">
      <alignment horizontal="center" vertical="center"/>
      <protection locked="0"/>
    </xf>
    <xf numFmtId="2" fontId="0" fillId="0" borderId="16" xfId="0" applyNumberFormat="1" applyFill="1" applyBorder="1" applyAlignment="1">
      <alignment vertical="center"/>
    </xf>
    <xf numFmtId="0" fontId="39" fillId="0" borderId="16" xfId="0" applyFont="1" applyFill="1" applyBorder="1" applyAlignment="1">
      <alignment horizontal="center" vertical="center" wrapText="1"/>
    </xf>
    <xf numFmtId="0" fontId="30" fillId="0" borderId="16" xfId="0" applyFont="1" applyFill="1" applyBorder="1" applyAlignment="1">
      <alignment horizontal="center" vertical="center" wrapText="1"/>
    </xf>
    <xf numFmtId="1" fontId="36" fillId="0" borderId="16" xfId="0" applyNumberFormat="1" applyFont="1" applyFill="1" applyBorder="1" applyAlignment="1" applyProtection="1">
      <alignment horizontal="center" vertical="center"/>
      <protection locked="0"/>
    </xf>
    <xf numFmtId="0" fontId="36" fillId="0" borderId="39" xfId="0" applyFont="1" applyFill="1" applyBorder="1" applyAlignment="1" applyProtection="1">
      <alignment horizontal="center" vertical="center"/>
      <protection locked="0"/>
    </xf>
    <xf numFmtId="2" fontId="32" fillId="0" borderId="51" xfId="0" applyNumberFormat="1" applyFon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>
      <alignment vertical="center"/>
    </xf>
    <xf numFmtId="2" fontId="0" fillId="0" borderId="27" xfId="0" applyNumberFormat="1" applyFill="1" applyBorder="1" applyAlignment="1">
      <alignment vertical="center"/>
    </xf>
    <xf numFmtId="49" fontId="32" fillId="0" borderId="3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4" xfId="0" applyFill="1" applyBorder="1" applyAlignment="1">
      <alignment horizontal="left" wrapText="1"/>
    </xf>
    <xf numFmtId="0" fontId="48" fillId="0" borderId="34" xfId="0" applyFont="1" applyFill="1" applyBorder="1" applyAlignment="1">
      <alignment horizontal="center" vertical="center" wrapText="1"/>
    </xf>
    <xf numFmtId="0" fontId="36" fillId="0" borderId="36" xfId="0" applyFont="1" applyFill="1" applyBorder="1" applyAlignment="1" applyProtection="1">
      <alignment horizontal="center" vertical="center"/>
      <protection locked="0"/>
    </xf>
    <xf numFmtId="49" fontId="32" fillId="0" borderId="20" xfId="0" applyNumberFormat="1" applyFont="1" applyFill="1" applyBorder="1" applyAlignment="1" applyProtection="1">
      <alignment horizontal="center" vertical="center" wrapText="1"/>
      <protection locked="0"/>
    </xf>
    <xf numFmtId="168" fontId="32" fillId="0" borderId="31" xfId="2" applyNumberFormat="1" applyFont="1" applyFill="1" applyBorder="1" applyAlignment="1" applyProtection="1">
      <alignment horizontal="center" vertical="center"/>
      <protection locked="0"/>
    </xf>
    <xf numFmtId="0" fontId="32" fillId="0" borderId="37" xfId="0" applyFont="1" applyFill="1" applyBorder="1" applyAlignment="1">
      <alignment horizontal="center" vertical="center" wrapText="1"/>
    </xf>
    <xf numFmtId="49" fontId="32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left" vertical="center" wrapText="1"/>
    </xf>
    <xf numFmtId="0" fontId="37" fillId="0" borderId="10" xfId="0" applyFont="1" applyFill="1" applyBorder="1" applyAlignment="1" applyProtection="1">
      <alignment horizontal="center" vertical="center" wrapText="1"/>
      <protection locked="0"/>
    </xf>
    <xf numFmtId="0" fontId="0" fillId="0" borderId="43" xfId="0" applyFill="1" applyBorder="1" applyAlignment="1">
      <alignment horizont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wrapText="1"/>
    </xf>
    <xf numFmtId="0" fontId="48" fillId="0" borderId="10" xfId="0" applyFont="1" applyFill="1" applyBorder="1" applyAlignment="1">
      <alignment horizontal="left" wrapText="1"/>
    </xf>
    <xf numFmtId="49" fontId="32" fillId="0" borderId="43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10" xfId="0" applyFont="1" applyFill="1" applyBorder="1" applyAlignment="1" applyProtection="1">
      <alignment horizontal="center" vertical="center"/>
      <protection locked="0"/>
    </xf>
    <xf numFmtId="1" fontId="39" fillId="0" borderId="10" xfId="0" applyNumberFormat="1" applyFont="1" applyFill="1" applyBorder="1" applyAlignment="1" applyProtection="1">
      <alignment horizontal="center" vertical="center"/>
      <protection locked="0"/>
    </xf>
    <xf numFmtId="1" fontId="36" fillId="0" borderId="10" xfId="0" applyNumberFormat="1" applyFont="1" applyFill="1" applyBorder="1" applyAlignment="1" applyProtection="1">
      <alignment horizontal="center" vertical="center"/>
      <protection locked="0"/>
    </xf>
    <xf numFmtId="0" fontId="49" fillId="0" borderId="10" xfId="0" applyFont="1" applyFill="1" applyBorder="1" applyAlignment="1" applyProtection="1">
      <alignment horizontal="center" vertical="center"/>
      <protection locked="0"/>
    </xf>
    <xf numFmtId="0" fontId="39" fillId="0" borderId="10" xfId="0" applyFont="1" applyFill="1" applyBorder="1" applyAlignment="1">
      <alignment horizontal="center" vertical="center" wrapText="1"/>
    </xf>
    <xf numFmtId="1" fontId="49" fillId="0" borderId="10" xfId="0" applyNumberFormat="1" applyFont="1" applyFill="1" applyBorder="1" applyAlignment="1" applyProtection="1">
      <alignment horizontal="center" vertical="center"/>
      <protection locked="0"/>
    </xf>
    <xf numFmtId="0" fontId="49" fillId="0" borderId="12" xfId="0" applyFont="1" applyFill="1" applyBorder="1" applyAlignment="1" applyProtection="1">
      <alignment horizontal="center" vertical="center"/>
      <protection locked="0"/>
    </xf>
    <xf numFmtId="1" fontId="32" fillId="0" borderId="10" xfId="0" applyNumberFormat="1" applyFont="1" applyFill="1" applyBorder="1" applyAlignment="1" applyProtection="1">
      <alignment horizontal="center" vertical="center"/>
      <protection locked="0"/>
    </xf>
    <xf numFmtId="49" fontId="32" fillId="0" borderId="50" xfId="0" applyNumberFormat="1" applyFont="1" applyFill="1" applyBorder="1" applyAlignment="1" applyProtection="1">
      <alignment horizontal="left" vertical="center" wrapText="1"/>
      <protection locked="0"/>
    </xf>
    <xf numFmtId="49" fontId="32" fillId="0" borderId="38" xfId="0" applyNumberFormat="1" applyFont="1" applyFill="1" applyBorder="1" applyAlignment="1" applyProtection="1">
      <alignment horizontal="left" vertical="center" wrapText="1"/>
      <protection locked="0"/>
    </xf>
    <xf numFmtId="2" fontId="39" fillId="0" borderId="61" xfId="0" applyNumberFormat="1" applyFont="1" applyFill="1" applyBorder="1" applyAlignment="1" applyProtection="1">
      <alignment horizontal="center" vertical="center"/>
      <protection locked="0"/>
    </xf>
    <xf numFmtId="0" fontId="39" fillId="0" borderId="60" xfId="0" applyFont="1" applyFill="1" applyBorder="1" applyAlignment="1">
      <alignment horizontal="center" vertical="center"/>
    </xf>
    <xf numFmtId="1" fontId="39" fillId="0" borderId="38" xfId="0" applyNumberFormat="1" applyFont="1" applyFill="1" applyBorder="1" applyAlignment="1" applyProtection="1">
      <alignment horizontal="center" vertical="center"/>
      <protection locked="0"/>
    </xf>
    <xf numFmtId="2" fontId="39" fillId="0" borderId="38" xfId="0" applyNumberFormat="1" applyFont="1" applyFill="1" applyBorder="1" applyAlignment="1">
      <alignment vertical="center"/>
    </xf>
    <xf numFmtId="0" fontId="49" fillId="0" borderId="38" xfId="0" applyFont="1" applyFill="1" applyBorder="1" applyAlignment="1" applyProtection="1">
      <alignment horizontal="center" vertical="center"/>
      <protection locked="0"/>
    </xf>
    <xf numFmtId="0" fontId="39" fillId="0" borderId="38" xfId="0" applyFont="1" applyFill="1" applyBorder="1" applyAlignment="1">
      <alignment horizontal="center" vertical="center" wrapText="1"/>
    </xf>
    <xf numFmtId="1" fontId="49" fillId="0" borderId="38" xfId="0" applyNumberFormat="1" applyFont="1" applyFill="1" applyBorder="1" applyAlignment="1" applyProtection="1">
      <alignment horizontal="center" vertical="center"/>
      <protection locked="0"/>
    </xf>
    <xf numFmtId="0" fontId="49" fillId="0" borderId="59" xfId="0" applyFont="1" applyFill="1" applyBorder="1" applyAlignment="1" applyProtection="1">
      <alignment horizontal="center" vertical="center"/>
      <protection locked="0"/>
    </xf>
    <xf numFmtId="0" fontId="39" fillId="0" borderId="34" xfId="0" applyFont="1" applyFill="1" applyBorder="1" applyAlignment="1">
      <alignment horizontal="center" wrapText="1"/>
    </xf>
    <xf numFmtId="0" fontId="39" fillId="0" borderId="34" xfId="0" applyFont="1" applyFill="1" applyBorder="1" applyAlignment="1">
      <alignment horizontal="center" vertical="center"/>
    </xf>
    <xf numFmtId="1" fontId="32" fillId="0" borderId="34" xfId="0" applyNumberFormat="1" applyFont="1" applyFill="1" applyBorder="1" applyAlignment="1" applyProtection="1">
      <alignment horizontal="left" vertical="center" wrapText="1"/>
      <protection locked="0"/>
    </xf>
    <xf numFmtId="1" fontId="32" fillId="0" borderId="34" xfId="0" applyNumberFormat="1" applyFont="1" applyFill="1" applyBorder="1" applyAlignment="1" applyProtection="1">
      <alignment horizontal="center" vertical="center"/>
      <protection locked="0"/>
    </xf>
    <xf numFmtId="0" fontId="38" fillId="0" borderId="36" xfId="0" applyFont="1" applyFill="1" applyBorder="1" applyAlignment="1" applyProtection="1">
      <alignment horizontal="center" vertical="center"/>
      <protection locked="0"/>
    </xf>
    <xf numFmtId="1" fontId="32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39" fillId="0" borderId="10" xfId="0" applyFont="1" applyFill="1" applyBorder="1" applyAlignment="1">
      <alignment horizontal="center" wrapText="1"/>
    </xf>
    <xf numFmtId="0" fontId="39" fillId="0" borderId="10" xfId="0" applyFont="1" applyFill="1" applyBorder="1" applyAlignment="1">
      <alignment horizontal="center" vertical="center"/>
    </xf>
    <xf numFmtId="1" fontId="39" fillId="0" borderId="10" xfId="0" applyNumberFormat="1" applyFont="1" applyFill="1" applyBorder="1" applyAlignment="1">
      <alignment horizontal="center" vertical="center"/>
    </xf>
    <xf numFmtId="0" fontId="48" fillId="0" borderId="10" xfId="0" applyFont="1" applyFill="1" applyBorder="1" applyAlignment="1">
      <alignment horizontal="center" vertical="center" wrapText="1"/>
    </xf>
    <xf numFmtId="0" fontId="48" fillId="0" borderId="12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49" fontId="32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10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/>
    </xf>
    <xf numFmtId="2" fontId="39" fillId="0" borderId="10" xfId="0" applyNumberFormat="1" applyFont="1" applyFill="1" applyBorder="1" applyAlignment="1">
      <alignment horizontal="center" vertical="center" wrapText="1"/>
    </xf>
    <xf numFmtId="0" fontId="38" fillId="0" borderId="10" xfId="0" applyFont="1" applyFill="1" applyBorder="1" applyAlignment="1" applyProtection="1">
      <alignment horizontal="center" vertical="center"/>
      <protection locked="0"/>
    </xf>
    <xf numFmtId="0" fontId="30" fillId="0" borderId="10" xfId="0" applyFont="1" applyFill="1" applyBorder="1" applyAlignment="1">
      <alignment horizontal="center" vertical="center" wrapText="1"/>
    </xf>
    <xf numFmtId="1" fontId="33" fillId="0" borderId="10" xfId="0" applyNumberFormat="1" applyFont="1" applyFill="1" applyBorder="1" applyAlignment="1">
      <alignment horizontal="center" vertical="center"/>
    </xf>
    <xf numFmtId="0" fontId="32" fillId="0" borderId="10" xfId="0" applyFont="1" applyFill="1" applyBorder="1" applyAlignment="1">
      <alignment wrapText="1"/>
    </xf>
    <xf numFmtId="1" fontId="33" fillId="0" borderId="10" xfId="0" applyNumberFormat="1" applyFont="1" applyFill="1" applyBorder="1" applyAlignment="1">
      <alignment vertical="center"/>
    </xf>
    <xf numFmtId="0" fontId="33" fillId="0" borderId="10" xfId="0" applyFont="1" applyFill="1" applyBorder="1" applyAlignment="1">
      <alignment vertical="center"/>
    </xf>
    <xf numFmtId="0" fontId="39" fillId="0" borderId="10" xfId="0" applyFont="1" applyFill="1" applyBorder="1" applyAlignment="1">
      <alignment wrapText="1"/>
    </xf>
    <xf numFmtId="0" fontId="39" fillId="0" borderId="10" xfId="0" applyFont="1" applyFill="1" applyBorder="1" applyAlignment="1">
      <alignment horizontal="center"/>
    </xf>
    <xf numFmtId="0" fontId="33" fillId="0" borderId="15" xfId="0" applyFont="1" applyFill="1" applyBorder="1" applyAlignment="1">
      <alignment vertical="center"/>
    </xf>
    <xf numFmtId="0" fontId="33" fillId="0" borderId="16" xfId="0" applyFont="1" applyFill="1" applyBorder="1" applyAlignment="1">
      <alignment vertical="center"/>
    </xf>
    <xf numFmtId="0" fontId="39" fillId="0" borderId="16" xfId="0" applyFont="1" applyFill="1" applyBorder="1" applyAlignment="1">
      <alignment horizontal="center" vertical="center"/>
    </xf>
    <xf numFmtId="1" fontId="39" fillId="0" borderId="16" xfId="0" applyNumberFormat="1" applyFont="1" applyFill="1" applyBorder="1" applyAlignment="1">
      <alignment horizontal="center" vertical="center"/>
    </xf>
    <xf numFmtId="0" fontId="33" fillId="0" borderId="39" xfId="0" applyFont="1" applyFill="1" applyBorder="1" applyAlignment="1">
      <alignment vertical="center"/>
    </xf>
    <xf numFmtId="2" fontId="32" fillId="0" borderId="21" xfId="0" applyNumberFormat="1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>
      <alignment vertical="center"/>
    </xf>
    <xf numFmtId="2" fontId="0" fillId="0" borderId="22" xfId="0" applyNumberFormat="1" applyFill="1" applyBorder="1" applyAlignment="1">
      <alignment vertical="center"/>
    </xf>
    <xf numFmtId="49" fontId="32" fillId="0" borderId="35" xfId="0" applyNumberFormat="1" applyFont="1" applyFill="1" applyBorder="1" applyAlignment="1" applyProtection="1">
      <alignment horizontal="center" vertical="center"/>
      <protection locked="0"/>
    </xf>
    <xf numFmtId="168" fontId="32" fillId="0" borderId="48" xfId="2" applyNumberFormat="1" applyFont="1" applyFill="1" applyBorder="1" applyAlignment="1" applyProtection="1">
      <alignment horizontal="center" vertical="center"/>
      <protection locked="0"/>
    </xf>
    <xf numFmtId="0" fontId="32" fillId="0" borderId="36" xfId="0" applyFont="1" applyFill="1" applyBorder="1" applyAlignment="1">
      <alignment horizontal="center" vertical="center"/>
    </xf>
    <xf numFmtId="49" fontId="32" fillId="0" borderId="9" xfId="0" applyNumberFormat="1" applyFont="1" applyFill="1" applyBorder="1" applyAlignment="1" applyProtection="1">
      <alignment horizontal="center" vertical="center"/>
      <protection locked="0"/>
    </xf>
    <xf numFmtId="168" fontId="32" fillId="0" borderId="11" xfId="2" applyNumberFormat="1" applyFont="1" applyFill="1" applyBorder="1" applyAlignment="1" applyProtection="1">
      <alignment horizontal="center" vertical="center"/>
      <protection locked="0"/>
    </xf>
    <xf numFmtId="168" fontId="32" fillId="0" borderId="12" xfId="2" applyNumberFormat="1" applyFont="1" applyFill="1" applyBorder="1" applyAlignment="1" applyProtection="1">
      <alignment horizontal="center" vertical="center"/>
      <protection locked="0"/>
    </xf>
    <xf numFmtId="171" fontId="32" fillId="0" borderId="12" xfId="2" applyNumberFormat="1" applyFont="1" applyFill="1" applyBorder="1" applyAlignment="1" applyProtection="1">
      <alignment horizontal="center" vertical="center"/>
      <protection locked="0"/>
    </xf>
    <xf numFmtId="169" fontId="32" fillId="0" borderId="10" xfId="0" applyNumberFormat="1" applyFont="1" applyFill="1" applyBorder="1" applyAlignment="1" applyProtection="1">
      <alignment horizontal="center" vertical="center"/>
      <protection locked="0"/>
    </xf>
    <xf numFmtId="49" fontId="32" fillId="0" borderId="10" xfId="0" applyNumberFormat="1" applyFont="1" applyFill="1" applyBorder="1" applyAlignment="1" applyProtection="1">
      <alignment horizontal="left" vertical="center"/>
      <protection locked="0"/>
    </xf>
    <xf numFmtId="49" fontId="32" fillId="0" borderId="19" xfId="0" applyNumberFormat="1" applyFont="1" applyFill="1" applyBorder="1" applyAlignment="1" applyProtection="1">
      <alignment horizontal="left" vertical="center"/>
      <protection locked="0"/>
    </xf>
    <xf numFmtId="0" fontId="39" fillId="0" borderId="50" xfId="0" applyFont="1" applyFill="1" applyBorder="1" applyAlignment="1" applyProtection="1">
      <alignment horizontal="center" vertical="center"/>
      <protection locked="0"/>
    </xf>
    <xf numFmtId="49" fontId="39" fillId="0" borderId="38" xfId="0" applyNumberFormat="1" applyFont="1" applyFill="1" applyBorder="1" applyAlignment="1" applyProtection="1">
      <alignment horizontal="left" vertical="center"/>
      <protection locked="0"/>
    </xf>
    <xf numFmtId="2" fontId="39" fillId="0" borderId="38" xfId="0" applyNumberFormat="1" applyFont="1" applyFill="1" applyBorder="1" applyAlignment="1" applyProtection="1">
      <alignment horizontal="center" vertical="center"/>
      <protection locked="0"/>
    </xf>
    <xf numFmtId="2" fontId="0" fillId="0" borderId="38" xfId="0" applyNumberFormat="1" applyFill="1" applyBorder="1" applyAlignment="1">
      <alignment vertical="center"/>
    </xf>
    <xf numFmtId="0" fontId="39" fillId="0" borderId="38" xfId="0" applyFont="1" applyFill="1" applyBorder="1" applyAlignment="1">
      <alignment horizontal="center" vertical="center"/>
    </xf>
    <xf numFmtId="169" fontId="39" fillId="0" borderId="38" xfId="0" applyNumberFormat="1" applyFont="1" applyFill="1" applyBorder="1" applyAlignment="1" applyProtection="1">
      <alignment horizontal="center" vertical="center"/>
      <protection locked="0"/>
    </xf>
    <xf numFmtId="0" fontId="39" fillId="0" borderId="38" xfId="0" applyFont="1" applyFill="1" applyBorder="1" applyAlignment="1" applyProtection="1">
      <alignment horizontal="center" vertical="center"/>
      <protection locked="0"/>
    </xf>
    <xf numFmtId="0" fontId="42" fillId="0" borderId="38" xfId="0" applyFont="1" applyFill="1" applyBorder="1" applyAlignment="1">
      <alignment horizontal="center" vertical="center"/>
    </xf>
    <xf numFmtId="1" fontId="32" fillId="0" borderId="38" xfId="0" applyNumberFormat="1" applyFont="1" applyFill="1" applyBorder="1" applyAlignment="1">
      <alignment horizontal="center" vertical="center" wrapText="1"/>
    </xf>
    <xf numFmtId="1" fontId="32" fillId="0" borderId="38" xfId="0" applyNumberFormat="1" applyFont="1" applyFill="1" applyBorder="1" applyAlignment="1">
      <alignment horizontal="center" vertical="center"/>
    </xf>
    <xf numFmtId="1" fontId="39" fillId="0" borderId="38" xfId="0" applyNumberFormat="1" applyFont="1" applyFill="1" applyBorder="1" applyAlignment="1">
      <alignment horizontal="center" vertical="center" wrapText="1"/>
    </xf>
    <xf numFmtId="1" fontId="39" fillId="0" borderId="38" xfId="0" applyNumberFormat="1" applyFont="1" applyFill="1" applyBorder="1" applyAlignment="1">
      <alignment horizontal="center" vertical="center"/>
    </xf>
    <xf numFmtId="0" fontId="39" fillId="0" borderId="59" xfId="0" applyFont="1" applyFill="1" applyBorder="1" applyAlignment="1">
      <alignment horizontal="center" vertical="center"/>
    </xf>
    <xf numFmtId="2" fontId="32" fillId="0" borderId="9" xfId="0" applyNumberFormat="1" applyFont="1" applyFill="1" applyBorder="1" applyAlignment="1" applyProtection="1">
      <alignment horizontal="center" vertical="center"/>
      <protection locked="0"/>
    </xf>
    <xf numFmtId="0" fontId="32" fillId="0" borderId="9" xfId="0" applyFont="1" applyFill="1" applyBorder="1" applyAlignment="1" applyProtection="1">
      <alignment horizontal="center" vertical="center"/>
      <protection locked="0"/>
    </xf>
    <xf numFmtId="0" fontId="32" fillId="0" borderId="20" xfId="0" applyFont="1" applyFill="1" applyBorder="1" applyAlignment="1" applyProtection="1">
      <alignment horizontal="center" vertical="center"/>
      <protection locked="0"/>
    </xf>
    <xf numFmtId="169" fontId="32" fillId="0" borderId="14" xfId="0" applyNumberFormat="1" applyFont="1" applyFill="1" applyBorder="1" applyAlignment="1" applyProtection="1">
      <alignment horizontal="center" vertical="center"/>
      <protection locked="0"/>
    </xf>
    <xf numFmtId="169" fontId="39" fillId="0" borderId="10" xfId="0" applyNumberFormat="1" applyFont="1" applyFill="1" applyBorder="1" applyAlignment="1">
      <alignment horizontal="center" vertical="center"/>
    </xf>
    <xf numFmtId="49" fontId="32" fillId="0" borderId="43" xfId="0" applyNumberFormat="1" applyFont="1" applyFill="1" applyBorder="1" applyAlignment="1" applyProtection="1">
      <alignment horizontal="center" vertical="center"/>
      <protection locked="0"/>
    </xf>
    <xf numFmtId="49" fontId="32" fillId="0" borderId="44" xfId="0" applyNumberFormat="1" applyFont="1" applyFill="1" applyBorder="1" applyAlignment="1" applyProtection="1">
      <alignment horizontal="center" vertical="center"/>
      <protection locked="0"/>
    </xf>
    <xf numFmtId="168" fontId="32" fillId="0" borderId="28" xfId="2" applyNumberFormat="1" applyFont="1" applyFill="1" applyBorder="1" applyAlignment="1" applyProtection="1">
      <alignment horizontal="center" vertical="center"/>
      <protection locked="0"/>
    </xf>
    <xf numFmtId="0" fontId="32" fillId="0" borderId="41" xfId="0" applyFont="1" applyFill="1" applyBorder="1" applyAlignment="1">
      <alignment horizontal="center" vertical="center"/>
    </xf>
    <xf numFmtId="0" fontId="39" fillId="0" borderId="43" xfId="0" applyFont="1" applyFill="1" applyBorder="1" applyAlignment="1" applyProtection="1">
      <alignment horizontal="center" vertical="center"/>
      <protection locked="0"/>
    </xf>
    <xf numFmtId="49" fontId="39" fillId="0" borderId="10" xfId="0" applyNumberFormat="1" applyFont="1" applyFill="1" applyBorder="1" applyAlignment="1" applyProtection="1">
      <alignment horizontal="left" vertical="center"/>
      <protection locked="0"/>
    </xf>
    <xf numFmtId="0" fontId="33" fillId="0" borderId="21" xfId="0" applyFont="1" applyFill="1" applyBorder="1" applyAlignment="1" applyProtection="1">
      <alignment horizontal="center" vertical="center"/>
      <protection locked="0"/>
    </xf>
    <xf numFmtId="165" fontId="39" fillId="0" borderId="38" xfId="0" applyNumberFormat="1" applyFont="1" applyFill="1" applyBorder="1" applyAlignment="1">
      <alignment horizontal="center" vertical="center"/>
    </xf>
    <xf numFmtId="0" fontId="33" fillId="0" borderId="38" xfId="0" applyFont="1" applyFill="1" applyBorder="1" applyAlignment="1">
      <alignment horizontal="center" vertical="center"/>
    </xf>
    <xf numFmtId="1" fontId="33" fillId="0" borderId="38" xfId="0" applyNumberFormat="1" applyFont="1" applyFill="1" applyBorder="1" applyAlignment="1">
      <alignment horizontal="center" vertical="center"/>
    </xf>
    <xf numFmtId="1" fontId="33" fillId="0" borderId="1" xfId="0" applyNumberFormat="1" applyFont="1" applyFill="1" applyBorder="1" applyAlignment="1">
      <alignment horizontal="center" vertical="center"/>
    </xf>
    <xf numFmtId="1" fontId="33" fillId="0" borderId="61" xfId="0" applyNumberFormat="1" applyFont="1" applyFill="1" applyBorder="1" applyAlignment="1">
      <alignment horizontal="center" vertical="center"/>
    </xf>
    <xf numFmtId="0" fontId="33" fillId="0" borderId="59" xfId="0" applyFont="1" applyFill="1" applyBorder="1" applyAlignment="1">
      <alignment horizontal="center" vertical="center"/>
    </xf>
    <xf numFmtId="49" fontId="32" fillId="0" borderId="45" xfId="0" applyNumberFormat="1" applyFont="1" applyFill="1" applyBorder="1" applyAlignment="1" applyProtection="1">
      <alignment horizontal="center" vertical="center"/>
      <protection locked="0"/>
    </xf>
    <xf numFmtId="169" fontId="39" fillId="0" borderId="34" xfId="0" applyNumberFormat="1" applyFont="1" applyFill="1" applyBorder="1" applyAlignment="1" applyProtection="1">
      <alignment horizontal="center" vertical="center"/>
      <protection locked="0"/>
    </xf>
    <xf numFmtId="0" fontId="33" fillId="0" borderId="9" xfId="0" applyFont="1" applyFill="1" applyBorder="1" applyAlignment="1" applyProtection="1">
      <alignment horizontal="center" vertical="center"/>
      <protection locked="0"/>
    </xf>
    <xf numFmtId="2" fontId="32" fillId="0" borderId="10" xfId="0" applyNumberFormat="1" applyFont="1" applyFill="1" applyBorder="1" applyAlignment="1" applyProtection="1">
      <alignment horizontal="center" vertical="center"/>
      <protection locked="0"/>
    </xf>
    <xf numFmtId="2" fontId="47" fillId="0" borderId="10" xfId="0" applyNumberFormat="1" applyFont="1" applyFill="1" applyBorder="1" applyAlignment="1">
      <alignment horizontal="center" vertical="center"/>
    </xf>
    <xf numFmtId="0" fontId="32" fillId="0" borderId="10" xfId="0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center" vertical="center"/>
    </xf>
    <xf numFmtId="1" fontId="32" fillId="0" borderId="10" xfId="0" applyNumberFormat="1" applyFont="1" applyFill="1" applyBorder="1" applyAlignment="1">
      <alignment horizontal="center" vertical="center" wrapText="1"/>
    </xf>
    <xf numFmtId="0" fontId="34" fillId="0" borderId="12" xfId="0" applyFont="1" applyFill="1" applyBorder="1" applyAlignment="1">
      <alignment horizontal="center" vertical="center"/>
    </xf>
    <xf numFmtId="2" fontId="40" fillId="0" borderId="9" xfId="0" applyNumberFormat="1" applyFont="1" applyFill="1" applyBorder="1" applyAlignment="1" applyProtection="1">
      <alignment horizontal="center" vertical="center" wrapText="1"/>
      <protection locked="0"/>
    </xf>
    <xf numFmtId="1" fontId="32" fillId="0" borderId="10" xfId="0" applyNumberFormat="1" applyFont="1" applyFill="1" applyBorder="1" applyAlignment="1">
      <alignment horizontal="center" vertical="center"/>
    </xf>
    <xf numFmtId="169" fontId="34" fillId="0" borderId="10" xfId="0" applyNumberFormat="1" applyFont="1" applyFill="1" applyBorder="1" applyAlignment="1">
      <alignment horizontal="center" vertical="center"/>
    </xf>
    <xf numFmtId="1" fontId="34" fillId="0" borderId="10" xfId="0" applyNumberFormat="1" applyFont="1" applyFill="1" applyBorder="1" applyAlignment="1">
      <alignment horizontal="center" vertical="center"/>
    </xf>
    <xf numFmtId="0" fontId="34" fillId="0" borderId="14" xfId="0" applyFont="1" applyFill="1" applyBorder="1" applyAlignment="1">
      <alignment horizontal="center" vertical="center"/>
    </xf>
    <xf numFmtId="0" fontId="32" fillId="0" borderId="41" xfId="0" applyFont="1" applyFill="1" applyBorder="1" applyAlignment="1">
      <alignment horizontal="center" vertical="center" wrapText="1"/>
    </xf>
    <xf numFmtId="49" fontId="39" fillId="0" borderId="11" xfId="0" applyNumberFormat="1" applyFont="1" applyFill="1" applyBorder="1" applyAlignment="1" applyProtection="1">
      <alignment horizontal="left" vertical="center"/>
      <protection locked="0"/>
    </xf>
    <xf numFmtId="169" fontId="39" fillId="0" borderId="10" xfId="0" applyNumberFormat="1" applyFont="1" applyFill="1" applyBorder="1" applyAlignment="1" applyProtection="1">
      <alignment horizontal="center" vertical="center"/>
      <protection locked="0"/>
    </xf>
    <xf numFmtId="2" fontId="39" fillId="0" borderId="10" xfId="0" applyNumberFormat="1" applyFont="1" applyFill="1" applyBorder="1" applyAlignment="1" applyProtection="1">
      <alignment horizontal="center" vertical="center"/>
      <protection locked="0"/>
    </xf>
    <xf numFmtId="2" fontId="0" fillId="0" borderId="10" xfId="0" applyNumberFormat="1" applyFill="1" applyBorder="1" applyAlignment="1">
      <alignment horizontal="center" vertical="center"/>
    </xf>
    <xf numFmtId="49" fontId="39" fillId="0" borderId="0" xfId="0" applyNumberFormat="1" applyFont="1" applyFill="1" applyAlignment="1" applyProtection="1">
      <alignment horizontal="left" vertical="center"/>
      <protection locked="0"/>
    </xf>
    <xf numFmtId="2" fontId="39" fillId="0" borderId="14" xfId="0" applyNumberFormat="1" applyFont="1" applyFill="1" applyBorder="1" applyAlignment="1" applyProtection="1">
      <alignment horizontal="center" vertical="center"/>
      <protection locked="0"/>
    </xf>
    <xf numFmtId="0" fontId="42" fillId="0" borderId="10" xfId="0" applyFont="1" applyFill="1" applyBorder="1" applyAlignment="1">
      <alignment horizontal="center" vertical="center"/>
    </xf>
    <xf numFmtId="2" fontId="31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ill="1" applyBorder="1" applyAlignment="1">
      <alignment horizontal="center" vertical="center" wrapText="1"/>
    </xf>
    <xf numFmtId="1" fontId="0" fillId="0" borderId="10" xfId="0" applyNumberFormat="1" applyFill="1" applyBorder="1" applyAlignment="1">
      <alignment horizontal="center" vertical="center"/>
    </xf>
    <xf numFmtId="169" fontId="0" fillId="0" borderId="10" xfId="0" applyNumberFormat="1" applyFill="1" applyBorder="1" applyAlignment="1">
      <alignment horizontal="center" vertical="center"/>
    </xf>
    <xf numFmtId="2" fontId="0" fillId="0" borderId="12" xfId="0" applyNumberFormat="1" applyFill="1" applyBorder="1" applyAlignment="1">
      <alignment horizontal="center" vertical="center"/>
    </xf>
    <xf numFmtId="1" fontId="39" fillId="0" borderId="10" xfId="0" applyNumberFormat="1" applyFont="1" applyFill="1" applyBorder="1" applyAlignment="1">
      <alignment horizontal="center" vertical="center" wrapText="1"/>
    </xf>
    <xf numFmtId="0" fontId="39" fillId="0" borderId="12" xfId="0" applyFont="1" applyFill="1" applyBorder="1" applyAlignment="1">
      <alignment horizontal="center" vertical="center"/>
    </xf>
    <xf numFmtId="49" fontId="32" fillId="0" borderId="40" xfId="0" applyNumberFormat="1" applyFont="1" applyFill="1" applyBorder="1" applyAlignment="1" applyProtection="1">
      <alignment horizontal="center" vertical="center"/>
      <protection locked="0"/>
    </xf>
    <xf numFmtId="0" fontId="33" fillId="0" borderId="50" xfId="0" applyFont="1" applyFill="1" applyBorder="1" applyAlignment="1" applyProtection="1">
      <alignment horizontal="center" vertical="center"/>
      <protection locked="0"/>
    </xf>
    <xf numFmtId="0" fontId="39" fillId="0" borderId="1" xfId="0" applyFont="1" applyFill="1" applyBorder="1" applyAlignment="1">
      <alignment horizontal="center" vertical="center"/>
    </xf>
    <xf numFmtId="0" fontId="33" fillId="0" borderId="34" xfId="0" applyFont="1" applyFill="1" applyBorder="1" applyAlignment="1">
      <alignment horizontal="center" vertical="center"/>
    </xf>
    <xf numFmtId="49" fontId="32" fillId="0" borderId="20" xfId="0" applyNumberFormat="1" applyFont="1" applyFill="1" applyBorder="1" applyAlignment="1" applyProtection="1">
      <alignment horizontal="center" vertical="center"/>
      <protection locked="0"/>
    </xf>
    <xf numFmtId="0" fontId="34" fillId="0" borderId="9" xfId="0" applyFont="1" applyFill="1" applyBorder="1" applyAlignment="1" applyProtection="1">
      <alignment horizontal="center" vertical="center"/>
      <protection locked="0"/>
    </xf>
    <xf numFmtId="2" fontId="32" fillId="0" borderId="20" xfId="0" applyNumberFormat="1" applyFont="1" applyFill="1" applyBorder="1" applyAlignment="1" applyProtection="1">
      <alignment horizontal="center" vertical="center"/>
      <protection locked="0"/>
    </xf>
    <xf numFmtId="0" fontId="32" fillId="0" borderId="18" xfId="0" applyFont="1" applyFill="1" applyBorder="1" applyAlignment="1">
      <alignment horizontal="center" vertical="center"/>
    </xf>
    <xf numFmtId="169" fontId="32" fillId="0" borderId="18" xfId="0" applyNumberFormat="1" applyFont="1" applyFill="1" applyBorder="1" applyAlignment="1">
      <alignment horizontal="center" vertical="center"/>
    </xf>
    <xf numFmtId="2" fontId="44" fillId="0" borderId="9" xfId="0" applyNumberFormat="1" applyFont="1" applyFill="1" applyBorder="1" applyAlignment="1" applyProtection="1">
      <alignment horizontal="center" vertical="center"/>
      <protection locked="0"/>
    </xf>
    <xf numFmtId="2" fontId="32" fillId="0" borderId="40" xfId="0" applyNumberFormat="1" applyFont="1" applyFill="1" applyBorder="1" applyAlignment="1" applyProtection="1">
      <alignment horizontal="center" vertical="center"/>
      <protection locked="0"/>
    </xf>
    <xf numFmtId="0" fontId="39" fillId="0" borderId="14" xfId="0" applyFont="1" applyFill="1" applyBorder="1" applyAlignment="1">
      <alignment horizontal="center" vertical="center"/>
    </xf>
    <xf numFmtId="1" fontId="39" fillId="0" borderId="14" xfId="0" applyNumberFormat="1" applyFont="1" applyFill="1" applyBorder="1" applyAlignment="1">
      <alignment horizontal="center" vertical="center" wrapText="1"/>
    </xf>
    <xf numFmtId="1" fontId="39" fillId="0" borderId="14" xfId="0" applyNumberFormat="1" applyFont="1" applyFill="1" applyBorder="1" applyAlignment="1">
      <alignment horizontal="center" vertical="center"/>
    </xf>
    <xf numFmtId="0" fontId="39" fillId="0" borderId="41" xfId="0" applyFont="1" applyFill="1" applyBorder="1" applyAlignment="1">
      <alignment horizontal="center" vertical="center"/>
    </xf>
    <xf numFmtId="2" fontId="32" fillId="0" borderId="15" xfId="0" applyNumberFormat="1" applyFont="1" applyFill="1" applyBorder="1" applyAlignment="1" applyProtection="1">
      <alignment horizontal="center" vertical="center"/>
      <protection locked="0"/>
    </xf>
    <xf numFmtId="49" fontId="32" fillId="0" borderId="16" xfId="0" applyNumberFormat="1" applyFont="1" applyFill="1" applyBorder="1" applyAlignment="1" applyProtection="1">
      <alignment horizontal="left" vertical="center" wrapText="1"/>
      <protection locked="0"/>
    </xf>
    <xf numFmtId="0" fontId="32" fillId="0" borderId="16" xfId="0" applyFont="1" applyFill="1" applyBorder="1" applyAlignment="1">
      <alignment horizontal="center" vertical="center"/>
    </xf>
    <xf numFmtId="168" fontId="44" fillId="0" borderId="16" xfId="2" applyNumberFormat="1" applyFont="1" applyFill="1" applyBorder="1" applyAlignment="1" applyProtection="1">
      <alignment horizontal="center" vertical="center"/>
      <protection locked="0"/>
    </xf>
    <xf numFmtId="0" fontId="44" fillId="0" borderId="39" xfId="0" applyFont="1" applyFill="1" applyBorder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32" fillId="0" borderId="12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 applyProtection="1">
      <alignment horizontal="center" vertical="center"/>
      <protection locked="0"/>
    </xf>
    <xf numFmtId="0" fontId="33" fillId="0" borderId="15" xfId="0" applyFont="1" applyFill="1" applyBorder="1" applyAlignment="1" applyProtection="1">
      <alignment horizontal="center" vertical="center"/>
      <protection locked="0"/>
    </xf>
    <xf numFmtId="49" fontId="33" fillId="0" borderId="16" xfId="0" applyNumberFormat="1" applyFont="1" applyFill="1" applyBorder="1" applyAlignment="1" applyProtection="1">
      <alignment horizontal="left" vertical="center"/>
      <protection locked="0"/>
    </xf>
    <xf numFmtId="2" fontId="0" fillId="0" borderId="16" xfId="0" applyNumberFormat="1" applyFill="1" applyBorder="1" applyAlignment="1">
      <alignment horizontal="center" vertical="center"/>
    </xf>
    <xf numFmtId="0" fontId="39" fillId="0" borderId="16" xfId="0" applyFont="1" applyFill="1" applyBorder="1" applyAlignment="1" applyProtection="1">
      <alignment horizontal="center" vertical="center"/>
      <protection locked="0"/>
    </xf>
    <xf numFmtId="169" fontId="39" fillId="0" borderId="16" xfId="0" applyNumberFormat="1" applyFont="1" applyFill="1" applyBorder="1" applyAlignment="1" applyProtection="1">
      <alignment horizontal="center" vertical="center"/>
      <protection locked="0"/>
    </xf>
    <xf numFmtId="0" fontId="39" fillId="0" borderId="16" xfId="0" applyFont="1" applyFill="1" applyBorder="1" applyAlignment="1" applyProtection="1">
      <alignment horizontal="left" vertical="center"/>
      <protection locked="0"/>
    </xf>
    <xf numFmtId="0" fontId="33" fillId="0" borderId="16" xfId="0" applyFont="1" applyFill="1" applyBorder="1" applyAlignment="1">
      <alignment horizontal="center" vertical="center"/>
    </xf>
    <xf numFmtId="1" fontId="32" fillId="0" borderId="16" xfId="0" applyNumberFormat="1" applyFont="1" applyFill="1" applyBorder="1" applyAlignment="1">
      <alignment horizontal="center" vertical="center" wrapText="1"/>
    </xf>
    <xf numFmtId="1" fontId="32" fillId="0" borderId="16" xfId="0" applyNumberFormat="1" applyFont="1" applyFill="1" applyBorder="1" applyAlignment="1">
      <alignment horizontal="center" vertical="center"/>
    </xf>
    <xf numFmtId="1" fontId="33" fillId="0" borderId="16" xfId="0" applyNumberFormat="1" applyFont="1" applyFill="1" applyBorder="1" applyAlignment="1">
      <alignment vertical="center"/>
    </xf>
    <xf numFmtId="168" fontId="32" fillId="0" borderId="34" xfId="2" applyNumberFormat="1" applyFont="1" applyFill="1" applyBorder="1" applyAlignment="1" applyProtection="1">
      <alignment horizontal="center" vertical="center"/>
      <protection locked="0"/>
    </xf>
    <xf numFmtId="0" fontId="39" fillId="0" borderId="12" xfId="0" applyFont="1" applyFill="1" applyBorder="1" applyAlignment="1">
      <alignment vertical="center"/>
    </xf>
    <xf numFmtId="0" fontId="39" fillId="0" borderId="9" xfId="0" applyFont="1" applyFill="1" applyBorder="1" applyAlignment="1" applyProtection="1">
      <alignment horizontal="center" vertical="center"/>
      <protection locked="0"/>
    </xf>
    <xf numFmtId="0" fontId="32" fillId="0" borderId="37" xfId="0" applyFont="1" applyFill="1" applyBorder="1" applyAlignment="1">
      <alignment horizontal="center" vertical="center"/>
    </xf>
    <xf numFmtId="2" fontId="39" fillId="0" borderId="9" xfId="0" applyNumberFormat="1" applyFont="1" applyFill="1" applyBorder="1" applyAlignment="1" applyProtection="1">
      <alignment horizontal="center" vertical="center"/>
      <protection locked="0"/>
    </xf>
    <xf numFmtId="0" fontId="39" fillId="0" borderId="10" xfId="0" applyFont="1" applyFill="1" applyBorder="1" applyAlignment="1" applyProtection="1">
      <alignment horizontal="center" vertical="center"/>
      <protection locked="0"/>
    </xf>
    <xf numFmtId="0" fontId="46" fillId="0" borderId="10" xfId="0" applyFont="1" applyFill="1" applyBorder="1" applyAlignment="1">
      <alignment horizontal="center" vertical="center"/>
    </xf>
    <xf numFmtId="168" fontId="32" fillId="0" borderId="18" xfId="2" applyNumberFormat="1" applyFont="1" applyFill="1" applyBorder="1" applyAlignment="1" applyProtection="1">
      <alignment horizontal="center" vertical="center"/>
      <protection locked="0"/>
    </xf>
    <xf numFmtId="169" fontId="33" fillId="0" borderId="10" xfId="0" applyNumberFormat="1" applyFont="1" applyFill="1" applyBorder="1" applyAlignment="1">
      <alignment horizontal="center" vertical="center"/>
    </xf>
    <xf numFmtId="0" fontId="33" fillId="0" borderId="12" xfId="0" applyFont="1" applyFill="1" applyBorder="1" applyAlignment="1">
      <alignment horizontal="center" vertical="center"/>
    </xf>
    <xf numFmtId="49" fontId="32" fillId="0" borderId="53" xfId="0" applyNumberFormat="1" applyFont="1" applyFill="1" applyBorder="1" applyAlignment="1" applyProtection="1">
      <alignment horizontal="center" vertical="center"/>
      <protection locked="0"/>
    </xf>
    <xf numFmtId="0" fontId="33" fillId="0" borderId="12" xfId="0" applyFont="1" applyFill="1" applyBorder="1" applyAlignment="1">
      <alignment vertical="center"/>
    </xf>
    <xf numFmtId="0" fontId="33" fillId="0" borderId="43" xfId="0" applyFont="1" applyFill="1" applyBorder="1" applyAlignment="1" applyProtection="1">
      <alignment horizontal="center" vertical="center"/>
      <protection locked="0"/>
    </xf>
    <xf numFmtId="0" fontId="33" fillId="0" borderId="42" xfId="0" applyFont="1" applyFill="1" applyBorder="1" applyAlignment="1" applyProtection="1">
      <alignment horizontal="center" vertical="center"/>
      <protection locked="0"/>
    </xf>
    <xf numFmtId="0" fontId="33" fillId="0" borderId="10" xfId="0" applyFont="1" applyFill="1" applyBorder="1" applyAlignment="1" applyProtection="1">
      <alignment horizontal="center" vertical="center"/>
      <protection locked="0"/>
    </xf>
    <xf numFmtId="0" fontId="39" fillId="0" borderId="42" xfId="0" applyFont="1" applyFill="1" applyBorder="1" applyAlignment="1" applyProtection="1">
      <alignment horizontal="center" vertical="center"/>
      <protection locked="0"/>
    </xf>
    <xf numFmtId="2" fontId="39" fillId="0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60" xfId="0" applyNumberFormat="1" applyFill="1" applyBorder="1" applyAlignment="1">
      <alignment horizontal="center" vertical="center"/>
    </xf>
    <xf numFmtId="0" fontId="39" fillId="0" borderId="38" xfId="0" applyFont="1" applyFill="1" applyBorder="1" applyAlignment="1" applyProtection="1">
      <alignment horizontal="left" vertical="center"/>
      <protection locked="0"/>
    </xf>
    <xf numFmtId="0" fontId="33" fillId="0" borderId="38" xfId="0" applyFont="1" applyFill="1" applyBorder="1" applyAlignment="1">
      <alignment vertical="center"/>
    </xf>
    <xf numFmtId="0" fontId="33" fillId="0" borderId="59" xfId="0" applyFont="1" applyFill="1" applyBorder="1" applyAlignment="1">
      <alignment vertical="center"/>
    </xf>
    <xf numFmtId="49" fontId="39" fillId="0" borderId="34" xfId="0" applyNumberFormat="1" applyFont="1" applyFill="1" applyBorder="1" applyAlignment="1" applyProtection="1">
      <alignment horizontal="left" vertical="center"/>
      <protection locked="0"/>
    </xf>
    <xf numFmtId="0" fontId="0" fillId="0" borderId="34" xfId="0" applyFill="1" applyBorder="1" applyAlignment="1">
      <alignment horizontal="center" vertical="center" wrapText="1"/>
    </xf>
    <xf numFmtId="0" fontId="32" fillId="0" borderId="34" xfId="0" applyFont="1" applyFill="1" applyBorder="1" applyAlignment="1">
      <alignment horizontal="center" vertical="center" wrapText="1"/>
    </xf>
    <xf numFmtId="49" fontId="39" fillId="0" borderId="18" xfId="0" applyNumberFormat="1" applyFont="1" applyFill="1" applyBorder="1" applyAlignment="1" applyProtection="1">
      <alignment horizontal="left" vertical="center"/>
      <protection locked="0"/>
    </xf>
    <xf numFmtId="169" fontId="39" fillId="0" borderId="18" xfId="0" applyNumberFormat="1" applyFont="1" applyFill="1" applyBorder="1" applyAlignment="1" applyProtection="1">
      <alignment horizontal="center" vertical="center"/>
      <protection locked="0"/>
    </xf>
    <xf numFmtId="0" fontId="32" fillId="0" borderId="18" xfId="0" applyFont="1" applyFill="1" applyBorder="1" applyAlignment="1">
      <alignment horizontal="center" vertical="center" wrapText="1"/>
    </xf>
    <xf numFmtId="0" fontId="39" fillId="0" borderId="12" xfId="0" applyFont="1" applyFill="1" applyBorder="1" applyAlignment="1" applyProtection="1">
      <alignment horizontal="center" vertical="center"/>
      <protection locked="0"/>
    </xf>
    <xf numFmtId="0" fontId="39" fillId="0" borderId="10" xfId="0" applyFont="1" applyFill="1" applyBorder="1" applyAlignment="1">
      <alignment vertical="center"/>
    </xf>
    <xf numFmtId="49" fontId="32" fillId="0" borderId="50" xfId="0" applyNumberFormat="1" applyFont="1" applyFill="1" applyBorder="1" applyAlignment="1" applyProtection="1">
      <alignment horizontal="center" vertical="center"/>
      <protection locked="0"/>
    </xf>
    <xf numFmtId="0" fontId="39" fillId="0" borderId="38" xfId="0" applyFont="1" applyFill="1" applyBorder="1" applyAlignment="1">
      <alignment vertical="center"/>
    </xf>
    <xf numFmtId="0" fontId="39" fillId="0" borderId="59" xfId="0" applyFont="1" applyFill="1" applyBorder="1" applyAlignment="1">
      <alignment vertical="center"/>
    </xf>
    <xf numFmtId="2" fontId="39" fillId="0" borderId="34" xfId="0" applyNumberFormat="1" applyFont="1" applyFill="1" applyBorder="1" applyAlignment="1" applyProtection="1">
      <alignment horizontal="center" vertical="center"/>
      <protection locked="0"/>
    </xf>
    <xf numFmtId="2" fontId="0" fillId="0" borderId="34" xfId="0" applyNumberFormat="1" applyFill="1" applyBorder="1" applyAlignment="1">
      <alignment vertical="center"/>
    </xf>
    <xf numFmtId="0" fontId="39" fillId="0" borderId="34" xfId="0" applyFont="1" applyFill="1" applyBorder="1" applyAlignment="1" applyProtection="1">
      <alignment horizontal="center" vertical="center"/>
      <protection locked="0"/>
    </xf>
    <xf numFmtId="0" fontId="32" fillId="0" borderId="34" xfId="0" applyFont="1" applyFill="1" applyBorder="1" applyAlignment="1">
      <alignment horizontal="center" vertical="center"/>
    </xf>
    <xf numFmtId="1" fontId="32" fillId="0" borderId="34" xfId="0" applyNumberFormat="1" applyFont="1" applyFill="1" applyBorder="1" applyAlignment="1">
      <alignment horizontal="center" vertical="center" wrapText="1"/>
    </xf>
    <xf numFmtId="1" fontId="32" fillId="0" borderId="34" xfId="0" applyNumberFormat="1" applyFont="1" applyFill="1" applyBorder="1" applyAlignment="1">
      <alignment horizontal="center" vertical="center"/>
    </xf>
    <xf numFmtId="1" fontId="33" fillId="0" borderId="34" xfId="0" applyNumberFormat="1" applyFont="1" applyFill="1" applyBorder="1" applyAlignment="1">
      <alignment vertical="center"/>
    </xf>
    <xf numFmtId="0" fontId="33" fillId="0" borderId="34" xfId="0" applyFont="1" applyFill="1" applyBorder="1" applyAlignment="1">
      <alignment vertical="center"/>
    </xf>
    <xf numFmtId="0" fontId="33" fillId="0" borderId="36" xfId="0" applyFont="1" applyFill="1" applyBorder="1" applyAlignment="1">
      <alignment vertical="center"/>
    </xf>
    <xf numFmtId="0" fontId="37" fillId="0" borderId="12" xfId="0" applyFont="1" applyFill="1" applyBorder="1" applyAlignment="1">
      <alignment horizontal="center" vertical="center"/>
    </xf>
    <xf numFmtId="1" fontId="33" fillId="0" borderId="10" xfId="0" applyNumberFormat="1" applyFont="1" applyFill="1" applyBorder="1" applyAlignment="1">
      <alignment horizontal="center" vertical="center" wrapText="1"/>
    </xf>
    <xf numFmtId="49" fontId="42" fillId="0" borderId="10" xfId="0" applyNumberFormat="1" applyFont="1" applyFill="1" applyBorder="1" applyAlignment="1" applyProtection="1">
      <alignment horizontal="left" vertical="center"/>
      <protection locked="0"/>
    </xf>
    <xf numFmtId="49" fontId="39" fillId="0" borderId="10" xfId="0" applyNumberFormat="1" applyFont="1" applyFill="1" applyBorder="1" applyAlignment="1" applyProtection="1">
      <alignment horizontal="center" vertical="center"/>
      <protection locked="0"/>
    </xf>
    <xf numFmtId="49" fontId="39" fillId="0" borderId="10" xfId="0" applyNumberFormat="1" applyFont="1" applyFill="1" applyBorder="1" applyAlignment="1" applyProtection="1">
      <alignment horizontal="left" vertical="center" wrapText="1"/>
      <protection locked="0"/>
    </xf>
    <xf numFmtId="49" fontId="46" fillId="0" borderId="10" xfId="0" applyNumberFormat="1" applyFont="1" applyFill="1" applyBorder="1" applyAlignment="1" applyProtection="1">
      <alignment horizontal="left" vertical="center"/>
      <protection locked="0"/>
    </xf>
    <xf numFmtId="49" fontId="39" fillId="0" borderId="16" xfId="0" applyNumberFormat="1" applyFont="1" applyFill="1" applyBorder="1" applyAlignment="1" applyProtection="1">
      <alignment horizontal="left" vertical="center"/>
      <protection locked="0"/>
    </xf>
    <xf numFmtId="1" fontId="33" fillId="0" borderId="38" xfId="0" applyNumberFormat="1" applyFont="1" applyFill="1" applyBorder="1" applyAlignment="1">
      <alignment vertical="center"/>
    </xf>
    <xf numFmtId="2" fontId="32" fillId="0" borderId="5" xfId="0" applyNumberFormat="1" applyFont="1" applyFill="1" applyBorder="1" applyAlignment="1" applyProtection="1">
      <alignment horizontal="center" vertical="center"/>
      <protection locked="0"/>
    </xf>
    <xf numFmtId="2" fontId="32" fillId="0" borderId="4" xfId="0" applyNumberFormat="1" applyFont="1" applyFill="1" applyBorder="1" applyAlignment="1" applyProtection="1">
      <alignment horizontal="center" vertical="center"/>
      <protection locked="0"/>
    </xf>
    <xf numFmtId="0" fontId="40" fillId="0" borderId="37" xfId="0" applyFont="1" applyFill="1" applyBorder="1" applyAlignment="1">
      <alignment horizontal="center" vertical="center" wrapText="1"/>
    </xf>
    <xf numFmtId="2" fontId="32" fillId="0" borderId="43" xfId="0" applyNumberFormat="1" applyFont="1" applyFill="1" applyBorder="1" applyAlignment="1" applyProtection="1">
      <alignment horizontal="center" vertical="center"/>
      <protection locked="0"/>
    </xf>
    <xf numFmtId="0" fontId="32" fillId="0" borderId="49" xfId="0" applyFont="1" applyFill="1" applyBorder="1" applyAlignment="1">
      <alignment horizontal="center" vertical="center"/>
    </xf>
    <xf numFmtId="2" fontId="0" fillId="0" borderId="38" xfId="0" applyNumberFormat="1" applyFill="1" applyBorder="1" applyAlignment="1">
      <alignment horizontal="center" vertical="center"/>
    </xf>
    <xf numFmtId="0" fontId="32" fillId="0" borderId="38" xfId="0" applyFont="1" applyFill="1" applyBorder="1" applyAlignment="1" applyProtection="1">
      <alignment horizontal="center" vertical="center"/>
      <protection locked="0"/>
    </xf>
    <xf numFmtId="169" fontId="32" fillId="0" borderId="38" xfId="0" applyNumberFormat="1" applyFont="1" applyFill="1" applyBorder="1" applyAlignment="1" applyProtection="1">
      <alignment horizontal="center" vertical="center"/>
      <protection locked="0"/>
    </xf>
    <xf numFmtId="0" fontId="32" fillId="0" borderId="38" xfId="0" applyFont="1" applyFill="1" applyBorder="1" applyAlignment="1" applyProtection="1">
      <alignment horizontal="left" vertical="center"/>
      <protection locked="0"/>
    </xf>
    <xf numFmtId="0" fontId="34" fillId="0" borderId="38" xfId="0" applyFont="1" applyFill="1" applyBorder="1" applyAlignment="1">
      <alignment horizontal="center" vertical="center"/>
    </xf>
    <xf numFmtId="0" fontId="32" fillId="0" borderId="38" xfId="0" applyFont="1" applyFill="1" applyBorder="1" applyAlignment="1">
      <alignment horizontal="center" vertical="center"/>
    </xf>
    <xf numFmtId="1" fontId="28" fillId="0" borderId="38" xfId="0" applyNumberFormat="1" applyFont="1" applyFill="1" applyBorder="1" applyAlignment="1">
      <alignment vertical="center"/>
    </xf>
    <xf numFmtId="0" fontId="28" fillId="0" borderId="38" xfId="0" applyFont="1" applyFill="1" applyBorder="1" applyAlignment="1">
      <alignment vertical="center"/>
    </xf>
    <xf numFmtId="0" fontId="28" fillId="0" borderId="59" xfId="0" applyFont="1" applyFill="1" applyBorder="1" applyAlignment="1">
      <alignment vertical="center"/>
    </xf>
    <xf numFmtId="2" fontId="32" fillId="0" borderId="55" xfId="0" applyNumberFormat="1" applyFont="1" applyFill="1" applyBorder="1" applyAlignment="1" applyProtection="1">
      <alignment horizontal="center" vertical="center"/>
      <protection locked="0"/>
    </xf>
    <xf numFmtId="2" fontId="32" fillId="0" borderId="0" xfId="0" applyNumberFormat="1" applyFont="1" applyFill="1" applyAlignment="1" applyProtection="1">
      <alignment horizontal="center" vertical="center"/>
      <protection locked="0"/>
    </xf>
    <xf numFmtId="2" fontId="32" fillId="0" borderId="17" xfId="0" applyNumberFormat="1" applyFont="1" applyFill="1" applyBorder="1" applyAlignment="1" applyProtection="1">
      <alignment horizontal="center" vertical="center"/>
      <protection locked="0"/>
    </xf>
    <xf numFmtId="2" fontId="32" fillId="0" borderId="45" xfId="0" applyNumberFormat="1" applyFont="1" applyFill="1" applyBorder="1" applyAlignment="1" applyProtection="1">
      <alignment horizontal="center" vertical="center"/>
      <protection locked="0"/>
    </xf>
    <xf numFmtId="49" fontId="32" fillId="0" borderId="34" xfId="0" applyNumberFormat="1" applyFont="1" applyFill="1" applyBorder="1" applyAlignment="1" applyProtection="1">
      <alignment horizontal="left" vertical="center"/>
      <protection locked="0"/>
    </xf>
    <xf numFmtId="2" fontId="32" fillId="0" borderId="34" xfId="0" applyNumberFormat="1" applyFont="1" applyFill="1" applyBorder="1" applyAlignment="1" applyProtection="1">
      <alignment horizontal="center" vertical="center"/>
      <protection locked="0"/>
    </xf>
    <xf numFmtId="1" fontId="32" fillId="0" borderId="34" xfId="0" applyNumberFormat="1" applyFont="1" applyFill="1" applyBorder="1" applyAlignment="1" applyProtection="1">
      <alignment horizontal="center" vertical="center" wrapText="1"/>
      <protection locked="0"/>
    </xf>
    <xf numFmtId="1" fontId="32" fillId="0" borderId="36" xfId="0" applyNumberFormat="1" applyFont="1" applyFill="1" applyBorder="1" applyAlignment="1" applyProtection="1">
      <alignment horizontal="center" vertical="center"/>
      <protection locked="0"/>
    </xf>
    <xf numFmtId="2" fontId="32" fillId="0" borderId="53" xfId="0" applyNumberFormat="1" applyFont="1" applyFill="1" applyBorder="1" applyAlignment="1" applyProtection="1">
      <alignment horizontal="center" vertical="center"/>
      <protection locked="0"/>
    </xf>
    <xf numFmtId="1" fontId="32" fillId="0" borderId="10" xfId="0" applyNumberFormat="1" applyFont="1" applyFill="1" applyBorder="1" applyAlignment="1" applyProtection="1">
      <alignment horizontal="center" vertical="center" wrapText="1"/>
      <protection locked="0"/>
    </xf>
    <xf numFmtId="2" fontId="32" fillId="0" borderId="52" xfId="0" applyNumberFormat="1" applyFont="1" applyFill="1" applyBorder="1" applyAlignment="1" applyProtection="1">
      <alignment horizontal="center" vertical="center"/>
      <protection locked="0"/>
    </xf>
    <xf numFmtId="0" fontId="32" fillId="0" borderId="52" xfId="0" applyFont="1" applyFill="1" applyBorder="1" applyAlignment="1">
      <alignment horizontal="center" vertical="center"/>
    </xf>
    <xf numFmtId="0" fontId="32" fillId="0" borderId="52" xfId="0" applyFont="1" applyFill="1" applyBorder="1" applyAlignment="1">
      <alignment horizontal="center" vertical="center" wrapText="1"/>
    </xf>
    <xf numFmtId="2" fontId="44" fillId="0" borderId="43" xfId="0" applyNumberFormat="1" applyFont="1" applyFill="1" applyBorder="1" applyAlignment="1" applyProtection="1">
      <alignment horizontal="center" vertical="center"/>
      <protection locked="0"/>
    </xf>
    <xf numFmtId="0" fontId="28" fillId="0" borderId="50" xfId="0" applyFont="1" applyFill="1" applyBorder="1" applyAlignment="1" applyProtection="1">
      <alignment horizontal="center" vertical="center"/>
      <protection locked="0"/>
    </xf>
    <xf numFmtId="49" fontId="32" fillId="0" borderId="38" xfId="0" applyNumberFormat="1" applyFont="1" applyFill="1" applyBorder="1" applyAlignment="1" applyProtection="1">
      <alignment horizontal="left" vertical="center"/>
      <protection locked="0"/>
    </xf>
    <xf numFmtId="1" fontId="34" fillId="0" borderId="38" xfId="0" applyNumberFormat="1" applyFont="1" applyFill="1" applyBorder="1" applyAlignment="1">
      <alignment vertical="center"/>
    </xf>
    <xf numFmtId="0" fontId="34" fillId="0" borderId="38" xfId="0" applyFont="1" applyFill="1" applyBorder="1" applyAlignment="1">
      <alignment vertical="center"/>
    </xf>
    <xf numFmtId="0" fontId="34" fillId="0" borderId="59" xfId="0" applyFont="1" applyFill="1" applyBorder="1" applyAlignment="1">
      <alignment vertical="center"/>
    </xf>
    <xf numFmtId="2" fontId="32" fillId="0" borderId="1" xfId="0" applyNumberFormat="1" applyFont="1" applyFill="1" applyBorder="1" applyAlignment="1" applyProtection="1">
      <alignment horizontal="center" vertical="center"/>
      <protection locked="0"/>
    </xf>
    <xf numFmtId="2" fontId="32" fillId="0" borderId="22" xfId="0" applyNumberFormat="1" applyFont="1" applyFill="1" applyBorder="1" applyAlignment="1" applyProtection="1">
      <alignment horizontal="center" vertical="center"/>
      <protection locked="0"/>
    </xf>
    <xf numFmtId="169" fontId="32" fillId="0" borderId="34" xfId="0" applyNumberFormat="1" applyFont="1" applyFill="1" applyBorder="1" applyAlignment="1" applyProtection="1">
      <alignment horizontal="center" vertical="center"/>
      <protection locked="0"/>
    </xf>
    <xf numFmtId="2" fontId="32" fillId="0" borderId="46" xfId="0" applyNumberFormat="1" applyFont="1" applyFill="1" applyBorder="1" applyAlignment="1" applyProtection="1">
      <alignment horizontal="center" vertical="center"/>
      <protection locked="0"/>
    </xf>
    <xf numFmtId="49" fontId="32" fillId="0" borderId="18" xfId="0" applyNumberFormat="1" applyFont="1" applyFill="1" applyBorder="1" applyAlignment="1" applyProtection="1">
      <alignment horizontal="left" vertical="center"/>
      <protection locked="0"/>
    </xf>
    <xf numFmtId="2" fontId="32" fillId="0" borderId="18" xfId="0" applyNumberFormat="1" applyFont="1" applyFill="1" applyBorder="1" applyAlignment="1" applyProtection="1">
      <alignment horizontal="center" vertical="center"/>
      <protection locked="0"/>
    </xf>
    <xf numFmtId="2" fontId="44" fillId="0" borderId="18" xfId="0" applyNumberFormat="1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>
      <alignment vertical="center"/>
    </xf>
    <xf numFmtId="49" fontId="44" fillId="0" borderId="53" xfId="0" applyNumberFormat="1" applyFont="1" applyFill="1" applyBorder="1" applyAlignment="1" applyProtection="1">
      <alignment horizontal="center" vertical="center"/>
      <protection locked="0"/>
    </xf>
    <xf numFmtId="0" fontId="44" fillId="0" borderId="49" xfId="0" applyFont="1" applyFill="1" applyBorder="1" applyAlignment="1">
      <alignment horizontal="center" vertical="center"/>
    </xf>
    <xf numFmtId="0" fontId="44" fillId="0" borderId="12" xfId="0" applyFont="1" applyFill="1" applyBorder="1" applyAlignment="1">
      <alignment horizontal="center" vertical="center"/>
    </xf>
    <xf numFmtId="49" fontId="32" fillId="0" borderId="6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0" xfId="0" applyFill="1" applyBorder="1" applyAlignment="1">
      <alignment horizontal="center" vertical="center" wrapText="1"/>
    </xf>
    <xf numFmtId="0" fontId="32" fillId="0" borderId="37" xfId="0" applyFont="1" applyFill="1" applyBorder="1" applyAlignment="1">
      <alignment horizontal="center" wrapText="1"/>
    </xf>
    <xf numFmtId="0" fontId="33" fillId="0" borderId="9" xfId="0" applyFont="1" applyFill="1" applyBorder="1" applyAlignment="1">
      <alignment vertical="center"/>
    </xf>
    <xf numFmtId="0" fontId="32" fillId="0" borderId="12" xfId="0" applyFont="1" applyFill="1" applyBorder="1" applyAlignment="1">
      <alignment horizontal="center" wrapText="1"/>
    </xf>
    <xf numFmtId="0" fontId="33" fillId="0" borderId="50" xfId="0" applyFont="1" applyFill="1" applyBorder="1" applyAlignment="1">
      <alignment vertical="center"/>
    </xf>
    <xf numFmtId="49" fontId="32" fillId="0" borderId="38" xfId="0" applyNumberFormat="1" applyFont="1" applyFill="1" applyBorder="1" applyAlignment="1" applyProtection="1">
      <alignment horizontal="center" vertical="center"/>
      <protection locked="0"/>
    </xf>
    <xf numFmtId="0" fontId="0" fillId="0" borderId="38" xfId="0" applyFill="1" applyBorder="1" applyAlignment="1">
      <alignment horizontal="center" vertical="center"/>
    </xf>
    <xf numFmtId="2" fontId="32" fillId="0" borderId="35" xfId="0" applyNumberFormat="1" applyFont="1" applyFill="1" applyBorder="1" applyAlignment="1" applyProtection="1">
      <alignment horizontal="center" vertical="center"/>
      <protection locked="0"/>
    </xf>
    <xf numFmtId="168" fontId="32" fillId="0" borderId="36" xfId="2" applyNumberFormat="1" applyFont="1" applyFill="1" applyBorder="1" applyAlignment="1" applyProtection="1">
      <alignment horizontal="center" vertical="center"/>
      <protection locked="0"/>
    </xf>
    <xf numFmtId="0" fontId="33" fillId="0" borderId="55" xfId="0" applyFont="1" applyFill="1" applyBorder="1" applyAlignment="1">
      <alignment vertical="center"/>
    </xf>
    <xf numFmtId="2" fontId="32" fillId="0" borderId="54" xfId="0" applyNumberFormat="1" applyFont="1" applyFill="1" applyBorder="1" applyAlignment="1" applyProtection="1">
      <alignment horizontal="center" vertical="center"/>
      <protection locked="0"/>
    </xf>
    <xf numFmtId="2" fontId="32" fillId="0" borderId="65" xfId="0" applyNumberFormat="1" applyFont="1" applyFill="1" applyBorder="1" applyAlignment="1" applyProtection="1">
      <alignment horizontal="center" vertical="center"/>
      <protection locked="0"/>
    </xf>
    <xf numFmtId="0" fontId="37" fillId="0" borderId="38" xfId="0" applyFont="1" applyFill="1" applyBorder="1" applyAlignment="1">
      <alignment horizontal="center" vertical="center"/>
    </xf>
    <xf numFmtId="0" fontId="32" fillId="0" borderId="59" xfId="0" applyFont="1" applyFill="1" applyBorder="1" applyAlignment="1">
      <alignment horizontal="center" vertical="center"/>
    </xf>
    <xf numFmtId="0" fontId="32" fillId="0" borderId="50" xfId="0" applyFont="1" applyFill="1" applyBorder="1" applyAlignment="1" applyProtection="1">
      <alignment horizontal="center" vertical="center"/>
      <protection locked="0"/>
    </xf>
    <xf numFmtId="0" fontId="33" fillId="0" borderId="34" xfId="0" applyFont="1" applyFill="1" applyBorder="1" applyAlignment="1" applyProtection="1">
      <alignment horizontal="center" vertical="center"/>
      <protection locked="0"/>
    </xf>
    <xf numFmtId="168" fontId="32" fillId="0" borderId="12" xfId="2" applyNumberFormat="1" applyFont="1" applyFill="1" applyBorder="1" applyAlignment="1" applyProtection="1">
      <alignment horizontal="center" vertical="center" wrapText="1"/>
      <protection locked="0"/>
    </xf>
    <xf numFmtId="1" fontId="39" fillId="0" borderId="10" xfId="0" applyNumberFormat="1" applyFont="1" applyFill="1" applyBorder="1" applyAlignment="1">
      <alignment vertical="center"/>
    </xf>
    <xf numFmtId="2" fontId="0" fillId="0" borderId="43" xfId="0" applyNumberFormat="1" applyFill="1" applyBorder="1" applyAlignment="1">
      <alignment horizontal="center" vertical="center" wrapText="1"/>
    </xf>
    <xf numFmtId="49" fontId="33" fillId="0" borderId="38" xfId="0" applyNumberFormat="1" applyFont="1" applyFill="1" applyBorder="1" applyAlignment="1" applyProtection="1">
      <alignment horizontal="left" vertical="center"/>
      <protection locked="0"/>
    </xf>
    <xf numFmtId="2" fontId="32" fillId="0" borderId="38" xfId="0" applyNumberFormat="1" applyFont="1" applyFill="1" applyBorder="1" applyAlignment="1" applyProtection="1">
      <alignment horizontal="center" vertical="center"/>
      <protection locked="0"/>
    </xf>
    <xf numFmtId="0" fontId="0" fillId="0" borderId="60" xfId="0" applyFill="1" applyBorder="1" applyAlignment="1">
      <alignment horizontal="center" vertical="center"/>
    </xf>
  </cellXfs>
  <cellStyles count="5">
    <cellStyle name="Обычный" xfId="0" builtinId="0"/>
    <cellStyle name="Обычный_SPECIFIKATION" xfId="1" xr:uid="{F369BCF5-A213-424F-8B1C-8D7D3CDFF99D}"/>
    <cellStyle name="Обычный_SPECIFIKATION 2" xfId="4" xr:uid="{DF57328B-0B03-4C2B-9F89-99D8C7FA845E}"/>
    <cellStyle name="Обычный_Техническое предложение1" xfId="2" xr:uid="{4FD8D72B-2422-4581-9251-EF422D29555F}"/>
    <cellStyle name="Финансовый 2" xfId="3" xr:uid="{D2BE47AE-CC78-4553-B84E-C5103BDD1F72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.letavin\Desktop\&#1058;&#1077;&#1087;&#1083;&#1086;&#1090;&#1077;&#1093;&#1085;&#1080;&#1095;&#1077;&#1089;&#1082;&#1080;&#1081;%20&#1088;&#1072;&#1089;&#1095;&#1077;&#1090;_&#1050;&#1055;&#105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.tkachenko\Desktop\100_&#1058;&#1042;&#1054;%20&#1061;&#1054;&#1042;&#105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ain\&#1087;&#1088;&#1086;&#1077;&#1082;&#1090;&#1099;\11-238%20&#1050;&#1072;&#1085;&#1090;&#1077;&#1084;&#1080;&#1088;&#1086;&#1074;&#1089;&#1082;&#1072;&#1103;%208%20(&#1056;&#1057;&#1059;-15)\&#1055;&#1088;&#1086;&#1077;&#1082;&#1090;\11%20&#1082;&#1086;&#1088;&#1087;\&#1057;&#1090;&#1072;&#1076;&#1080;&#1103;%20&#1056;\&#1042;&#1077;&#1085;&#1090;&#1080;&#1083;&#1103;&#1094;&#1080;&#1103;\10-123-&#1054;&#1042;_&#1061;&#1072;&#1088;&#1072;&#1082;&#1090;&#1077;&#1088;&#1080;&#1089;&#1090;&#1080;&#1082;&#1072;%20&#1089;&#1080;&#1089;&#1090;&#1077;&#1084;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ачало"/>
      <sheetName val="Итоговая таблица"/>
      <sheetName val="Климатология"/>
      <sheetName val="Коэф."/>
      <sheetName val="Коэф. неоднородности"/>
    </sheetNames>
    <sheetDataSet>
      <sheetData sheetId="0" refreshError="1"/>
      <sheetData sheetId="1" refreshError="1"/>
      <sheetData sheetId="2">
        <row r="5">
          <cell r="A5" t="str">
            <v>Абакан*</v>
          </cell>
        </row>
        <row r="6">
          <cell r="A6" t="str">
            <v>Агата*</v>
          </cell>
        </row>
        <row r="7">
          <cell r="A7" t="str">
            <v>Агзу</v>
          </cell>
        </row>
        <row r="8">
          <cell r="A8" t="str">
            <v>Агинское</v>
          </cell>
        </row>
        <row r="9">
          <cell r="A9" t="str">
            <v>Акша</v>
          </cell>
        </row>
        <row r="10">
          <cell r="A10" t="str">
            <v>Алдан*</v>
          </cell>
        </row>
        <row r="11">
          <cell r="A11" t="str">
            <v>Алейск</v>
          </cell>
        </row>
        <row r="12">
          <cell r="A12" t="str">
            <v>Александров Гай</v>
          </cell>
        </row>
        <row r="13">
          <cell r="A13" t="str">
            <v>Александровский Завод</v>
          </cell>
        </row>
        <row r="14">
          <cell r="A14" t="str">
            <v>Александровское*</v>
          </cell>
        </row>
        <row r="15">
          <cell r="A15" t="str">
            <v>Александровск-Сахалинский*</v>
          </cell>
        </row>
        <row r="16">
          <cell r="A16" t="str">
            <v>Аллах-Юнь</v>
          </cell>
        </row>
        <row r="17">
          <cell r="A17" t="str">
            <v>Алыгджер</v>
          </cell>
        </row>
        <row r="18">
          <cell r="A18" t="str">
            <v>Амга</v>
          </cell>
        </row>
        <row r="19">
          <cell r="A19" t="str">
            <v>Анадырь*</v>
          </cell>
        </row>
        <row r="20">
          <cell r="A20" t="str">
            <v>Анучино</v>
          </cell>
        </row>
        <row r="21">
          <cell r="A21" t="str">
            <v>Апука</v>
          </cell>
        </row>
        <row r="22">
          <cell r="A22" t="str">
            <v>Арзамас</v>
          </cell>
        </row>
        <row r="23">
          <cell r="A23" t="str">
            <v>Арзгир</v>
          </cell>
        </row>
        <row r="24">
          <cell r="A24" t="str">
            <v>Аркагала</v>
          </cell>
        </row>
        <row r="25">
          <cell r="A25" t="str">
            <v>Архангельск*</v>
          </cell>
        </row>
        <row r="26">
          <cell r="A26" t="str">
            <v>Архангельск*</v>
          </cell>
        </row>
        <row r="27">
          <cell r="A27" t="str">
            <v>Архара*</v>
          </cell>
        </row>
        <row r="28">
          <cell r="A28" t="str">
            <v>Астраханка</v>
          </cell>
        </row>
        <row r="29">
          <cell r="A29" t="str">
            <v>Астрахань*</v>
          </cell>
        </row>
        <row r="30">
          <cell r="A30" t="str">
            <v>Ачинск*</v>
          </cell>
        </row>
        <row r="31">
          <cell r="A31" t="str">
            <v>Аян</v>
          </cell>
        </row>
        <row r="32">
          <cell r="A32" t="str">
            <v>Бабаево</v>
          </cell>
        </row>
        <row r="33">
          <cell r="A33" t="str">
            <v>Бабушкин*</v>
          </cell>
        </row>
        <row r="34">
          <cell r="A34" t="str">
            <v>Багдарин*</v>
          </cell>
        </row>
        <row r="35">
          <cell r="A35" t="str">
            <v>Байдуков</v>
          </cell>
        </row>
        <row r="36">
          <cell r="A36" t="str">
            <v>Байкит</v>
          </cell>
        </row>
        <row r="37">
          <cell r="A37" t="str">
            <v>Балашов</v>
          </cell>
        </row>
        <row r="38">
          <cell r="A38" t="str">
            <v>Барабинск*</v>
          </cell>
        </row>
        <row r="39">
          <cell r="A39" t="str">
            <v>Баргузин*</v>
          </cell>
        </row>
        <row r="40">
          <cell r="A40" t="str">
            <v>Барнаул</v>
          </cell>
        </row>
        <row r="41">
          <cell r="A41" t="str">
            <v>Батамай</v>
          </cell>
        </row>
        <row r="42">
          <cell r="A42" t="str">
            <v>Бежецк</v>
          </cell>
        </row>
        <row r="43">
          <cell r="A43" t="str">
            <v>Белгород</v>
          </cell>
        </row>
        <row r="44">
          <cell r="A44" t="str">
            <v>Белогорск</v>
          </cell>
        </row>
        <row r="45">
          <cell r="A45" t="str">
            <v>Белорецк</v>
          </cell>
        </row>
        <row r="46">
          <cell r="A46" t="str">
            <v>Беля</v>
          </cell>
        </row>
        <row r="47">
          <cell r="A47" t="str">
            <v>Бердигястях</v>
          </cell>
        </row>
        <row r="48">
          <cell r="A48" t="str">
            <v>Березово</v>
          </cell>
        </row>
        <row r="49">
          <cell r="A49" t="str">
            <v>Березово</v>
          </cell>
        </row>
        <row r="50">
          <cell r="A50" t="str">
            <v>Бийск-Зональная*</v>
          </cell>
        </row>
        <row r="51">
          <cell r="A51" t="str">
            <v>Бикин</v>
          </cell>
        </row>
        <row r="52">
          <cell r="A52" t="str">
            <v>Бира</v>
          </cell>
        </row>
        <row r="53">
          <cell r="A53" t="str">
            <v>Биробиджан</v>
          </cell>
        </row>
        <row r="54">
          <cell r="A54" t="str">
            <v>Бисер*</v>
          </cell>
        </row>
        <row r="55">
          <cell r="A55" t="str">
            <v>Благовещенск*</v>
          </cell>
        </row>
        <row r="56">
          <cell r="A56" t="str">
            <v>Богополь</v>
          </cell>
        </row>
        <row r="57">
          <cell r="A57" t="str">
            <v>Боготол</v>
          </cell>
        </row>
        <row r="58">
          <cell r="A58" t="str">
            <v>Богучаны*</v>
          </cell>
        </row>
        <row r="59">
          <cell r="A59" t="str">
            <v>Бодайбо*</v>
          </cell>
        </row>
        <row r="60">
          <cell r="A60" t="str">
            <v>Болотное*</v>
          </cell>
        </row>
        <row r="61">
          <cell r="A61" t="str">
            <v>Бомнак*</v>
          </cell>
        </row>
        <row r="62">
          <cell r="A62" t="str">
            <v>Борзя*</v>
          </cell>
        </row>
        <row r="63">
          <cell r="A63" t="str">
            <v>Борковская</v>
          </cell>
        </row>
        <row r="64">
          <cell r="A64" t="str">
            <v>Борковская</v>
          </cell>
        </row>
        <row r="65">
          <cell r="A65" t="str">
            <v>Боровичи</v>
          </cell>
        </row>
        <row r="66">
          <cell r="A66" t="str">
            <v>Братолюбовка</v>
          </cell>
        </row>
        <row r="67">
          <cell r="A67" t="str">
            <v>Братск</v>
          </cell>
        </row>
        <row r="68">
          <cell r="A68" t="str">
            <v>Брохово*</v>
          </cell>
        </row>
        <row r="69">
          <cell r="A69" t="str">
            <v>Брянск*</v>
          </cell>
        </row>
        <row r="70">
          <cell r="A70" t="str">
            <v>Бугульма</v>
          </cell>
        </row>
        <row r="71">
          <cell r="A71" t="str">
            <v>Буяга</v>
          </cell>
        </row>
        <row r="72">
          <cell r="A72" t="str">
            <v>Бысса</v>
          </cell>
        </row>
        <row r="73">
          <cell r="A73" t="str">
            <v>Вайда-Губа*</v>
          </cell>
        </row>
        <row r="74">
          <cell r="A74" t="str">
            <v>Ванавара</v>
          </cell>
        </row>
        <row r="75">
          <cell r="A75" t="str">
            <v>Варандей</v>
          </cell>
        </row>
        <row r="76">
          <cell r="A76" t="str">
            <v>Великие Луки*</v>
          </cell>
        </row>
        <row r="77">
          <cell r="A77" t="str">
            <v>Великий Новгород</v>
          </cell>
        </row>
        <row r="78">
          <cell r="A78" t="str">
            <v>Вельмо</v>
          </cell>
        </row>
        <row r="79">
          <cell r="A79" t="str">
            <v>Вендинга</v>
          </cell>
        </row>
        <row r="80">
          <cell r="A80" t="str">
            <v>Верхнеимбатск*</v>
          </cell>
        </row>
        <row r="81">
          <cell r="A81" t="str">
            <v>Верхнеуральск</v>
          </cell>
        </row>
        <row r="82">
          <cell r="A82" t="str">
            <v>Верхний Баскунчак*</v>
          </cell>
        </row>
        <row r="83">
          <cell r="A83" t="str">
            <v>Верхняя Гутара*</v>
          </cell>
        </row>
        <row r="84">
          <cell r="A84" t="str">
            <v>Верхотурье*</v>
          </cell>
        </row>
        <row r="85">
          <cell r="A85" t="str">
            <v>Верхоянск*</v>
          </cell>
        </row>
        <row r="86">
          <cell r="A86" t="str">
            <v>Вилюйск*</v>
          </cell>
        </row>
        <row r="87">
          <cell r="A87" t="str">
            <v>Витим*</v>
          </cell>
        </row>
        <row r="88">
          <cell r="A88" t="str">
            <v>Владивосток*</v>
          </cell>
        </row>
        <row r="89">
          <cell r="A89" t="str">
            <v>Владикавказ*</v>
          </cell>
        </row>
        <row r="90">
          <cell r="A90" t="str">
            <v>Владимир</v>
          </cell>
        </row>
        <row r="91">
          <cell r="A91" t="str">
            <v>Волгоград*</v>
          </cell>
        </row>
        <row r="92">
          <cell r="A92" t="str">
            <v>Вологда*</v>
          </cell>
        </row>
        <row r="93">
          <cell r="A93" t="str">
            <v>Волочанка*</v>
          </cell>
        </row>
        <row r="94">
          <cell r="A94" t="str">
            <v>Воркута</v>
          </cell>
        </row>
        <row r="95">
          <cell r="A95" t="str">
            <v>Воронеж*</v>
          </cell>
        </row>
        <row r="96">
          <cell r="A96" t="str">
            <v>Воронцово</v>
          </cell>
        </row>
        <row r="97">
          <cell r="A97" t="str">
            <v>Выкса</v>
          </cell>
        </row>
        <row r="98">
          <cell r="A98" t="str">
            <v>Вытегра*</v>
          </cell>
        </row>
        <row r="99">
          <cell r="A99" t="str">
            <v>Вяземский</v>
          </cell>
        </row>
        <row r="100">
          <cell r="A100" t="str">
            <v>Вязьма</v>
          </cell>
        </row>
        <row r="101">
          <cell r="A101" t="str">
            <v>Вятка</v>
          </cell>
        </row>
        <row r="102">
          <cell r="A102" t="str">
            <v>Гвасюги</v>
          </cell>
        </row>
        <row r="103">
          <cell r="A103" t="str">
            <v>Глазов</v>
          </cell>
        </row>
        <row r="104">
          <cell r="A104" t="str">
            <v>Гош</v>
          </cell>
        </row>
        <row r="105">
          <cell r="A105" t="str">
            <v>Грозный*</v>
          </cell>
        </row>
        <row r="106">
          <cell r="A106" t="str">
            <v>Гроссевичи</v>
          </cell>
        </row>
        <row r="107">
          <cell r="A107" t="str">
            <v>Дальнереченск*</v>
          </cell>
        </row>
        <row r="108">
          <cell r="A108" t="str">
            <v>Дамбуки</v>
          </cell>
        </row>
        <row r="109">
          <cell r="A109" t="str">
            <v>Дарасун</v>
          </cell>
        </row>
        <row r="110">
          <cell r="A110" t="str">
            <v>Де-Кастри</v>
          </cell>
        </row>
        <row r="111">
          <cell r="A111" t="str">
            <v>Демьянское</v>
          </cell>
        </row>
        <row r="112">
          <cell r="A112" t="str">
            <v>Дербент *</v>
          </cell>
        </row>
        <row r="113">
          <cell r="A113" t="str">
            <v>Джалинда</v>
          </cell>
        </row>
        <row r="114">
          <cell r="A114" t="str">
            <v>Джаорэ*</v>
          </cell>
        </row>
        <row r="115">
          <cell r="A115" t="str">
            <v>Джарджан*</v>
          </cell>
        </row>
        <row r="116">
          <cell r="A116" t="str">
            <v>Джикимда*</v>
          </cell>
        </row>
        <row r="117">
          <cell r="A117" t="str">
            <v>Диксон</v>
          </cell>
        </row>
        <row r="118">
          <cell r="A118" t="str">
            <v>Дмитров</v>
          </cell>
        </row>
        <row r="119">
          <cell r="A119" t="str">
            <v>Долинск</v>
          </cell>
        </row>
        <row r="120">
          <cell r="A120" t="str">
            <v>Дружина</v>
          </cell>
        </row>
        <row r="121">
          <cell r="A121" t="str">
            <v>Дубровское</v>
          </cell>
        </row>
        <row r="122">
          <cell r="A122" t="str">
            <v>Дуван*</v>
          </cell>
        </row>
        <row r="123">
          <cell r="A123" t="str">
            <v>Дудинка</v>
          </cell>
        </row>
        <row r="124">
          <cell r="A124" t="str">
            <v>Екатеринбург*</v>
          </cell>
        </row>
        <row r="125">
          <cell r="A125" t="str">
            <v>Екатерино-Никольское</v>
          </cell>
        </row>
        <row r="126">
          <cell r="A126" t="str">
            <v>Екючю</v>
          </cell>
        </row>
        <row r="127">
          <cell r="A127" t="str">
            <v>Елабуга*</v>
          </cell>
        </row>
        <row r="128">
          <cell r="A128" t="str">
            <v>Емецк</v>
          </cell>
        </row>
        <row r="129">
          <cell r="A129" t="str">
            <v>Енисейск</v>
          </cell>
        </row>
        <row r="130">
          <cell r="A130" t="str">
            <v>Ербогачен*</v>
          </cell>
        </row>
        <row r="131">
          <cell r="A131" t="str">
            <v>Ерофей Павлович</v>
          </cell>
        </row>
        <row r="132">
          <cell r="A132" t="str">
            <v>Ессей</v>
          </cell>
        </row>
        <row r="133">
          <cell r="A133" t="str">
            <v>Жигалово*</v>
          </cell>
        </row>
        <row r="134">
          <cell r="A134" t="str">
            <v>Жиганск*</v>
          </cell>
        </row>
        <row r="135">
          <cell r="A135" t="str">
            <v>Завитинск</v>
          </cell>
        </row>
        <row r="136">
          <cell r="A136" t="str">
            <v>Земетчино*</v>
          </cell>
        </row>
        <row r="137">
          <cell r="A137" t="str">
            <v>Зея</v>
          </cell>
        </row>
        <row r="138">
          <cell r="A138" t="str">
            <v>Зима</v>
          </cell>
        </row>
        <row r="139">
          <cell r="A139" t="str">
            <v>Змеиногорск*</v>
          </cell>
        </row>
        <row r="140">
          <cell r="A140" t="str">
            <v>Зырянка*</v>
          </cell>
        </row>
        <row r="141">
          <cell r="A141" t="str">
            <v>Иваново</v>
          </cell>
        </row>
        <row r="142">
          <cell r="A142" t="str">
            <v>Ивдель*</v>
          </cell>
        </row>
        <row r="143">
          <cell r="A143" t="str">
            <v>Игарка*</v>
          </cell>
        </row>
        <row r="144">
          <cell r="A144" t="str">
            <v>Ижевск*</v>
          </cell>
        </row>
        <row r="145">
          <cell r="A145" t="str">
            <v>Ика*</v>
          </cell>
        </row>
        <row r="146">
          <cell r="A146" t="str">
            <v>Илимск</v>
          </cell>
        </row>
        <row r="147">
          <cell r="A147" t="str">
            <v>Им. Полины Осипенко*</v>
          </cell>
        </row>
        <row r="148">
          <cell r="A148" t="str">
            <v>Индига*</v>
          </cell>
        </row>
        <row r="149">
          <cell r="A149" t="str">
            <v>Йошкар-Ола</v>
          </cell>
        </row>
        <row r="150">
          <cell r="A150" t="str">
            <v>Иркутск*</v>
          </cell>
        </row>
        <row r="151">
          <cell r="A151" t="str">
            <v>Исиль-Куль</v>
          </cell>
        </row>
        <row r="152">
          <cell r="A152" t="str">
            <v>Исить*</v>
          </cell>
        </row>
        <row r="153">
          <cell r="A153" t="str">
            <v>Ича</v>
          </cell>
        </row>
        <row r="154">
          <cell r="A154" t="str">
            <v>Ичера</v>
          </cell>
        </row>
        <row r="155">
          <cell r="A155" t="str">
            <v>Иэма</v>
          </cell>
        </row>
        <row r="156">
          <cell r="A156" t="str">
            <v>Казань*</v>
          </cell>
        </row>
        <row r="157">
          <cell r="A157" t="str">
            <v>Калакан*</v>
          </cell>
        </row>
        <row r="158">
          <cell r="A158" t="str">
            <v>Калининград*</v>
          </cell>
        </row>
        <row r="159">
          <cell r="A159" t="str">
            <v>Калуга</v>
          </cell>
        </row>
        <row r="160">
          <cell r="A160" t="str">
            <v>Каменск-Уральский</v>
          </cell>
        </row>
        <row r="161">
          <cell r="A161" t="str">
            <v>Камышин</v>
          </cell>
        </row>
        <row r="162">
          <cell r="A162" t="str">
            <v>Кандалакша*</v>
          </cell>
        </row>
        <row r="163">
          <cell r="A163" t="str">
            <v>Канин Нос*</v>
          </cell>
        </row>
        <row r="164">
          <cell r="A164" t="str">
            <v>Канск</v>
          </cell>
        </row>
        <row r="165">
          <cell r="A165" t="str">
            <v>Карасук</v>
          </cell>
        </row>
        <row r="166">
          <cell r="A166" t="str">
            <v>Катанда</v>
          </cell>
        </row>
        <row r="167">
          <cell r="A167" t="str">
            <v>Кашира</v>
          </cell>
        </row>
        <row r="168">
          <cell r="A168" t="str">
            <v>Кежма</v>
          </cell>
        </row>
        <row r="169">
          <cell r="A169" t="str">
            <v>Кемерово*</v>
          </cell>
        </row>
        <row r="170">
          <cell r="A170" t="str">
            <v>Кемь*</v>
          </cell>
        </row>
        <row r="171">
          <cell r="A171" t="str">
            <v>Кинешма</v>
          </cell>
        </row>
        <row r="172">
          <cell r="A172" t="str">
            <v>Киренск*</v>
          </cell>
        </row>
        <row r="173">
          <cell r="A173" t="str">
            <v>Кировский</v>
          </cell>
        </row>
        <row r="174">
          <cell r="A174" t="str">
            <v>Кировское</v>
          </cell>
        </row>
        <row r="175">
          <cell r="A175" t="str">
            <v>Киселевск</v>
          </cell>
        </row>
        <row r="176">
          <cell r="A176" t="str">
            <v>Кисловодск</v>
          </cell>
        </row>
        <row r="177">
          <cell r="A177" t="str">
            <v>Ключи</v>
          </cell>
        </row>
        <row r="178">
          <cell r="A178" t="str">
            <v>Ключи*</v>
          </cell>
        </row>
        <row r="179">
          <cell r="A179" t="str">
            <v>Ковдор*</v>
          </cell>
        </row>
        <row r="180">
          <cell r="A180" t="str">
            <v>Козыревск</v>
          </cell>
        </row>
        <row r="181">
          <cell r="A181" t="str">
            <v>Койнас*</v>
          </cell>
        </row>
        <row r="182">
          <cell r="A182" t="str">
            <v>Колпашево*</v>
          </cell>
        </row>
        <row r="183">
          <cell r="A183" t="str">
            <v>Комсомольск- на-Амуре</v>
          </cell>
        </row>
        <row r="184">
          <cell r="A184" t="str">
            <v>Кондинское</v>
          </cell>
        </row>
        <row r="185">
          <cell r="A185" t="str">
            <v>Кондома</v>
          </cell>
        </row>
        <row r="186">
          <cell r="A186" t="str">
            <v>Корсаков</v>
          </cell>
        </row>
        <row r="187">
          <cell r="A187" t="str">
            <v>Корф</v>
          </cell>
        </row>
        <row r="188">
          <cell r="A188" t="str">
            <v>Кострома</v>
          </cell>
        </row>
        <row r="189">
          <cell r="A189" t="str">
            <v>Костычевка</v>
          </cell>
        </row>
        <row r="190">
          <cell r="A190" t="str">
            <v>Котельниково</v>
          </cell>
        </row>
        <row r="191">
          <cell r="A191" t="str">
            <v>Коткино</v>
          </cell>
        </row>
        <row r="192">
          <cell r="A192" t="str">
            <v>Котлас*</v>
          </cell>
        </row>
        <row r="193">
          <cell r="A193" t="str">
            <v>Кочки</v>
          </cell>
        </row>
        <row r="194">
          <cell r="A194" t="str">
            <v>Кош-Агач*</v>
          </cell>
        </row>
        <row r="195">
          <cell r="A195" t="str">
            <v>Красная Поляна</v>
          </cell>
        </row>
        <row r="196">
          <cell r="A196" t="str">
            <v>Краснодар*</v>
          </cell>
        </row>
        <row r="197">
          <cell r="A197" t="str">
            <v>Краснощелье*</v>
          </cell>
        </row>
        <row r="198">
          <cell r="A198" t="str">
            <v>Красноярск*</v>
          </cell>
        </row>
        <row r="199">
          <cell r="A199" t="str">
            <v>Красный Чикой*</v>
          </cell>
        </row>
        <row r="200">
          <cell r="A200" t="str">
            <v>Красный Яр</v>
          </cell>
        </row>
        <row r="201">
          <cell r="A201" t="str">
            <v>Крест- Хальджай*</v>
          </cell>
        </row>
        <row r="202">
          <cell r="A202" t="str">
            <v>Кроноки</v>
          </cell>
        </row>
        <row r="203">
          <cell r="A203" t="str">
            <v>Кувандык</v>
          </cell>
        </row>
        <row r="204">
          <cell r="A204" t="str">
            <v>Купино*</v>
          </cell>
        </row>
        <row r="205">
          <cell r="A205" t="str">
            <v>Курган*</v>
          </cell>
        </row>
        <row r="206">
          <cell r="A206" t="str">
            <v>Курильск*</v>
          </cell>
        </row>
        <row r="207">
          <cell r="A207" t="str">
            <v>Курск*</v>
          </cell>
        </row>
        <row r="208">
          <cell r="A208" t="str">
            <v>Кызыл*</v>
          </cell>
        </row>
        <row r="209">
          <cell r="A209" t="str">
            <v>Кыштовка</v>
          </cell>
        </row>
        <row r="210">
          <cell r="A210" t="str">
            <v>Кюсюр*</v>
          </cell>
        </row>
        <row r="211">
          <cell r="A211" t="str">
            <v>Кяхта*</v>
          </cell>
        </row>
        <row r="212">
          <cell r="A212" t="str">
            <v>Ленск*</v>
          </cell>
        </row>
        <row r="213">
          <cell r="A213" t="str">
            <v>Леуши*</v>
          </cell>
        </row>
        <row r="214">
          <cell r="A214" t="str">
            <v>Липецк</v>
          </cell>
        </row>
        <row r="215">
          <cell r="A215" t="str">
            <v>Ловозеро</v>
          </cell>
        </row>
        <row r="216">
          <cell r="A216" t="str">
            <v>Лопатка, мыс*</v>
          </cell>
        </row>
        <row r="217">
          <cell r="A217" t="str">
            <v>Лоухи</v>
          </cell>
        </row>
        <row r="218">
          <cell r="A218" t="str">
            <v>Магадан</v>
          </cell>
        </row>
        <row r="219">
          <cell r="A219" t="str">
            <v>Майкоп</v>
          </cell>
        </row>
        <row r="220">
          <cell r="A220" t="str">
            <v>Макаров</v>
          </cell>
        </row>
        <row r="221">
          <cell r="A221" t="str">
            <v>Мама</v>
          </cell>
        </row>
        <row r="222">
          <cell r="A222" t="str">
            <v>Маргаритово</v>
          </cell>
        </row>
        <row r="223">
          <cell r="A223" t="str">
            <v>Мариинск</v>
          </cell>
        </row>
        <row r="224">
          <cell r="A224" t="str">
            <v>Марково</v>
          </cell>
        </row>
        <row r="225">
          <cell r="A225" t="str">
            <v>Марково*</v>
          </cell>
        </row>
        <row r="226">
          <cell r="A226" t="str">
            <v>Марресаля*</v>
          </cell>
        </row>
        <row r="227">
          <cell r="A227" t="str">
            <v>Махачкала*</v>
          </cell>
        </row>
        <row r="228">
          <cell r="A228" t="str">
            <v>Мезень*</v>
          </cell>
        </row>
        <row r="229">
          <cell r="A229" t="str">
            <v>Мелеуз</v>
          </cell>
        </row>
        <row r="230">
          <cell r="A230" t="str">
            <v>Мельничное*</v>
          </cell>
        </row>
        <row r="231">
          <cell r="A231" t="str">
            <v>Миллерово</v>
          </cell>
        </row>
        <row r="232">
          <cell r="A232" t="str">
            <v>Мильково</v>
          </cell>
        </row>
        <row r="233">
          <cell r="A233" t="str">
            <v>Минусинск*</v>
          </cell>
        </row>
        <row r="234">
          <cell r="A234" t="str">
            <v>Могоча*</v>
          </cell>
        </row>
        <row r="235">
          <cell r="A235" t="str">
            <v>Монды</v>
          </cell>
        </row>
        <row r="236">
          <cell r="A236" t="str">
            <v>Мончегорск</v>
          </cell>
        </row>
        <row r="237">
          <cell r="A237" t="str">
            <v>Москва</v>
          </cell>
        </row>
        <row r="238">
          <cell r="A238" t="str">
            <v>Мурманск*</v>
          </cell>
        </row>
        <row r="239">
          <cell r="A239" t="str">
            <v>Муром</v>
          </cell>
        </row>
        <row r="240">
          <cell r="A240" t="str">
            <v>Нагорный*</v>
          </cell>
        </row>
        <row r="241">
          <cell r="A241" t="str">
            <v>Нагорское</v>
          </cell>
        </row>
        <row r="242">
          <cell r="A242" t="str">
            <v>Надым*</v>
          </cell>
        </row>
        <row r="243">
          <cell r="A243" t="str">
            <v>Наканно*</v>
          </cell>
        </row>
        <row r="244">
          <cell r="A244" t="str">
            <v>Нальчик</v>
          </cell>
        </row>
        <row r="245">
          <cell r="A245" t="str">
            <v>Нарьян-Мар*</v>
          </cell>
        </row>
        <row r="246">
          <cell r="A246" t="str">
            <v>Начики*</v>
          </cell>
        </row>
        <row r="247">
          <cell r="A247" t="str">
            <v>Невельск*</v>
          </cell>
        </row>
        <row r="248">
          <cell r="A248" t="str">
            <v>Невинномысск</v>
          </cell>
        </row>
        <row r="249">
          <cell r="A249" t="str">
            <v>Невон</v>
          </cell>
        </row>
        <row r="250">
          <cell r="A250" t="str">
            <v>Непа</v>
          </cell>
        </row>
        <row r="251">
          <cell r="A251" t="str">
            <v>Нера</v>
          </cell>
        </row>
        <row r="252">
          <cell r="A252" t="str">
            <v>Нерчинск</v>
          </cell>
        </row>
        <row r="253">
          <cell r="A253" t="str">
            <v>Нерчинский Завод*</v>
          </cell>
        </row>
        <row r="254">
          <cell r="A254" t="str">
            <v>Ниванкюль</v>
          </cell>
        </row>
        <row r="255">
          <cell r="A255" t="str">
            <v>Нижнеангарск*</v>
          </cell>
        </row>
        <row r="256">
          <cell r="A256" t="str">
            <v>Нижнетамбовское</v>
          </cell>
        </row>
        <row r="257">
          <cell r="A257" t="str">
            <v>Нижний Новгород</v>
          </cell>
        </row>
        <row r="258">
          <cell r="A258" t="str">
            <v>Николаевск- на-Амуре*</v>
          </cell>
        </row>
        <row r="259">
          <cell r="A259" t="str">
            <v>Никольск*</v>
          </cell>
        </row>
        <row r="260">
          <cell r="A260" t="str">
            <v>Новоаннинский</v>
          </cell>
        </row>
        <row r="261">
          <cell r="A261" t="str">
            <v>Новосибирск*</v>
          </cell>
        </row>
        <row r="262">
          <cell r="A262" t="str">
            <v>Ноглики*</v>
          </cell>
        </row>
        <row r="263">
          <cell r="A263" t="str">
            <v>Ножовка</v>
          </cell>
        </row>
        <row r="264">
          <cell r="A264" t="str">
            <v>Норский Склад</v>
          </cell>
        </row>
        <row r="265">
          <cell r="A265" t="str">
            <v>Нюрба</v>
          </cell>
        </row>
        <row r="266">
          <cell r="A266" t="str">
            <v>Нюя</v>
          </cell>
        </row>
        <row r="267">
          <cell r="A267" t="str">
            <v>Нязепетровск</v>
          </cell>
        </row>
        <row r="268">
          <cell r="A268" t="str">
            <v>о.Беринга*</v>
          </cell>
        </row>
        <row r="269">
          <cell r="A269" t="str">
            <v>Облучье</v>
          </cell>
        </row>
        <row r="270">
          <cell r="A270" t="str">
            <v>Объячево</v>
          </cell>
        </row>
        <row r="271">
          <cell r="A271" t="str">
            <v>Огорон</v>
          </cell>
        </row>
        <row r="272">
          <cell r="A272" t="str">
            <v>Оймякон*</v>
          </cell>
        </row>
        <row r="273">
          <cell r="A273" t="str">
            <v>Октябрьская</v>
          </cell>
        </row>
        <row r="274">
          <cell r="A274" t="str">
            <v>Октябрьское*</v>
          </cell>
        </row>
        <row r="275">
          <cell r="A275" t="str">
            <v>Олекминск*</v>
          </cell>
        </row>
        <row r="276">
          <cell r="A276" t="str">
            <v>Оленек*</v>
          </cell>
        </row>
        <row r="277">
          <cell r="A277" t="str">
            <v>Олонец</v>
          </cell>
        </row>
        <row r="278">
          <cell r="A278" t="str">
            <v>Омолон</v>
          </cell>
        </row>
        <row r="279">
          <cell r="A279" t="str">
            <v>Омск*</v>
          </cell>
        </row>
        <row r="280">
          <cell r="A280" t="str">
            <v>Омсукчан</v>
          </cell>
        </row>
        <row r="281">
          <cell r="A281" t="str">
            <v>Онгудай</v>
          </cell>
        </row>
        <row r="282">
          <cell r="A282" t="str">
            <v>Онега*</v>
          </cell>
        </row>
        <row r="283">
          <cell r="A283" t="str">
            <v>Орел</v>
          </cell>
        </row>
        <row r="284">
          <cell r="A284" t="str">
            <v>Оренбург*</v>
          </cell>
        </row>
        <row r="285">
          <cell r="A285" t="str">
            <v>Орлинга*</v>
          </cell>
        </row>
        <row r="286">
          <cell r="A286" t="str">
            <v>Оссора</v>
          </cell>
        </row>
        <row r="287">
          <cell r="A287" t="str">
            <v>Островное*</v>
          </cell>
        </row>
        <row r="288">
          <cell r="A288" t="str">
            <v>Оха</v>
          </cell>
        </row>
        <row r="289">
          <cell r="A289" t="str">
            <v>Охотск*</v>
          </cell>
        </row>
        <row r="290">
          <cell r="A290" t="str">
            <v>Охотский Перевоз</v>
          </cell>
        </row>
        <row r="291">
          <cell r="A291" t="str">
            <v>Паданы*</v>
          </cell>
        </row>
        <row r="292">
          <cell r="A292" t="str">
            <v>Палатка</v>
          </cell>
        </row>
        <row r="293">
          <cell r="A293" t="str">
            <v>Партизанск</v>
          </cell>
        </row>
        <row r="294">
          <cell r="A294" t="str">
            <v>Пенза*</v>
          </cell>
        </row>
        <row r="295">
          <cell r="A295" t="str">
            <v>Перевоз*</v>
          </cell>
        </row>
        <row r="296">
          <cell r="A296" t="str">
            <v>Пермь*</v>
          </cell>
        </row>
        <row r="297">
          <cell r="A297" t="str">
            <v>Петрозаводск*</v>
          </cell>
        </row>
        <row r="298">
          <cell r="A298" t="str">
            <v>Петропавловск-Камчатский</v>
          </cell>
        </row>
        <row r="299">
          <cell r="A299" t="str">
            <v>Петрунь*</v>
          </cell>
        </row>
        <row r="300">
          <cell r="A300" t="str">
            <v>Печора*</v>
          </cell>
        </row>
        <row r="301">
          <cell r="A301" t="str">
            <v>Погиби*</v>
          </cell>
        </row>
        <row r="302">
          <cell r="A302" t="str">
            <v>Порецкое*</v>
          </cell>
        </row>
        <row r="303">
          <cell r="A303" t="str">
            <v>Поронайск*</v>
          </cell>
        </row>
        <row r="304">
          <cell r="A304" t="str">
            <v>Посьет*</v>
          </cell>
        </row>
        <row r="305">
          <cell r="A305" t="str">
            <v>Поярково</v>
          </cell>
        </row>
        <row r="306">
          <cell r="A306" t="str">
            <v>Преображение*</v>
          </cell>
        </row>
        <row r="307">
          <cell r="A307" t="str">
            <v>Преображенка</v>
          </cell>
        </row>
        <row r="308">
          <cell r="A308" t="str">
            <v>Приморско-Ахтарск</v>
          </cell>
        </row>
        <row r="309">
          <cell r="A309" t="str">
            <v>Псков*</v>
          </cell>
        </row>
        <row r="310">
          <cell r="A310" t="str">
            <v>Пулозеро</v>
          </cell>
        </row>
        <row r="311">
          <cell r="A311" t="str">
            <v>Пялица</v>
          </cell>
        </row>
        <row r="312">
          <cell r="A312" t="str">
            <v>Пятигорск</v>
          </cell>
        </row>
        <row r="313">
          <cell r="A313" t="str">
            <v>Реболы*</v>
          </cell>
        </row>
        <row r="314">
          <cell r="A314" t="str">
            <v>Ржев</v>
          </cell>
        </row>
        <row r="315">
          <cell r="A315" t="str">
            <v>Родино</v>
          </cell>
        </row>
        <row r="316">
          <cell r="A316" t="str">
            <v>Ростов-на-Дону</v>
          </cell>
        </row>
        <row r="317">
          <cell r="A317" t="str">
            <v>Рубцовск*</v>
          </cell>
        </row>
        <row r="318">
          <cell r="A318" t="str">
            <v>Рудная Пристань*</v>
          </cell>
        </row>
        <row r="319">
          <cell r="A319" t="str">
            <v>Рыбновск</v>
          </cell>
        </row>
        <row r="320">
          <cell r="A320" t="str">
            <v>Рязань</v>
          </cell>
        </row>
        <row r="321">
          <cell r="A321" t="str">
            <v>Савали</v>
          </cell>
        </row>
        <row r="322">
          <cell r="A322" t="str">
            <v>Салехард*</v>
          </cell>
        </row>
        <row r="323">
          <cell r="A323" t="str">
            <v>Самара</v>
          </cell>
        </row>
        <row r="324">
          <cell r="A324" t="str">
            <v>Сангар</v>
          </cell>
        </row>
        <row r="325">
          <cell r="A325" t="str">
            <v>Санкт-Петербург</v>
          </cell>
        </row>
        <row r="326">
          <cell r="A326" t="str">
            <v>Саранск</v>
          </cell>
        </row>
        <row r="327">
          <cell r="A327" t="str">
            <v>Сарапул*</v>
          </cell>
        </row>
        <row r="328">
          <cell r="A328" t="str">
            <v>Саратов*</v>
          </cell>
        </row>
        <row r="329">
          <cell r="A329" t="str">
            <v>Саскылах*</v>
          </cell>
        </row>
        <row r="330">
          <cell r="A330" t="str">
            <v>Саянск</v>
          </cell>
        </row>
        <row r="331">
          <cell r="A331" t="str">
            <v>Свирица</v>
          </cell>
        </row>
        <row r="332">
          <cell r="A332" t="str">
            <v>Свободный</v>
          </cell>
        </row>
        <row r="333">
          <cell r="A333" t="str">
            <v>Семлячики*</v>
          </cell>
        </row>
        <row r="334">
          <cell r="A334" t="str">
            <v>Сизиман</v>
          </cell>
        </row>
        <row r="335">
          <cell r="A335" t="str">
            <v>Сковородино*</v>
          </cell>
        </row>
        <row r="336">
          <cell r="A336" t="str">
            <v>Славгород*</v>
          </cell>
        </row>
        <row r="337">
          <cell r="A337" t="str">
            <v>Слюдянка</v>
          </cell>
        </row>
        <row r="338">
          <cell r="A338" t="str">
            <v>Смоленск*</v>
          </cell>
        </row>
        <row r="339">
          <cell r="A339" t="str">
            <v>Соболево*</v>
          </cell>
        </row>
        <row r="340">
          <cell r="A340" t="str">
            <v>Советская Гавань*</v>
          </cell>
        </row>
        <row r="341">
          <cell r="A341" t="str">
            <v>Сорочинск</v>
          </cell>
        </row>
        <row r="342">
          <cell r="A342" t="str">
            <v>Сортавала*</v>
          </cell>
        </row>
        <row r="343">
          <cell r="A343" t="str">
            <v>Сосново- Озерское*</v>
          </cell>
        </row>
        <row r="344">
          <cell r="A344" t="str">
            <v>Сосуново</v>
          </cell>
        </row>
        <row r="345">
          <cell r="A345" t="str">
            <v>Сосьва</v>
          </cell>
        </row>
        <row r="346">
          <cell r="A346" t="str">
            <v>Софийский Прииск*</v>
          </cell>
        </row>
        <row r="347">
          <cell r="A347" t="str">
            <v>Сочи*</v>
          </cell>
        </row>
        <row r="348">
          <cell r="A348" t="str">
            <v>Среднекан</v>
          </cell>
        </row>
        <row r="349">
          <cell r="A349" t="str">
            <v>Среднеколымск*</v>
          </cell>
        </row>
        <row r="350">
          <cell r="A350" t="str">
            <v>Средний Васюган*</v>
          </cell>
        </row>
        <row r="351">
          <cell r="A351" t="str">
            <v>Средний Калар</v>
          </cell>
        </row>
        <row r="352">
          <cell r="A352" t="str">
            <v>Средний Ургал</v>
          </cell>
        </row>
        <row r="353">
          <cell r="A353" t="str">
            <v>Средняя Нюкжа</v>
          </cell>
        </row>
        <row r="354">
          <cell r="A354" t="str">
            <v>Ставрополь*</v>
          </cell>
        </row>
        <row r="355">
          <cell r="A355" t="str">
            <v>Сунтар*</v>
          </cell>
        </row>
        <row r="356">
          <cell r="A356" t="str">
            <v>Сургут</v>
          </cell>
        </row>
        <row r="357">
          <cell r="A357" t="str">
            <v>Сурское</v>
          </cell>
        </row>
        <row r="358">
          <cell r="A358" t="str">
            <v>Сусуман*</v>
          </cell>
        </row>
        <row r="359">
          <cell r="A359" t="str">
            <v>Сухана*</v>
          </cell>
        </row>
        <row r="360">
          <cell r="A360" t="str">
            <v>Сыктывкар*</v>
          </cell>
        </row>
        <row r="361">
          <cell r="A361" t="str">
            <v>Сюльдюкар</v>
          </cell>
        </row>
        <row r="362">
          <cell r="A362" t="str">
            <v>Сюрен-Кюель</v>
          </cell>
        </row>
        <row r="363">
          <cell r="A363" t="str">
            <v>Таганрог</v>
          </cell>
        </row>
        <row r="364">
          <cell r="A364" t="str">
            <v>Тайга*</v>
          </cell>
        </row>
        <row r="365">
          <cell r="A365" t="str">
            <v>Таимба</v>
          </cell>
        </row>
        <row r="366">
          <cell r="A366" t="str">
            <v>Тайшет*</v>
          </cell>
        </row>
        <row r="367">
          <cell r="A367" t="str">
            <v>Тамбов</v>
          </cell>
        </row>
        <row r="368">
          <cell r="A368" t="str">
            <v>Тара*</v>
          </cell>
        </row>
        <row r="369">
          <cell r="A369" t="str">
            <v>Тарко-Сале</v>
          </cell>
        </row>
        <row r="370">
          <cell r="A370" t="str">
            <v>Татарск*</v>
          </cell>
        </row>
        <row r="371">
          <cell r="A371" t="str">
            <v>Тверь</v>
          </cell>
        </row>
        <row r="372">
          <cell r="A372" t="str">
            <v>Териберка*</v>
          </cell>
        </row>
        <row r="373">
          <cell r="A373" t="str">
            <v>Терско- Орловский</v>
          </cell>
        </row>
        <row r="374">
          <cell r="A374" t="str">
            <v>Тисуль*</v>
          </cell>
        </row>
        <row r="375">
          <cell r="A375" t="str">
            <v>Тихвин</v>
          </cell>
        </row>
        <row r="376">
          <cell r="A376" t="str">
            <v>Тихорецк*</v>
          </cell>
        </row>
        <row r="377">
          <cell r="A377" t="str">
            <v>Тобольск*</v>
          </cell>
        </row>
        <row r="378">
          <cell r="A378" t="str">
            <v>Тогул</v>
          </cell>
        </row>
        <row r="379">
          <cell r="A379" t="str">
            <v>Токо*</v>
          </cell>
        </row>
        <row r="380">
          <cell r="A380" t="str">
            <v>Томмот</v>
          </cell>
        </row>
        <row r="381">
          <cell r="A381" t="str">
            <v>Томпо*</v>
          </cell>
        </row>
        <row r="382">
          <cell r="A382" t="str">
            <v>Томск*</v>
          </cell>
        </row>
        <row r="383">
          <cell r="A383" t="str">
            <v>Топки</v>
          </cell>
        </row>
        <row r="384">
          <cell r="A384" t="str">
            <v>Тотьма*</v>
          </cell>
        </row>
        <row r="385">
          <cell r="A385" t="str">
            <v>Троицко- Печорск*</v>
          </cell>
        </row>
        <row r="386">
          <cell r="A386" t="str">
            <v>Троицкое</v>
          </cell>
        </row>
        <row r="387">
          <cell r="A387" t="str">
            <v>Троицкое</v>
          </cell>
        </row>
        <row r="388">
          <cell r="A388" t="str">
            <v>Тула</v>
          </cell>
        </row>
        <row r="389">
          <cell r="A389" t="str">
            <v>Тулун*</v>
          </cell>
        </row>
        <row r="390">
          <cell r="A390" t="str">
            <v>Тунгокочен</v>
          </cell>
        </row>
        <row r="391">
          <cell r="A391" t="str">
            <v>Туой-Хая</v>
          </cell>
        </row>
        <row r="392">
          <cell r="A392" t="str">
            <v>Тупик</v>
          </cell>
        </row>
        <row r="393">
          <cell r="A393" t="str">
            <v>Тура</v>
          </cell>
        </row>
        <row r="394">
          <cell r="A394" t="str">
            <v>Туринск</v>
          </cell>
        </row>
        <row r="395">
          <cell r="A395" t="str">
            <v>Туруханск*</v>
          </cell>
        </row>
        <row r="396">
          <cell r="A396" t="str">
            <v>Тыган-Уркан</v>
          </cell>
        </row>
        <row r="397">
          <cell r="A397" t="str">
            <v>Тында</v>
          </cell>
        </row>
        <row r="398">
          <cell r="A398" t="str">
            <v>Тюмень*</v>
          </cell>
        </row>
        <row r="399">
          <cell r="A399" t="str">
            <v>Тяня</v>
          </cell>
        </row>
        <row r="400">
          <cell r="A400" t="str">
            <v>Уакит</v>
          </cell>
        </row>
        <row r="401">
          <cell r="A401" t="str">
            <v>Угут</v>
          </cell>
        </row>
        <row r="402">
          <cell r="A402" t="str">
            <v>Ука</v>
          </cell>
        </row>
        <row r="403">
          <cell r="A403" t="str">
            <v>Улан-Удэ*</v>
          </cell>
        </row>
        <row r="404">
          <cell r="A404" t="str">
            <v>Ульяновск</v>
          </cell>
        </row>
        <row r="405">
          <cell r="A405" t="str">
            <v>Умба*</v>
          </cell>
        </row>
        <row r="406">
          <cell r="A406" t="str">
            <v>Унаха</v>
          </cell>
        </row>
        <row r="407">
          <cell r="A407" t="str">
            <v>Уренгой</v>
          </cell>
        </row>
        <row r="408">
          <cell r="A408" t="str">
            <v>Усть- Воямполка</v>
          </cell>
        </row>
        <row r="409">
          <cell r="A409" t="str">
            <v>Усть- Хайрюзово*</v>
          </cell>
        </row>
        <row r="410">
          <cell r="A410" t="str">
            <v>Усть-Кабырза</v>
          </cell>
        </row>
        <row r="411">
          <cell r="A411" t="str">
            <v>Усть-Камчатск</v>
          </cell>
        </row>
        <row r="412">
          <cell r="A412" t="str">
            <v>Усть-Мая*</v>
          </cell>
        </row>
        <row r="413">
          <cell r="A413" t="str">
            <v>Усть-Миль</v>
          </cell>
        </row>
        <row r="414">
          <cell r="A414" t="str">
            <v>Усть-Мома*</v>
          </cell>
        </row>
        <row r="415">
          <cell r="A415" t="str">
            <v>Усть-Нюкжа*</v>
          </cell>
        </row>
        <row r="416">
          <cell r="A416" t="str">
            <v>Усть-Озерное*</v>
          </cell>
        </row>
        <row r="417">
          <cell r="A417" t="str">
            <v>Усть-Олой*</v>
          </cell>
        </row>
        <row r="418">
          <cell r="A418" t="str">
            <v>Усть-Ордынский</v>
          </cell>
        </row>
        <row r="419">
          <cell r="A419" t="str">
            <v>Усть-Уса*</v>
          </cell>
        </row>
        <row r="420">
          <cell r="A420" t="str">
            <v>Усть-Цильма*</v>
          </cell>
        </row>
        <row r="421">
          <cell r="A421" t="str">
            <v>Усть-Щугор</v>
          </cell>
        </row>
        <row r="422">
          <cell r="A422" t="str">
            <v>Уфа*</v>
          </cell>
        </row>
        <row r="423">
          <cell r="A423" t="str">
            <v>Ухта</v>
          </cell>
        </row>
        <row r="424">
          <cell r="A424" t="str">
            <v>Хабаровск*</v>
          </cell>
        </row>
        <row r="425">
          <cell r="A425" t="str">
            <v>Ханты-Мансийск</v>
          </cell>
        </row>
        <row r="426">
          <cell r="A426" t="str">
            <v>Хатанга</v>
          </cell>
        </row>
        <row r="427">
          <cell r="A427" t="str">
            <v>Ходовариха</v>
          </cell>
        </row>
        <row r="428">
          <cell r="A428" t="str">
            <v>Холмск</v>
          </cell>
        </row>
        <row r="429">
          <cell r="A429" t="str">
            <v>Хоринск</v>
          </cell>
        </row>
        <row r="430">
          <cell r="A430" t="str">
            <v>Хоседа-Хард</v>
          </cell>
        </row>
        <row r="431">
          <cell r="A431" t="str">
            <v>Чара*</v>
          </cell>
        </row>
        <row r="432">
          <cell r="A432" t="str">
            <v>Чебоксары</v>
          </cell>
        </row>
        <row r="433">
          <cell r="A433" t="str">
            <v>Челюскин, мыс</v>
          </cell>
        </row>
        <row r="434">
          <cell r="A434" t="str">
            <v>Челябинск</v>
          </cell>
        </row>
        <row r="435">
          <cell r="A435" t="str">
            <v>Чердынь</v>
          </cell>
        </row>
        <row r="436">
          <cell r="A436" t="str">
            <v>Черкесск</v>
          </cell>
        </row>
        <row r="437">
          <cell r="A437" t="str">
            <v>Черлак*</v>
          </cell>
        </row>
        <row r="438">
          <cell r="A438" t="str">
            <v>Черняево*</v>
          </cell>
        </row>
        <row r="439">
          <cell r="A439" t="str">
            <v>Чита*</v>
          </cell>
        </row>
        <row r="440">
          <cell r="A440" t="str">
            <v>Чугуевка</v>
          </cell>
        </row>
        <row r="441">
          <cell r="A441" t="str">
            <v>Чулым</v>
          </cell>
        </row>
        <row r="442">
          <cell r="A442" t="str">
            <v>Чульман*</v>
          </cell>
        </row>
        <row r="443">
          <cell r="A443" t="str">
            <v>Чумикан</v>
          </cell>
        </row>
        <row r="444">
          <cell r="A444" t="str">
            <v>Чурапча</v>
          </cell>
        </row>
        <row r="445">
          <cell r="A445" t="str">
            <v>Чухлома</v>
          </cell>
        </row>
        <row r="446">
          <cell r="A446" t="str">
            <v>Шамары</v>
          </cell>
        </row>
        <row r="447">
          <cell r="A447" t="str">
            <v>Шарья</v>
          </cell>
        </row>
        <row r="448">
          <cell r="A448" t="str">
            <v>Шелагонцы*</v>
          </cell>
        </row>
        <row r="449">
          <cell r="A449" t="str">
            <v>Шимановск</v>
          </cell>
        </row>
        <row r="450">
          <cell r="A450" t="str">
            <v>Шира</v>
          </cell>
        </row>
        <row r="451">
          <cell r="A451" t="str">
            <v>Эйк</v>
          </cell>
        </row>
        <row r="452">
          <cell r="A452" t="str">
            <v>Экимчан*</v>
          </cell>
        </row>
        <row r="453">
          <cell r="A453" t="str">
            <v>Элиста*</v>
          </cell>
        </row>
        <row r="454">
          <cell r="A454" t="str">
            <v>Эльтон*</v>
          </cell>
        </row>
        <row r="455">
          <cell r="A455" t="str">
            <v>Энкэн</v>
          </cell>
        </row>
        <row r="456">
          <cell r="A456" t="str">
            <v>Эньмувеем*</v>
          </cell>
        </row>
        <row r="457">
          <cell r="A457" t="str">
            <v>Южно- Курильск*</v>
          </cell>
        </row>
        <row r="458">
          <cell r="A458" t="str">
            <v>Южно- Сахалинск*</v>
          </cell>
        </row>
        <row r="459">
          <cell r="A459" t="str">
            <v>Южно-Сухокумск</v>
          </cell>
        </row>
        <row r="460">
          <cell r="A460" t="str">
            <v>Юкспор</v>
          </cell>
        </row>
        <row r="461">
          <cell r="A461" t="str">
            <v>Якутск*</v>
          </cell>
        </row>
        <row r="462">
          <cell r="A462" t="str">
            <v>Янаул*</v>
          </cell>
        </row>
        <row r="463">
          <cell r="A463" t="str">
            <v>Ярославль</v>
          </cell>
        </row>
        <row r="464">
          <cell r="A464" t="str">
            <v>Ярцево</v>
          </cell>
        </row>
      </sheetData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О (2)"/>
      <sheetName val="ВО"/>
      <sheetName val="ХОВС"/>
      <sheetName val="Диаграмма1"/>
    </sheetNames>
    <sheetDataSet>
      <sheetData sheetId="0"/>
      <sheetData sheetId="1">
        <row r="1">
          <cell r="M1"/>
          <cell r="N1"/>
          <cell r="O1"/>
        </row>
        <row r="2">
          <cell r="M2" t="str">
            <v>Местн. отсосы, м3/ч</v>
          </cell>
          <cell r="N2" t="str">
            <v>Приток, м3/ч</v>
          </cell>
          <cell r="O2" t="str">
            <v>Вытяжка, м3/ч</v>
          </cell>
          <cell r="R2" t="str">
            <v xml:space="preserve">Вент. система </v>
          </cell>
          <cell r="S2"/>
          <cell r="T2"/>
        </row>
        <row r="3">
          <cell r="M3"/>
          <cell r="N3"/>
          <cell r="O3"/>
          <cell r="R3" t="str">
            <v>местн.</v>
          </cell>
          <cell r="S3" t="str">
            <v>приток</v>
          </cell>
          <cell r="T3" t="str">
            <v>вытяжка</v>
          </cell>
        </row>
        <row r="4">
          <cell r="M4">
            <v>11</v>
          </cell>
          <cell r="N4">
            <v>12</v>
          </cell>
          <cell r="O4">
            <v>13</v>
          </cell>
          <cell r="R4">
            <v>16</v>
          </cell>
          <cell r="S4">
            <v>17</v>
          </cell>
          <cell r="T4">
            <v>18</v>
          </cell>
        </row>
        <row r="5">
          <cell r="M5"/>
          <cell r="N5">
            <v>0</v>
          </cell>
          <cell r="O5">
            <v>0</v>
          </cell>
          <cell r="R5"/>
          <cell r="S5"/>
          <cell r="T5"/>
        </row>
        <row r="6">
          <cell r="M6"/>
          <cell r="N6">
            <v>1780</v>
          </cell>
          <cell r="O6">
            <v>0</v>
          </cell>
          <cell r="R6"/>
          <cell r="S6" t="str">
            <v>П8</v>
          </cell>
          <cell r="T6" t="str">
            <v>В8</v>
          </cell>
        </row>
        <row r="7">
          <cell r="M7"/>
          <cell r="N7">
            <v>260</v>
          </cell>
          <cell r="O7">
            <v>260</v>
          </cell>
          <cell r="R7"/>
          <cell r="S7" t="str">
            <v>П8</v>
          </cell>
          <cell r="T7" t="str">
            <v>В8</v>
          </cell>
        </row>
        <row r="8">
          <cell r="M8"/>
          <cell r="N8">
            <v>0</v>
          </cell>
          <cell r="O8">
            <v>30</v>
          </cell>
          <cell r="R8"/>
          <cell r="S8"/>
          <cell r="T8" t="str">
            <v>В8</v>
          </cell>
        </row>
        <row r="9">
          <cell r="M9"/>
          <cell r="N9">
            <v>110</v>
          </cell>
          <cell r="O9">
            <v>110</v>
          </cell>
          <cell r="R9"/>
          <cell r="S9" t="str">
            <v>П8</v>
          </cell>
          <cell r="T9" t="str">
            <v>В8</v>
          </cell>
        </row>
        <row r="10">
          <cell r="M10"/>
          <cell r="N10">
            <v>60</v>
          </cell>
          <cell r="O10">
            <v>60</v>
          </cell>
          <cell r="R10"/>
          <cell r="S10" t="str">
            <v>П8</v>
          </cell>
          <cell r="T10" t="str">
            <v>В8</v>
          </cell>
        </row>
        <row r="11">
          <cell r="M11"/>
          <cell r="N11">
            <v>480</v>
          </cell>
          <cell r="O11">
            <v>480</v>
          </cell>
          <cell r="R11"/>
          <cell r="S11" t="str">
            <v>П8</v>
          </cell>
          <cell r="T11" t="str">
            <v>В8</v>
          </cell>
        </row>
        <row r="12">
          <cell r="M12"/>
          <cell r="N12">
            <v>120</v>
          </cell>
          <cell r="O12">
            <v>120</v>
          </cell>
          <cell r="R12"/>
          <cell r="S12" t="str">
            <v>П8</v>
          </cell>
          <cell r="T12" t="str">
            <v>В8</v>
          </cell>
        </row>
        <row r="13">
          <cell r="M13"/>
          <cell r="N13">
            <v>960</v>
          </cell>
          <cell r="O13">
            <v>960</v>
          </cell>
          <cell r="R13"/>
          <cell r="S13" t="str">
            <v>П8</v>
          </cell>
          <cell r="T13" t="str">
            <v>В8</v>
          </cell>
        </row>
        <row r="14">
          <cell r="M14"/>
          <cell r="N14"/>
          <cell r="O14"/>
          <cell r="R14"/>
          <cell r="S14"/>
          <cell r="T14"/>
        </row>
        <row r="15">
          <cell r="M15"/>
          <cell r="N15">
            <v>240</v>
          </cell>
          <cell r="O15">
            <v>240</v>
          </cell>
          <cell r="R15"/>
          <cell r="S15" t="str">
            <v>П8</v>
          </cell>
          <cell r="T15" t="str">
            <v>В8</v>
          </cell>
        </row>
        <row r="16">
          <cell r="M16"/>
          <cell r="N16"/>
          <cell r="O16"/>
          <cell r="R16"/>
          <cell r="S16"/>
          <cell r="T16"/>
        </row>
        <row r="17">
          <cell r="M17"/>
          <cell r="N17">
            <v>360</v>
          </cell>
          <cell r="O17">
            <v>360</v>
          </cell>
          <cell r="R17"/>
          <cell r="S17" t="str">
            <v>П8</v>
          </cell>
          <cell r="T17" t="str">
            <v>В8</v>
          </cell>
        </row>
        <row r="18">
          <cell r="M18"/>
          <cell r="N18">
            <v>480</v>
          </cell>
          <cell r="O18">
            <v>480</v>
          </cell>
          <cell r="R18"/>
          <cell r="S18" t="str">
            <v>П8</v>
          </cell>
          <cell r="T18" t="str">
            <v>В8</v>
          </cell>
        </row>
        <row r="19">
          <cell r="M19"/>
          <cell r="N19">
            <v>420</v>
          </cell>
          <cell r="O19">
            <v>420</v>
          </cell>
          <cell r="R19"/>
          <cell r="S19" t="str">
            <v>П8</v>
          </cell>
          <cell r="T19" t="str">
            <v>В8</v>
          </cell>
        </row>
        <row r="20">
          <cell r="M20"/>
          <cell r="N20"/>
          <cell r="O20"/>
          <cell r="R20"/>
          <cell r="S20"/>
          <cell r="T20"/>
        </row>
        <row r="21">
          <cell r="M21"/>
          <cell r="N21">
            <v>0</v>
          </cell>
          <cell r="O21">
            <v>50</v>
          </cell>
          <cell r="R21"/>
          <cell r="S21"/>
          <cell r="T21" t="str">
            <v>В8</v>
          </cell>
        </row>
        <row r="22">
          <cell r="M22"/>
          <cell r="N22">
            <v>480</v>
          </cell>
          <cell r="O22">
            <v>480</v>
          </cell>
          <cell r="R22"/>
          <cell r="S22" t="str">
            <v>П8</v>
          </cell>
          <cell r="T22" t="str">
            <v>В8</v>
          </cell>
        </row>
        <row r="23">
          <cell r="M23"/>
          <cell r="N23">
            <v>240</v>
          </cell>
          <cell r="O23">
            <v>240</v>
          </cell>
          <cell r="R23"/>
          <cell r="S23" t="str">
            <v>П8</v>
          </cell>
          <cell r="T23" t="str">
            <v>В8</v>
          </cell>
        </row>
        <row r="24">
          <cell r="M24"/>
          <cell r="N24">
            <v>200</v>
          </cell>
          <cell r="O24">
            <v>200</v>
          </cell>
          <cell r="R24"/>
          <cell r="S24" t="str">
            <v>П8</v>
          </cell>
          <cell r="T24" t="str">
            <v>В8</v>
          </cell>
        </row>
        <row r="25">
          <cell r="M25"/>
          <cell r="N25">
            <v>120</v>
          </cell>
          <cell r="O25">
            <v>120</v>
          </cell>
          <cell r="R25"/>
          <cell r="S25" t="str">
            <v>П8</v>
          </cell>
          <cell r="T25" t="str">
            <v>В8</v>
          </cell>
        </row>
        <row r="26">
          <cell r="M26"/>
          <cell r="N26">
            <v>60</v>
          </cell>
          <cell r="O26">
            <v>60</v>
          </cell>
          <cell r="R26"/>
          <cell r="S26" t="str">
            <v>П8</v>
          </cell>
          <cell r="T26" t="str">
            <v>В8</v>
          </cell>
        </row>
        <row r="27">
          <cell r="M27"/>
          <cell r="N27">
            <v>60</v>
          </cell>
          <cell r="O27">
            <v>60</v>
          </cell>
          <cell r="R27"/>
          <cell r="S27" t="str">
            <v>П8</v>
          </cell>
          <cell r="T27" t="str">
            <v>В8</v>
          </cell>
        </row>
        <row r="28">
          <cell r="M28"/>
          <cell r="N28">
            <v>240</v>
          </cell>
          <cell r="O28">
            <v>240</v>
          </cell>
          <cell r="R28"/>
          <cell r="S28" t="str">
            <v>П8</v>
          </cell>
          <cell r="T28" t="str">
            <v>В8</v>
          </cell>
        </row>
        <row r="29">
          <cell r="M29"/>
          <cell r="N29">
            <v>80</v>
          </cell>
          <cell r="O29">
            <v>80</v>
          </cell>
          <cell r="R29"/>
          <cell r="S29" t="str">
            <v>П8</v>
          </cell>
          <cell r="T29" t="str">
            <v>В8</v>
          </cell>
        </row>
        <row r="30">
          <cell r="M30"/>
          <cell r="N30">
            <v>240</v>
          </cell>
          <cell r="O30">
            <v>240</v>
          </cell>
          <cell r="R30"/>
          <cell r="S30" t="str">
            <v>П8</v>
          </cell>
          <cell r="T30" t="str">
            <v>В8</v>
          </cell>
        </row>
        <row r="31">
          <cell r="M31"/>
          <cell r="N31"/>
          <cell r="O31"/>
          <cell r="R31"/>
          <cell r="S31"/>
          <cell r="T31"/>
        </row>
        <row r="32">
          <cell r="M32"/>
          <cell r="N32">
            <v>480</v>
          </cell>
          <cell r="O32">
            <v>480</v>
          </cell>
          <cell r="R32"/>
          <cell r="S32" t="str">
            <v>П8</v>
          </cell>
          <cell r="T32" t="str">
            <v>В8</v>
          </cell>
        </row>
        <row r="33">
          <cell r="M33"/>
          <cell r="N33"/>
          <cell r="O33"/>
          <cell r="R33"/>
          <cell r="S33"/>
          <cell r="T33"/>
        </row>
        <row r="34">
          <cell r="M34"/>
          <cell r="N34">
            <v>60</v>
          </cell>
          <cell r="O34">
            <v>60</v>
          </cell>
          <cell r="R34"/>
          <cell r="S34" t="str">
            <v>П8</v>
          </cell>
          <cell r="T34" t="str">
            <v>В8</v>
          </cell>
        </row>
        <row r="35">
          <cell r="M35"/>
          <cell r="N35">
            <v>60</v>
          </cell>
          <cell r="O35">
            <v>60</v>
          </cell>
          <cell r="R35"/>
          <cell r="S35" t="str">
            <v>П8</v>
          </cell>
          <cell r="T35" t="str">
            <v>В8</v>
          </cell>
        </row>
        <row r="36">
          <cell r="M36"/>
          <cell r="N36">
            <v>60</v>
          </cell>
          <cell r="O36">
            <v>60</v>
          </cell>
          <cell r="R36"/>
          <cell r="S36" t="str">
            <v>П8</v>
          </cell>
          <cell r="T36" t="str">
            <v>В8</v>
          </cell>
        </row>
        <row r="37">
          <cell r="M37"/>
          <cell r="N37">
            <v>100</v>
          </cell>
          <cell r="O37">
            <v>100</v>
          </cell>
          <cell r="R37"/>
          <cell r="S37" t="str">
            <v>П8</v>
          </cell>
          <cell r="T37" t="str">
            <v>В8</v>
          </cell>
        </row>
        <row r="38">
          <cell r="M38"/>
          <cell r="N38">
            <v>70</v>
          </cell>
          <cell r="O38">
            <v>70</v>
          </cell>
          <cell r="R38"/>
          <cell r="S38" t="str">
            <v>П8</v>
          </cell>
          <cell r="T38" t="str">
            <v>В8</v>
          </cell>
        </row>
        <row r="39">
          <cell r="M39"/>
          <cell r="N39">
            <v>120</v>
          </cell>
          <cell r="O39">
            <v>120</v>
          </cell>
          <cell r="R39"/>
          <cell r="S39" t="str">
            <v>П8</v>
          </cell>
          <cell r="T39" t="str">
            <v>В8</v>
          </cell>
        </row>
        <row r="40">
          <cell r="M40"/>
          <cell r="N40">
            <v>100</v>
          </cell>
          <cell r="O40">
            <v>100</v>
          </cell>
          <cell r="R40"/>
          <cell r="S40" t="str">
            <v>П8</v>
          </cell>
          <cell r="T40" t="str">
            <v>В8</v>
          </cell>
        </row>
        <row r="41">
          <cell r="M41"/>
          <cell r="N41">
            <v>100</v>
          </cell>
          <cell r="O41">
            <v>100</v>
          </cell>
          <cell r="R41"/>
          <cell r="S41" t="str">
            <v>П8</v>
          </cell>
          <cell r="T41" t="str">
            <v>В8</v>
          </cell>
        </row>
        <row r="42">
          <cell r="M42"/>
          <cell r="N42">
            <v>0</v>
          </cell>
          <cell r="O42">
            <v>70</v>
          </cell>
          <cell r="R42"/>
          <cell r="S42"/>
          <cell r="T42" t="str">
            <v>В8</v>
          </cell>
        </row>
        <row r="43">
          <cell r="M43"/>
          <cell r="N43">
            <v>840</v>
          </cell>
          <cell r="O43">
            <v>840</v>
          </cell>
          <cell r="R43"/>
          <cell r="S43" t="str">
            <v>П8</v>
          </cell>
          <cell r="T43" t="str">
            <v>В8</v>
          </cell>
        </row>
        <row r="44">
          <cell r="M44"/>
          <cell r="N44"/>
          <cell r="O44"/>
          <cell r="R44"/>
          <cell r="S44"/>
          <cell r="T44"/>
        </row>
        <row r="45">
          <cell r="M45"/>
          <cell r="N45"/>
          <cell r="O45"/>
          <cell r="R45"/>
          <cell r="S45"/>
          <cell r="T45"/>
        </row>
        <row r="46">
          <cell r="M46"/>
          <cell r="N46"/>
          <cell r="O46"/>
          <cell r="R46"/>
          <cell r="S46"/>
          <cell r="T46"/>
        </row>
        <row r="47">
          <cell r="M47"/>
          <cell r="N47">
            <v>120</v>
          </cell>
          <cell r="O47">
            <v>120</v>
          </cell>
          <cell r="R47"/>
          <cell r="S47" t="str">
            <v>П8</v>
          </cell>
          <cell r="T47" t="str">
            <v>В8</v>
          </cell>
        </row>
        <row r="48">
          <cell r="M48"/>
          <cell r="N48">
            <v>120</v>
          </cell>
          <cell r="O48">
            <v>120</v>
          </cell>
          <cell r="R48"/>
          <cell r="S48" t="str">
            <v>П8</v>
          </cell>
          <cell r="T48" t="str">
            <v>В8</v>
          </cell>
        </row>
        <row r="49">
          <cell r="M49"/>
          <cell r="N49">
            <v>240</v>
          </cell>
          <cell r="O49">
            <v>240</v>
          </cell>
          <cell r="R49"/>
          <cell r="S49" t="str">
            <v>П8</v>
          </cell>
          <cell r="T49" t="str">
            <v>В8</v>
          </cell>
        </row>
        <row r="50">
          <cell r="M50"/>
          <cell r="N50">
            <v>240</v>
          </cell>
          <cell r="O50">
            <v>240</v>
          </cell>
          <cell r="R50"/>
          <cell r="S50" t="str">
            <v>П8</v>
          </cell>
          <cell r="T50" t="str">
            <v>В8</v>
          </cell>
        </row>
        <row r="51">
          <cell r="M51"/>
          <cell r="N51">
            <v>60</v>
          </cell>
          <cell r="O51">
            <v>60</v>
          </cell>
          <cell r="R51"/>
          <cell r="S51" t="str">
            <v>П8</v>
          </cell>
          <cell r="T51" t="str">
            <v>В8</v>
          </cell>
        </row>
        <row r="52">
          <cell r="M52"/>
          <cell r="N52">
            <v>120</v>
          </cell>
          <cell r="O52">
            <v>120</v>
          </cell>
          <cell r="R52"/>
          <cell r="S52" t="str">
            <v>П8</v>
          </cell>
          <cell r="T52" t="str">
            <v>В8</v>
          </cell>
        </row>
        <row r="53">
          <cell r="M53"/>
          <cell r="N53">
            <v>120</v>
          </cell>
          <cell r="O53">
            <v>120</v>
          </cell>
          <cell r="R53"/>
          <cell r="S53" t="str">
            <v>П8</v>
          </cell>
          <cell r="T53" t="str">
            <v>В8</v>
          </cell>
        </row>
        <row r="54">
          <cell r="M54"/>
          <cell r="N54">
            <v>120</v>
          </cell>
          <cell r="O54">
            <v>120</v>
          </cell>
          <cell r="R54"/>
          <cell r="S54" t="str">
            <v>П8</v>
          </cell>
          <cell r="T54" t="str">
            <v>В8</v>
          </cell>
        </row>
        <row r="55">
          <cell r="M55"/>
          <cell r="N55"/>
          <cell r="O55"/>
          <cell r="R55"/>
          <cell r="S55" t="str">
            <v>П8</v>
          </cell>
          <cell r="T55" t="str">
            <v>В8</v>
          </cell>
        </row>
        <row r="56">
          <cell r="M56"/>
          <cell r="N56">
            <v>240</v>
          </cell>
          <cell r="O56">
            <v>240</v>
          </cell>
          <cell r="R56"/>
          <cell r="S56" t="str">
            <v>П8</v>
          </cell>
          <cell r="T56" t="str">
            <v>В8</v>
          </cell>
        </row>
        <row r="57">
          <cell r="M57"/>
          <cell r="N57">
            <v>0</v>
          </cell>
          <cell r="O57">
            <v>40</v>
          </cell>
          <cell r="R57"/>
          <cell r="S57"/>
          <cell r="T57" t="str">
            <v>В9</v>
          </cell>
        </row>
        <row r="58">
          <cell r="M58"/>
          <cell r="N58"/>
          <cell r="O58"/>
          <cell r="R58"/>
          <cell r="S58"/>
          <cell r="T58"/>
        </row>
        <row r="59">
          <cell r="M59"/>
          <cell r="N59">
            <v>480</v>
          </cell>
          <cell r="O59">
            <v>480</v>
          </cell>
          <cell r="R59"/>
          <cell r="S59" t="str">
            <v>П8</v>
          </cell>
          <cell r="T59" t="str">
            <v>В8</v>
          </cell>
        </row>
        <row r="60">
          <cell r="M60"/>
          <cell r="N60">
            <v>480</v>
          </cell>
          <cell r="O60">
            <v>480</v>
          </cell>
          <cell r="R60"/>
          <cell r="S60" t="str">
            <v>П8</v>
          </cell>
          <cell r="T60" t="str">
            <v>В8</v>
          </cell>
        </row>
        <row r="61">
          <cell r="M61"/>
          <cell r="N61">
            <v>60</v>
          </cell>
          <cell r="O61">
            <v>60</v>
          </cell>
          <cell r="R61"/>
          <cell r="S61" t="str">
            <v>П8</v>
          </cell>
          <cell r="T61" t="str">
            <v>В8</v>
          </cell>
        </row>
        <row r="62">
          <cell r="M62"/>
          <cell r="N62">
            <v>11380</v>
          </cell>
          <cell r="O62">
            <v>9790</v>
          </cell>
          <cell r="R62"/>
          <cell r="S62"/>
          <cell r="T62"/>
        </row>
        <row r="63">
          <cell r="M63"/>
          <cell r="N63">
            <v>0</v>
          </cell>
          <cell r="O63">
            <v>0</v>
          </cell>
          <cell r="R63"/>
          <cell r="S63"/>
          <cell r="T63"/>
        </row>
        <row r="64">
          <cell r="M64"/>
          <cell r="N64">
            <v>1780</v>
          </cell>
          <cell r="O64">
            <v>0</v>
          </cell>
          <cell r="R64"/>
          <cell r="S64" t="str">
            <v>П9</v>
          </cell>
          <cell r="T64" t="str">
            <v>В9</v>
          </cell>
        </row>
        <row r="65">
          <cell r="M65"/>
          <cell r="N65">
            <v>180</v>
          </cell>
          <cell r="O65">
            <v>180</v>
          </cell>
          <cell r="R65"/>
          <cell r="S65" t="str">
            <v>П9</v>
          </cell>
          <cell r="T65" t="str">
            <v>В9</v>
          </cell>
        </row>
        <row r="66">
          <cell r="M66"/>
          <cell r="N66">
            <v>240</v>
          </cell>
          <cell r="O66">
            <v>240</v>
          </cell>
          <cell r="R66"/>
          <cell r="S66" t="str">
            <v>П9</v>
          </cell>
          <cell r="T66" t="str">
            <v>В9</v>
          </cell>
        </row>
        <row r="67">
          <cell r="M67"/>
          <cell r="N67">
            <v>60</v>
          </cell>
          <cell r="O67">
            <v>60</v>
          </cell>
          <cell r="R67"/>
          <cell r="S67" t="str">
            <v>П9</v>
          </cell>
          <cell r="T67" t="str">
            <v>В9</v>
          </cell>
        </row>
        <row r="68">
          <cell r="M68"/>
          <cell r="N68">
            <v>110</v>
          </cell>
          <cell r="O68">
            <v>110</v>
          </cell>
          <cell r="R68"/>
          <cell r="S68" t="str">
            <v>П9</v>
          </cell>
          <cell r="T68" t="str">
            <v>В9</v>
          </cell>
        </row>
        <row r="69">
          <cell r="M69"/>
          <cell r="N69">
            <v>0</v>
          </cell>
          <cell r="O69">
            <v>30</v>
          </cell>
          <cell r="R69"/>
          <cell r="S69" t="str">
            <v>П9</v>
          </cell>
          <cell r="T69" t="str">
            <v>В9</v>
          </cell>
        </row>
        <row r="70">
          <cell r="M70"/>
          <cell r="N70">
            <v>70</v>
          </cell>
          <cell r="O70">
            <v>70</v>
          </cell>
          <cell r="R70"/>
          <cell r="S70" t="str">
            <v>П9</v>
          </cell>
          <cell r="T70" t="str">
            <v>В9</v>
          </cell>
        </row>
        <row r="71">
          <cell r="M71"/>
          <cell r="N71">
            <v>100</v>
          </cell>
          <cell r="O71">
            <v>100</v>
          </cell>
          <cell r="R71"/>
          <cell r="S71" t="str">
            <v>П9</v>
          </cell>
          <cell r="T71" t="str">
            <v>В9</v>
          </cell>
        </row>
        <row r="72">
          <cell r="M72"/>
          <cell r="N72">
            <v>100</v>
          </cell>
          <cell r="O72">
            <v>100</v>
          </cell>
          <cell r="R72"/>
          <cell r="S72" t="str">
            <v>П9</v>
          </cell>
          <cell r="T72" t="str">
            <v>В9</v>
          </cell>
        </row>
        <row r="73">
          <cell r="M73"/>
          <cell r="N73">
            <v>0</v>
          </cell>
          <cell r="O73">
            <v>40</v>
          </cell>
          <cell r="R73"/>
          <cell r="S73" t="str">
            <v>П9</v>
          </cell>
          <cell r="T73" t="str">
            <v>В9</v>
          </cell>
        </row>
        <row r="74">
          <cell r="M74"/>
          <cell r="N74"/>
          <cell r="O74"/>
          <cell r="R74"/>
          <cell r="S74" t="str">
            <v>П9</v>
          </cell>
          <cell r="T74" t="str">
            <v>В9</v>
          </cell>
        </row>
        <row r="75">
          <cell r="M75"/>
          <cell r="N75">
            <v>100</v>
          </cell>
          <cell r="O75">
            <v>100</v>
          </cell>
          <cell r="R75"/>
          <cell r="S75" t="str">
            <v>П9</v>
          </cell>
          <cell r="T75" t="str">
            <v>В9</v>
          </cell>
        </row>
        <row r="76">
          <cell r="M76"/>
          <cell r="N76">
            <v>60</v>
          </cell>
          <cell r="O76">
            <v>60</v>
          </cell>
          <cell r="R76"/>
          <cell r="S76" t="str">
            <v>П9</v>
          </cell>
          <cell r="T76" t="str">
            <v>В9</v>
          </cell>
        </row>
        <row r="77">
          <cell r="M77"/>
          <cell r="N77">
            <v>0</v>
          </cell>
          <cell r="O77">
            <v>70</v>
          </cell>
          <cell r="R77"/>
          <cell r="S77" t="str">
            <v>П9</v>
          </cell>
          <cell r="T77" t="str">
            <v>В9</v>
          </cell>
        </row>
        <row r="78">
          <cell r="M78"/>
          <cell r="N78">
            <v>480</v>
          </cell>
          <cell r="O78">
            <v>480</v>
          </cell>
          <cell r="R78"/>
          <cell r="S78" t="str">
            <v>П9</v>
          </cell>
          <cell r="T78" t="str">
            <v>В9</v>
          </cell>
        </row>
        <row r="79">
          <cell r="M79"/>
          <cell r="N79"/>
          <cell r="O79"/>
          <cell r="R79"/>
          <cell r="S79"/>
          <cell r="T79"/>
        </row>
        <row r="80">
          <cell r="M80"/>
          <cell r="N80">
            <v>120</v>
          </cell>
          <cell r="O80">
            <v>120</v>
          </cell>
          <cell r="R80"/>
          <cell r="S80" t="str">
            <v>П9</v>
          </cell>
          <cell r="T80" t="str">
            <v>В9</v>
          </cell>
        </row>
        <row r="81">
          <cell r="M81"/>
          <cell r="N81">
            <v>180</v>
          </cell>
          <cell r="O81">
            <v>180</v>
          </cell>
          <cell r="R81"/>
          <cell r="S81" t="str">
            <v>П9</v>
          </cell>
          <cell r="T81" t="str">
            <v>В9</v>
          </cell>
        </row>
        <row r="82">
          <cell r="M82"/>
          <cell r="N82"/>
          <cell r="O82"/>
          <cell r="R82"/>
          <cell r="S82" t="str">
            <v>П9</v>
          </cell>
          <cell r="T82" t="str">
            <v>В9</v>
          </cell>
        </row>
        <row r="83">
          <cell r="M83"/>
          <cell r="N83">
            <v>80</v>
          </cell>
          <cell r="O83">
            <v>80</v>
          </cell>
          <cell r="R83"/>
          <cell r="S83" t="str">
            <v>П9</v>
          </cell>
          <cell r="T83" t="str">
            <v>В9</v>
          </cell>
        </row>
        <row r="84">
          <cell r="M84"/>
          <cell r="N84">
            <v>200</v>
          </cell>
          <cell r="O84">
            <v>200</v>
          </cell>
          <cell r="R84"/>
          <cell r="S84" t="str">
            <v>П9</v>
          </cell>
          <cell r="T84" t="str">
            <v>В9</v>
          </cell>
        </row>
        <row r="85">
          <cell r="M85"/>
          <cell r="N85">
            <v>0</v>
          </cell>
          <cell r="O85">
            <v>50</v>
          </cell>
          <cell r="R85"/>
          <cell r="S85" t="str">
            <v>П9</v>
          </cell>
          <cell r="T85" t="str">
            <v>В9</v>
          </cell>
        </row>
        <row r="86">
          <cell r="M86"/>
          <cell r="N86">
            <v>240</v>
          </cell>
          <cell r="O86">
            <v>240</v>
          </cell>
          <cell r="R86"/>
          <cell r="S86" t="str">
            <v>П9</v>
          </cell>
          <cell r="T86" t="str">
            <v>В9</v>
          </cell>
        </row>
        <row r="87">
          <cell r="M87"/>
          <cell r="N87"/>
          <cell r="O87"/>
          <cell r="R87"/>
          <cell r="S87" t="str">
            <v>П9</v>
          </cell>
          <cell r="T87" t="str">
            <v>В9</v>
          </cell>
        </row>
        <row r="88">
          <cell r="M88"/>
          <cell r="N88">
            <v>480</v>
          </cell>
          <cell r="O88">
            <v>480</v>
          </cell>
          <cell r="R88"/>
          <cell r="S88" t="str">
            <v>П9</v>
          </cell>
          <cell r="T88" t="str">
            <v>В9</v>
          </cell>
        </row>
        <row r="89">
          <cell r="M89"/>
          <cell r="N89">
            <v>60</v>
          </cell>
          <cell r="O89">
            <v>60</v>
          </cell>
          <cell r="R89"/>
          <cell r="S89" t="str">
            <v>П9</v>
          </cell>
          <cell r="T89" t="str">
            <v>В9</v>
          </cell>
        </row>
        <row r="90">
          <cell r="M90"/>
          <cell r="N90"/>
          <cell r="O90"/>
          <cell r="R90"/>
          <cell r="S90" t="str">
            <v>П9</v>
          </cell>
          <cell r="T90" t="str">
            <v>В9</v>
          </cell>
        </row>
        <row r="91">
          <cell r="M91"/>
          <cell r="N91">
            <v>60</v>
          </cell>
          <cell r="O91">
            <v>60</v>
          </cell>
          <cell r="R91"/>
          <cell r="S91" t="str">
            <v>П9</v>
          </cell>
          <cell r="T91" t="str">
            <v>В9</v>
          </cell>
        </row>
        <row r="92">
          <cell r="M92"/>
          <cell r="N92">
            <v>120</v>
          </cell>
          <cell r="O92">
            <v>120</v>
          </cell>
          <cell r="R92"/>
          <cell r="S92" t="str">
            <v>П9</v>
          </cell>
          <cell r="T92" t="str">
            <v>В9</v>
          </cell>
        </row>
        <row r="93">
          <cell r="M93"/>
          <cell r="N93">
            <v>960</v>
          </cell>
          <cell r="O93">
            <v>960</v>
          </cell>
          <cell r="R93"/>
          <cell r="S93" t="str">
            <v>П9</v>
          </cell>
          <cell r="T93" t="str">
            <v>В9</v>
          </cell>
        </row>
        <row r="94">
          <cell r="M94"/>
          <cell r="N94"/>
          <cell r="O94"/>
          <cell r="R94"/>
          <cell r="S94" t="str">
            <v>П9</v>
          </cell>
          <cell r="T94" t="str">
            <v>В9</v>
          </cell>
        </row>
        <row r="95">
          <cell r="M95"/>
          <cell r="N95">
            <v>420</v>
          </cell>
          <cell r="O95">
            <v>420</v>
          </cell>
          <cell r="R95"/>
          <cell r="S95" t="str">
            <v>П9</v>
          </cell>
          <cell r="T95" t="str">
            <v>В9</v>
          </cell>
        </row>
        <row r="96">
          <cell r="M96"/>
          <cell r="N96"/>
          <cell r="O96"/>
          <cell r="R96"/>
          <cell r="S96" t="str">
            <v>П9</v>
          </cell>
          <cell r="T96" t="str">
            <v>В9</v>
          </cell>
        </row>
        <row r="97">
          <cell r="M97"/>
          <cell r="N97">
            <v>360</v>
          </cell>
          <cell r="O97">
            <v>360</v>
          </cell>
          <cell r="R97"/>
          <cell r="S97" t="str">
            <v>П9</v>
          </cell>
          <cell r="T97" t="str">
            <v>В9</v>
          </cell>
        </row>
        <row r="98">
          <cell r="M98"/>
          <cell r="N98">
            <v>480</v>
          </cell>
          <cell r="O98">
            <v>480</v>
          </cell>
          <cell r="R98"/>
          <cell r="S98" t="str">
            <v>П9</v>
          </cell>
          <cell r="T98" t="str">
            <v>В9</v>
          </cell>
        </row>
        <row r="99">
          <cell r="M99"/>
          <cell r="N99">
            <v>260</v>
          </cell>
          <cell r="O99">
            <v>260</v>
          </cell>
          <cell r="R99"/>
          <cell r="S99" t="str">
            <v>П9</v>
          </cell>
          <cell r="T99" t="str">
            <v>В9</v>
          </cell>
        </row>
        <row r="100">
          <cell r="M100"/>
          <cell r="N100">
            <v>240</v>
          </cell>
          <cell r="O100">
            <v>240</v>
          </cell>
          <cell r="R100"/>
          <cell r="S100" t="str">
            <v>П9</v>
          </cell>
          <cell r="T100" t="str">
            <v>В9</v>
          </cell>
        </row>
        <row r="101">
          <cell r="M101"/>
          <cell r="N101">
            <v>480</v>
          </cell>
          <cell r="O101">
            <v>480</v>
          </cell>
          <cell r="R101"/>
          <cell r="S101" t="str">
            <v>П9</v>
          </cell>
          <cell r="T101" t="str">
            <v>В9</v>
          </cell>
        </row>
        <row r="102">
          <cell r="M102"/>
          <cell r="N102"/>
          <cell r="O102"/>
          <cell r="R102"/>
          <cell r="S102" t="str">
            <v>П9</v>
          </cell>
          <cell r="T102" t="str">
            <v>В9</v>
          </cell>
        </row>
        <row r="103">
          <cell r="M103"/>
          <cell r="N103">
            <v>180</v>
          </cell>
          <cell r="O103">
            <v>180</v>
          </cell>
          <cell r="R103"/>
          <cell r="S103" t="str">
            <v>П9</v>
          </cell>
          <cell r="T103" t="str">
            <v>В9</v>
          </cell>
        </row>
        <row r="104">
          <cell r="M104"/>
          <cell r="N104">
            <v>120</v>
          </cell>
          <cell r="O104">
            <v>120</v>
          </cell>
          <cell r="R104"/>
          <cell r="S104" t="str">
            <v>П9</v>
          </cell>
          <cell r="T104" t="str">
            <v>В9</v>
          </cell>
        </row>
        <row r="105">
          <cell r="M105"/>
          <cell r="N105">
            <v>120</v>
          </cell>
          <cell r="O105">
            <v>120</v>
          </cell>
          <cell r="R105"/>
          <cell r="S105" t="str">
            <v>П9</v>
          </cell>
          <cell r="T105" t="str">
            <v>В9</v>
          </cell>
        </row>
        <row r="106">
          <cell r="M106"/>
          <cell r="N106">
            <v>120</v>
          </cell>
          <cell r="O106">
            <v>120</v>
          </cell>
          <cell r="R106"/>
          <cell r="S106" t="str">
            <v>П9</v>
          </cell>
          <cell r="T106" t="str">
            <v>В9</v>
          </cell>
        </row>
        <row r="107">
          <cell r="M107"/>
          <cell r="N107">
            <v>120</v>
          </cell>
          <cell r="O107">
            <v>120</v>
          </cell>
          <cell r="R107"/>
          <cell r="S107" t="str">
            <v>П9</v>
          </cell>
          <cell r="T107" t="str">
            <v>В9</v>
          </cell>
        </row>
        <row r="108">
          <cell r="M108"/>
          <cell r="N108">
            <v>120</v>
          </cell>
          <cell r="O108">
            <v>120</v>
          </cell>
          <cell r="R108"/>
          <cell r="S108" t="str">
            <v>П9</v>
          </cell>
          <cell r="T108" t="str">
            <v>В9</v>
          </cell>
        </row>
        <row r="109">
          <cell r="M109"/>
          <cell r="N109"/>
          <cell r="O109"/>
          <cell r="R109"/>
          <cell r="S109" t="str">
            <v>П9</v>
          </cell>
          <cell r="T109" t="str">
            <v>В9</v>
          </cell>
        </row>
        <row r="110">
          <cell r="M110"/>
          <cell r="N110">
            <v>60</v>
          </cell>
          <cell r="O110">
            <v>60</v>
          </cell>
          <cell r="R110"/>
          <cell r="S110" t="str">
            <v>П9</v>
          </cell>
          <cell r="T110" t="str">
            <v>В9</v>
          </cell>
        </row>
        <row r="111">
          <cell r="M111"/>
          <cell r="N111">
            <v>60</v>
          </cell>
          <cell r="O111">
            <v>60</v>
          </cell>
          <cell r="R111"/>
          <cell r="S111" t="str">
            <v>П9</v>
          </cell>
          <cell r="T111" t="str">
            <v>В9</v>
          </cell>
        </row>
        <row r="112">
          <cell r="M112"/>
          <cell r="N112">
            <v>60</v>
          </cell>
          <cell r="O112">
            <v>60</v>
          </cell>
          <cell r="R112"/>
          <cell r="S112" t="str">
            <v>П9</v>
          </cell>
          <cell r="T112" t="str">
            <v>В9</v>
          </cell>
        </row>
        <row r="113">
          <cell r="M113"/>
          <cell r="N113">
            <v>60</v>
          </cell>
          <cell r="O113">
            <v>60</v>
          </cell>
          <cell r="R113"/>
          <cell r="S113" t="str">
            <v>П9</v>
          </cell>
          <cell r="T113" t="str">
            <v>В9</v>
          </cell>
        </row>
        <row r="114">
          <cell r="M114"/>
          <cell r="N114">
            <v>840</v>
          </cell>
          <cell r="O114">
            <v>840</v>
          </cell>
          <cell r="R114"/>
          <cell r="S114" t="str">
            <v>П9</v>
          </cell>
          <cell r="T114" t="str">
            <v>В9</v>
          </cell>
        </row>
        <row r="115">
          <cell r="M115"/>
          <cell r="N115"/>
          <cell r="O115"/>
          <cell r="R115"/>
          <cell r="S115"/>
          <cell r="T115"/>
        </row>
        <row r="116">
          <cell r="M116"/>
          <cell r="N116"/>
          <cell r="O116"/>
          <cell r="R116"/>
          <cell r="S116"/>
          <cell r="T116"/>
        </row>
        <row r="117">
          <cell r="M117"/>
          <cell r="N117"/>
          <cell r="O117"/>
          <cell r="R117"/>
          <cell r="S117"/>
          <cell r="T117"/>
        </row>
        <row r="118">
          <cell r="M118"/>
          <cell r="N118">
            <v>480</v>
          </cell>
          <cell r="O118">
            <v>480</v>
          </cell>
          <cell r="R118"/>
          <cell r="S118" t="str">
            <v>П9</v>
          </cell>
          <cell r="T118" t="str">
            <v>В9</v>
          </cell>
        </row>
        <row r="119">
          <cell r="M119"/>
          <cell r="N119">
            <v>120</v>
          </cell>
          <cell r="O119">
            <v>120</v>
          </cell>
          <cell r="R119"/>
          <cell r="S119" t="str">
            <v>П9</v>
          </cell>
          <cell r="T119" t="str">
            <v>В9</v>
          </cell>
        </row>
        <row r="120">
          <cell r="M120"/>
          <cell r="N120">
            <v>480</v>
          </cell>
          <cell r="O120">
            <v>480</v>
          </cell>
          <cell r="R120"/>
          <cell r="S120" t="str">
            <v>П9</v>
          </cell>
          <cell r="T120" t="str">
            <v>В9</v>
          </cell>
        </row>
        <row r="121">
          <cell r="M121"/>
          <cell r="N121">
            <v>240</v>
          </cell>
          <cell r="O121">
            <v>240</v>
          </cell>
          <cell r="R121"/>
          <cell r="S121" t="str">
            <v>П9</v>
          </cell>
          <cell r="T121" t="str">
            <v>В9</v>
          </cell>
        </row>
        <row r="122">
          <cell r="M122"/>
          <cell r="N122">
            <v>11200</v>
          </cell>
          <cell r="O122">
            <v>9610</v>
          </cell>
          <cell r="R122"/>
          <cell r="S122"/>
          <cell r="T122"/>
        </row>
      </sheetData>
      <sheetData sheetId="2">
        <row r="1">
          <cell r="Z1">
            <v>1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Хар.систем"/>
      <sheetName val="Хар.систем дым"/>
      <sheetName val="Хар.фэнк"/>
      <sheetName val="Хар.хол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FBF9B-F85A-4734-8AEA-ECEDF19B78C6}">
  <sheetPr>
    <pageSetUpPr fitToPage="1"/>
  </sheetPr>
  <dimension ref="A1:CX65913"/>
  <sheetViews>
    <sheetView tabSelected="1" topLeftCell="C1" zoomScale="93" zoomScaleNormal="93" zoomScalePageLayoutView="85" workbookViewId="0">
      <pane ySplit="4" topLeftCell="A7" activePane="bottomLeft" state="frozen"/>
      <selection pane="bottomLeft" activeCell="AA22" sqref="AA22"/>
    </sheetView>
  </sheetViews>
  <sheetFormatPr defaultColWidth="8.85546875" defaultRowHeight="17.25" customHeight="1" outlineLevelRow="1" x14ac:dyDescent="0.25"/>
  <cols>
    <col min="1" max="1" width="10" style="207" customWidth="1"/>
    <col min="2" max="2" width="7.7109375" style="337" customWidth="1"/>
    <col min="3" max="3" width="28.85546875" style="349" customWidth="1"/>
    <col min="4" max="4" width="7.28515625" style="337" customWidth="1"/>
    <col min="5" max="5" width="12" style="337" customWidth="1"/>
    <col min="6" max="6" width="7" style="337" customWidth="1"/>
    <col min="7" max="7" width="8.5703125" style="337" customWidth="1"/>
    <col min="8" max="8" width="8.42578125" style="337" customWidth="1"/>
    <col min="9" max="9" width="7.5703125" style="337" customWidth="1"/>
    <col min="10" max="10" width="12.7109375" style="338" customWidth="1"/>
    <col min="11" max="11" width="11.28515625" style="206" customWidth="1"/>
    <col min="12" max="12" width="10.42578125" style="206" customWidth="1"/>
    <col min="13" max="13" width="9.5703125" style="207" customWidth="1"/>
    <col min="14" max="14" width="10.28515625" style="339" bestFit="1" customWidth="1"/>
    <col min="15" max="15" width="10.85546875" style="340" customWidth="1"/>
    <col min="16" max="16" width="10.7109375" style="344" customWidth="1"/>
    <col min="17" max="17" width="10.42578125" style="344" customWidth="1"/>
    <col min="18" max="18" width="8.28515625" style="344" customWidth="1"/>
    <col min="19" max="19" width="9" style="207" customWidth="1"/>
    <col min="20" max="20" width="10.28515625" style="207" customWidth="1"/>
    <col min="21" max="22" width="10.28515625" style="206" hidden="1" customWidth="1"/>
    <col min="23" max="23" width="13.140625" style="207" hidden="1" customWidth="1"/>
    <col min="24" max="24" width="1.140625" style="207" customWidth="1"/>
    <col min="25" max="25" width="0.7109375" style="207" customWidth="1"/>
    <col min="26" max="26" width="11.42578125" style="207" bestFit="1" customWidth="1"/>
    <col min="27" max="27" width="13.7109375" style="207" bestFit="1" customWidth="1"/>
    <col min="28" max="28" width="32" style="207" customWidth="1"/>
    <col min="29" max="29" width="10.140625" style="207" bestFit="1" customWidth="1"/>
    <col min="30" max="30" width="10.7109375" style="207" bestFit="1" customWidth="1"/>
    <col min="31" max="31" width="10.5703125" style="207" customWidth="1"/>
    <col min="32" max="256" width="8.85546875" style="207"/>
    <col min="257" max="257" width="10" style="207" customWidth="1"/>
    <col min="258" max="258" width="6.42578125" style="207" customWidth="1"/>
    <col min="259" max="259" width="28.85546875" style="207" customWidth="1"/>
    <col min="260" max="260" width="4.140625" style="207" customWidth="1"/>
    <col min="261" max="261" width="3.85546875" style="207" customWidth="1"/>
    <col min="262" max="262" width="7" style="207" customWidth="1"/>
    <col min="263" max="263" width="7.28515625" style="207" customWidth="1"/>
    <col min="264" max="264" width="8.42578125" style="207" customWidth="1"/>
    <col min="265" max="265" width="7.5703125" style="207" customWidth="1"/>
    <col min="266" max="266" width="10.7109375" style="207" customWidth="1"/>
    <col min="267" max="267" width="9.28515625" style="207" customWidth="1"/>
    <col min="268" max="268" width="10.42578125" style="207" customWidth="1"/>
    <col min="269" max="269" width="6.7109375" style="207" customWidth="1"/>
    <col min="270" max="270" width="10.28515625" style="207" bestFit="1" customWidth="1"/>
    <col min="271" max="271" width="9.5703125" style="207" customWidth="1"/>
    <col min="272" max="272" width="10.85546875" style="207" customWidth="1"/>
    <col min="273" max="273" width="10.42578125" style="207" customWidth="1"/>
    <col min="274" max="274" width="8.28515625" style="207" customWidth="1"/>
    <col min="275" max="275" width="9" style="207" customWidth="1"/>
    <col min="276" max="276" width="8.140625" style="207" customWidth="1"/>
    <col min="277" max="281" width="0" style="207" hidden="1" customWidth="1"/>
    <col min="282" max="282" width="8.42578125" style="207" bestFit="1" customWidth="1"/>
    <col min="283" max="283" width="10.140625" style="207" bestFit="1" customWidth="1"/>
    <col min="284" max="284" width="32" style="207" customWidth="1"/>
    <col min="285" max="512" width="8.85546875" style="207"/>
    <col min="513" max="513" width="10" style="207" customWidth="1"/>
    <col min="514" max="514" width="6.42578125" style="207" customWidth="1"/>
    <col min="515" max="515" width="28.85546875" style="207" customWidth="1"/>
    <col min="516" max="516" width="4.140625" style="207" customWidth="1"/>
    <col min="517" max="517" width="3.85546875" style="207" customWidth="1"/>
    <col min="518" max="518" width="7" style="207" customWidth="1"/>
    <col min="519" max="519" width="7.28515625" style="207" customWidth="1"/>
    <col min="520" max="520" width="8.42578125" style="207" customWidth="1"/>
    <col min="521" max="521" width="7.5703125" style="207" customWidth="1"/>
    <col min="522" max="522" width="10.7109375" style="207" customWidth="1"/>
    <col min="523" max="523" width="9.28515625" style="207" customWidth="1"/>
    <col min="524" max="524" width="10.42578125" style="207" customWidth="1"/>
    <col min="525" max="525" width="6.7109375" style="207" customWidth="1"/>
    <col min="526" max="526" width="10.28515625" style="207" bestFit="1" customWidth="1"/>
    <col min="527" max="527" width="9.5703125" style="207" customWidth="1"/>
    <col min="528" max="528" width="10.85546875" style="207" customWidth="1"/>
    <col min="529" max="529" width="10.42578125" style="207" customWidth="1"/>
    <col min="530" max="530" width="8.28515625" style="207" customWidth="1"/>
    <col min="531" max="531" width="9" style="207" customWidth="1"/>
    <col min="532" max="532" width="8.140625" style="207" customWidth="1"/>
    <col min="533" max="537" width="0" style="207" hidden="1" customWidth="1"/>
    <col min="538" max="538" width="8.42578125" style="207" bestFit="1" customWidth="1"/>
    <col min="539" max="539" width="10.140625" style="207" bestFit="1" customWidth="1"/>
    <col min="540" max="540" width="32" style="207" customWidth="1"/>
    <col min="541" max="768" width="8.85546875" style="207"/>
    <col min="769" max="769" width="10" style="207" customWidth="1"/>
    <col min="770" max="770" width="6.42578125" style="207" customWidth="1"/>
    <col min="771" max="771" width="28.85546875" style="207" customWidth="1"/>
    <col min="772" max="772" width="4.140625" style="207" customWidth="1"/>
    <col min="773" max="773" width="3.85546875" style="207" customWidth="1"/>
    <col min="774" max="774" width="7" style="207" customWidth="1"/>
    <col min="775" max="775" width="7.28515625" style="207" customWidth="1"/>
    <col min="776" max="776" width="8.42578125" style="207" customWidth="1"/>
    <col min="777" max="777" width="7.5703125" style="207" customWidth="1"/>
    <col min="778" max="778" width="10.7109375" style="207" customWidth="1"/>
    <col min="779" max="779" width="9.28515625" style="207" customWidth="1"/>
    <col min="780" max="780" width="10.42578125" style="207" customWidth="1"/>
    <col min="781" max="781" width="6.7109375" style="207" customWidth="1"/>
    <col min="782" max="782" width="10.28515625" style="207" bestFit="1" customWidth="1"/>
    <col min="783" max="783" width="9.5703125" style="207" customWidth="1"/>
    <col min="784" max="784" width="10.85546875" style="207" customWidth="1"/>
    <col min="785" max="785" width="10.42578125" style="207" customWidth="1"/>
    <col min="786" max="786" width="8.28515625" style="207" customWidth="1"/>
    <col min="787" max="787" width="9" style="207" customWidth="1"/>
    <col min="788" max="788" width="8.140625" style="207" customWidth="1"/>
    <col min="789" max="793" width="0" style="207" hidden="1" customWidth="1"/>
    <col min="794" max="794" width="8.42578125" style="207" bestFit="1" customWidth="1"/>
    <col min="795" max="795" width="10.140625" style="207" bestFit="1" customWidth="1"/>
    <col min="796" max="796" width="32" style="207" customWidth="1"/>
    <col min="797" max="1024" width="8.85546875" style="207"/>
    <col min="1025" max="1025" width="10" style="207" customWidth="1"/>
    <col min="1026" max="1026" width="6.42578125" style="207" customWidth="1"/>
    <col min="1027" max="1027" width="28.85546875" style="207" customWidth="1"/>
    <col min="1028" max="1028" width="4.140625" style="207" customWidth="1"/>
    <col min="1029" max="1029" width="3.85546875" style="207" customWidth="1"/>
    <col min="1030" max="1030" width="7" style="207" customWidth="1"/>
    <col min="1031" max="1031" width="7.28515625" style="207" customWidth="1"/>
    <col min="1032" max="1032" width="8.42578125" style="207" customWidth="1"/>
    <col min="1033" max="1033" width="7.5703125" style="207" customWidth="1"/>
    <col min="1034" max="1034" width="10.7109375" style="207" customWidth="1"/>
    <col min="1035" max="1035" width="9.28515625" style="207" customWidth="1"/>
    <col min="1036" max="1036" width="10.42578125" style="207" customWidth="1"/>
    <col min="1037" max="1037" width="6.7109375" style="207" customWidth="1"/>
    <col min="1038" max="1038" width="10.28515625" style="207" bestFit="1" customWidth="1"/>
    <col min="1039" max="1039" width="9.5703125" style="207" customWidth="1"/>
    <col min="1040" max="1040" width="10.85546875" style="207" customWidth="1"/>
    <col min="1041" max="1041" width="10.42578125" style="207" customWidth="1"/>
    <col min="1042" max="1042" width="8.28515625" style="207" customWidth="1"/>
    <col min="1043" max="1043" width="9" style="207" customWidth="1"/>
    <col min="1044" max="1044" width="8.140625" style="207" customWidth="1"/>
    <col min="1045" max="1049" width="0" style="207" hidden="1" customWidth="1"/>
    <col min="1050" max="1050" width="8.42578125" style="207" bestFit="1" customWidth="1"/>
    <col min="1051" max="1051" width="10.140625" style="207" bestFit="1" customWidth="1"/>
    <col min="1052" max="1052" width="32" style="207" customWidth="1"/>
    <col min="1053" max="1280" width="8.85546875" style="207"/>
    <col min="1281" max="1281" width="10" style="207" customWidth="1"/>
    <col min="1282" max="1282" width="6.42578125" style="207" customWidth="1"/>
    <col min="1283" max="1283" width="28.85546875" style="207" customWidth="1"/>
    <col min="1284" max="1284" width="4.140625" style="207" customWidth="1"/>
    <col min="1285" max="1285" width="3.85546875" style="207" customWidth="1"/>
    <col min="1286" max="1286" width="7" style="207" customWidth="1"/>
    <col min="1287" max="1287" width="7.28515625" style="207" customWidth="1"/>
    <col min="1288" max="1288" width="8.42578125" style="207" customWidth="1"/>
    <col min="1289" max="1289" width="7.5703125" style="207" customWidth="1"/>
    <col min="1290" max="1290" width="10.7109375" style="207" customWidth="1"/>
    <col min="1291" max="1291" width="9.28515625" style="207" customWidth="1"/>
    <col min="1292" max="1292" width="10.42578125" style="207" customWidth="1"/>
    <col min="1293" max="1293" width="6.7109375" style="207" customWidth="1"/>
    <col min="1294" max="1294" width="10.28515625" style="207" bestFit="1" customWidth="1"/>
    <col min="1295" max="1295" width="9.5703125" style="207" customWidth="1"/>
    <col min="1296" max="1296" width="10.85546875" style="207" customWidth="1"/>
    <col min="1297" max="1297" width="10.42578125" style="207" customWidth="1"/>
    <col min="1298" max="1298" width="8.28515625" style="207" customWidth="1"/>
    <col min="1299" max="1299" width="9" style="207" customWidth="1"/>
    <col min="1300" max="1300" width="8.140625" style="207" customWidth="1"/>
    <col min="1301" max="1305" width="0" style="207" hidden="1" customWidth="1"/>
    <col min="1306" max="1306" width="8.42578125" style="207" bestFit="1" customWidth="1"/>
    <col min="1307" max="1307" width="10.140625" style="207" bestFit="1" customWidth="1"/>
    <col min="1308" max="1308" width="32" style="207" customWidth="1"/>
    <col min="1309" max="1536" width="8.85546875" style="207"/>
    <col min="1537" max="1537" width="10" style="207" customWidth="1"/>
    <col min="1538" max="1538" width="6.42578125" style="207" customWidth="1"/>
    <col min="1539" max="1539" width="28.85546875" style="207" customWidth="1"/>
    <col min="1540" max="1540" width="4.140625" style="207" customWidth="1"/>
    <col min="1541" max="1541" width="3.85546875" style="207" customWidth="1"/>
    <col min="1542" max="1542" width="7" style="207" customWidth="1"/>
    <col min="1543" max="1543" width="7.28515625" style="207" customWidth="1"/>
    <col min="1544" max="1544" width="8.42578125" style="207" customWidth="1"/>
    <col min="1545" max="1545" width="7.5703125" style="207" customWidth="1"/>
    <col min="1546" max="1546" width="10.7109375" style="207" customWidth="1"/>
    <col min="1547" max="1547" width="9.28515625" style="207" customWidth="1"/>
    <col min="1548" max="1548" width="10.42578125" style="207" customWidth="1"/>
    <col min="1549" max="1549" width="6.7109375" style="207" customWidth="1"/>
    <col min="1550" max="1550" width="10.28515625" style="207" bestFit="1" customWidth="1"/>
    <col min="1551" max="1551" width="9.5703125" style="207" customWidth="1"/>
    <col min="1552" max="1552" width="10.85546875" style="207" customWidth="1"/>
    <col min="1553" max="1553" width="10.42578125" style="207" customWidth="1"/>
    <col min="1554" max="1554" width="8.28515625" style="207" customWidth="1"/>
    <col min="1555" max="1555" width="9" style="207" customWidth="1"/>
    <col min="1556" max="1556" width="8.140625" style="207" customWidth="1"/>
    <col min="1557" max="1561" width="0" style="207" hidden="1" customWidth="1"/>
    <col min="1562" max="1562" width="8.42578125" style="207" bestFit="1" customWidth="1"/>
    <col min="1563" max="1563" width="10.140625" style="207" bestFit="1" customWidth="1"/>
    <col min="1564" max="1564" width="32" style="207" customWidth="1"/>
    <col min="1565" max="1792" width="8.85546875" style="207"/>
    <col min="1793" max="1793" width="10" style="207" customWidth="1"/>
    <col min="1794" max="1794" width="6.42578125" style="207" customWidth="1"/>
    <col min="1795" max="1795" width="28.85546875" style="207" customWidth="1"/>
    <col min="1796" max="1796" width="4.140625" style="207" customWidth="1"/>
    <col min="1797" max="1797" width="3.85546875" style="207" customWidth="1"/>
    <col min="1798" max="1798" width="7" style="207" customWidth="1"/>
    <col min="1799" max="1799" width="7.28515625" style="207" customWidth="1"/>
    <col min="1800" max="1800" width="8.42578125" style="207" customWidth="1"/>
    <col min="1801" max="1801" width="7.5703125" style="207" customWidth="1"/>
    <col min="1802" max="1802" width="10.7109375" style="207" customWidth="1"/>
    <col min="1803" max="1803" width="9.28515625" style="207" customWidth="1"/>
    <col min="1804" max="1804" width="10.42578125" style="207" customWidth="1"/>
    <col min="1805" max="1805" width="6.7109375" style="207" customWidth="1"/>
    <col min="1806" max="1806" width="10.28515625" style="207" bestFit="1" customWidth="1"/>
    <col min="1807" max="1807" width="9.5703125" style="207" customWidth="1"/>
    <col min="1808" max="1808" width="10.85546875" style="207" customWidth="1"/>
    <col min="1809" max="1809" width="10.42578125" style="207" customWidth="1"/>
    <col min="1810" max="1810" width="8.28515625" style="207" customWidth="1"/>
    <col min="1811" max="1811" width="9" style="207" customWidth="1"/>
    <col min="1812" max="1812" width="8.140625" style="207" customWidth="1"/>
    <col min="1813" max="1817" width="0" style="207" hidden="1" customWidth="1"/>
    <col min="1818" max="1818" width="8.42578125" style="207" bestFit="1" customWidth="1"/>
    <col min="1819" max="1819" width="10.140625" style="207" bestFit="1" customWidth="1"/>
    <col min="1820" max="1820" width="32" style="207" customWidth="1"/>
    <col min="1821" max="2048" width="8.85546875" style="207"/>
    <col min="2049" max="2049" width="10" style="207" customWidth="1"/>
    <col min="2050" max="2050" width="6.42578125" style="207" customWidth="1"/>
    <col min="2051" max="2051" width="28.85546875" style="207" customWidth="1"/>
    <col min="2052" max="2052" width="4.140625" style="207" customWidth="1"/>
    <col min="2053" max="2053" width="3.85546875" style="207" customWidth="1"/>
    <col min="2054" max="2054" width="7" style="207" customWidth="1"/>
    <col min="2055" max="2055" width="7.28515625" style="207" customWidth="1"/>
    <col min="2056" max="2056" width="8.42578125" style="207" customWidth="1"/>
    <col min="2057" max="2057" width="7.5703125" style="207" customWidth="1"/>
    <col min="2058" max="2058" width="10.7109375" style="207" customWidth="1"/>
    <col min="2059" max="2059" width="9.28515625" style="207" customWidth="1"/>
    <col min="2060" max="2060" width="10.42578125" style="207" customWidth="1"/>
    <col min="2061" max="2061" width="6.7109375" style="207" customWidth="1"/>
    <col min="2062" max="2062" width="10.28515625" style="207" bestFit="1" customWidth="1"/>
    <col min="2063" max="2063" width="9.5703125" style="207" customWidth="1"/>
    <col min="2064" max="2064" width="10.85546875" style="207" customWidth="1"/>
    <col min="2065" max="2065" width="10.42578125" style="207" customWidth="1"/>
    <col min="2066" max="2066" width="8.28515625" style="207" customWidth="1"/>
    <col min="2067" max="2067" width="9" style="207" customWidth="1"/>
    <col min="2068" max="2068" width="8.140625" style="207" customWidth="1"/>
    <col min="2069" max="2073" width="0" style="207" hidden="1" customWidth="1"/>
    <col min="2074" max="2074" width="8.42578125" style="207" bestFit="1" customWidth="1"/>
    <col min="2075" max="2075" width="10.140625" style="207" bestFit="1" customWidth="1"/>
    <col min="2076" max="2076" width="32" style="207" customWidth="1"/>
    <col min="2077" max="2304" width="8.85546875" style="207"/>
    <col min="2305" max="2305" width="10" style="207" customWidth="1"/>
    <col min="2306" max="2306" width="6.42578125" style="207" customWidth="1"/>
    <col min="2307" max="2307" width="28.85546875" style="207" customWidth="1"/>
    <col min="2308" max="2308" width="4.140625" style="207" customWidth="1"/>
    <col min="2309" max="2309" width="3.85546875" style="207" customWidth="1"/>
    <col min="2310" max="2310" width="7" style="207" customWidth="1"/>
    <col min="2311" max="2311" width="7.28515625" style="207" customWidth="1"/>
    <col min="2312" max="2312" width="8.42578125" style="207" customWidth="1"/>
    <col min="2313" max="2313" width="7.5703125" style="207" customWidth="1"/>
    <col min="2314" max="2314" width="10.7109375" style="207" customWidth="1"/>
    <col min="2315" max="2315" width="9.28515625" style="207" customWidth="1"/>
    <col min="2316" max="2316" width="10.42578125" style="207" customWidth="1"/>
    <col min="2317" max="2317" width="6.7109375" style="207" customWidth="1"/>
    <col min="2318" max="2318" width="10.28515625" style="207" bestFit="1" customWidth="1"/>
    <col min="2319" max="2319" width="9.5703125" style="207" customWidth="1"/>
    <col min="2320" max="2320" width="10.85546875" style="207" customWidth="1"/>
    <col min="2321" max="2321" width="10.42578125" style="207" customWidth="1"/>
    <col min="2322" max="2322" width="8.28515625" style="207" customWidth="1"/>
    <col min="2323" max="2323" width="9" style="207" customWidth="1"/>
    <col min="2324" max="2324" width="8.140625" style="207" customWidth="1"/>
    <col min="2325" max="2329" width="0" style="207" hidden="1" customWidth="1"/>
    <col min="2330" max="2330" width="8.42578125" style="207" bestFit="1" customWidth="1"/>
    <col min="2331" max="2331" width="10.140625" style="207" bestFit="1" customWidth="1"/>
    <col min="2332" max="2332" width="32" style="207" customWidth="1"/>
    <col min="2333" max="2560" width="8.85546875" style="207"/>
    <col min="2561" max="2561" width="10" style="207" customWidth="1"/>
    <col min="2562" max="2562" width="6.42578125" style="207" customWidth="1"/>
    <col min="2563" max="2563" width="28.85546875" style="207" customWidth="1"/>
    <col min="2564" max="2564" width="4.140625" style="207" customWidth="1"/>
    <col min="2565" max="2565" width="3.85546875" style="207" customWidth="1"/>
    <col min="2566" max="2566" width="7" style="207" customWidth="1"/>
    <col min="2567" max="2567" width="7.28515625" style="207" customWidth="1"/>
    <col min="2568" max="2568" width="8.42578125" style="207" customWidth="1"/>
    <col min="2569" max="2569" width="7.5703125" style="207" customWidth="1"/>
    <col min="2570" max="2570" width="10.7109375" style="207" customWidth="1"/>
    <col min="2571" max="2571" width="9.28515625" style="207" customWidth="1"/>
    <col min="2572" max="2572" width="10.42578125" style="207" customWidth="1"/>
    <col min="2573" max="2573" width="6.7109375" style="207" customWidth="1"/>
    <col min="2574" max="2574" width="10.28515625" style="207" bestFit="1" customWidth="1"/>
    <col min="2575" max="2575" width="9.5703125" style="207" customWidth="1"/>
    <col min="2576" max="2576" width="10.85546875" style="207" customWidth="1"/>
    <col min="2577" max="2577" width="10.42578125" style="207" customWidth="1"/>
    <col min="2578" max="2578" width="8.28515625" style="207" customWidth="1"/>
    <col min="2579" max="2579" width="9" style="207" customWidth="1"/>
    <col min="2580" max="2580" width="8.140625" style="207" customWidth="1"/>
    <col min="2581" max="2585" width="0" style="207" hidden="1" customWidth="1"/>
    <col min="2586" max="2586" width="8.42578125" style="207" bestFit="1" customWidth="1"/>
    <col min="2587" max="2587" width="10.140625" style="207" bestFit="1" customWidth="1"/>
    <col min="2588" max="2588" width="32" style="207" customWidth="1"/>
    <col min="2589" max="2816" width="8.85546875" style="207"/>
    <col min="2817" max="2817" width="10" style="207" customWidth="1"/>
    <col min="2818" max="2818" width="6.42578125" style="207" customWidth="1"/>
    <col min="2819" max="2819" width="28.85546875" style="207" customWidth="1"/>
    <col min="2820" max="2820" width="4.140625" style="207" customWidth="1"/>
    <col min="2821" max="2821" width="3.85546875" style="207" customWidth="1"/>
    <col min="2822" max="2822" width="7" style="207" customWidth="1"/>
    <col min="2823" max="2823" width="7.28515625" style="207" customWidth="1"/>
    <col min="2824" max="2824" width="8.42578125" style="207" customWidth="1"/>
    <col min="2825" max="2825" width="7.5703125" style="207" customWidth="1"/>
    <col min="2826" max="2826" width="10.7109375" style="207" customWidth="1"/>
    <col min="2827" max="2827" width="9.28515625" style="207" customWidth="1"/>
    <col min="2828" max="2828" width="10.42578125" style="207" customWidth="1"/>
    <col min="2829" max="2829" width="6.7109375" style="207" customWidth="1"/>
    <col min="2830" max="2830" width="10.28515625" style="207" bestFit="1" customWidth="1"/>
    <col min="2831" max="2831" width="9.5703125" style="207" customWidth="1"/>
    <col min="2832" max="2832" width="10.85546875" style="207" customWidth="1"/>
    <col min="2833" max="2833" width="10.42578125" style="207" customWidth="1"/>
    <col min="2834" max="2834" width="8.28515625" style="207" customWidth="1"/>
    <col min="2835" max="2835" width="9" style="207" customWidth="1"/>
    <col min="2836" max="2836" width="8.140625" style="207" customWidth="1"/>
    <col min="2837" max="2841" width="0" style="207" hidden="1" customWidth="1"/>
    <col min="2842" max="2842" width="8.42578125" style="207" bestFit="1" customWidth="1"/>
    <col min="2843" max="2843" width="10.140625" style="207" bestFit="1" customWidth="1"/>
    <col min="2844" max="2844" width="32" style="207" customWidth="1"/>
    <col min="2845" max="3072" width="8.85546875" style="207"/>
    <col min="3073" max="3073" width="10" style="207" customWidth="1"/>
    <col min="3074" max="3074" width="6.42578125" style="207" customWidth="1"/>
    <col min="3075" max="3075" width="28.85546875" style="207" customWidth="1"/>
    <col min="3076" max="3076" width="4.140625" style="207" customWidth="1"/>
    <col min="3077" max="3077" width="3.85546875" style="207" customWidth="1"/>
    <col min="3078" max="3078" width="7" style="207" customWidth="1"/>
    <col min="3079" max="3079" width="7.28515625" style="207" customWidth="1"/>
    <col min="3080" max="3080" width="8.42578125" style="207" customWidth="1"/>
    <col min="3081" max="3081" width="7.5703125" style="207" customWidth="1"/>
    <col min="3082" max="3082" width="10.7109375" style="207" customWidth="1"/>
    <col min="3083" max="3083" width="9.28515625" style="207" customWidth="1"/>
    <col min="3084" max="3084" width="10.42578125" style="207" customWidth="1"/>
    <col min="3085" max="3085" width="6.7109375" style="207" customWidth="1"/>
    <col min="3086" max="3086" width="10.28515625" style="207" bestFit="1" customWidth="1"/>
    <col min="3087" max="3087" width="9.5703125" style="207" customWidth="1"/>
    <col min="3088" max="3088" width="10.85546875" style="207" customWidth="1"/>
    <col min="3089" max="3089" width="10.42578125" style="207" customWidth="1"/>
    <col min="3090" max="3090" width="8.28515625" style="207" customWidth="1"/>
    <col min="3091" max="3091" width="9" style="207" customWidth="1"/>
    <col min="3092" max="3092" width="8.140625" style="207" customWidth="1"/>
    <col min="3093" max="3097" width="0" style="207" hidden="1" customWidth="1"/>
    <col min="3098" max="3098" width="8.42578125" style="207" bestFit="1" customWidth="1"/>
    <col min="3099" max="3099" width="10.140625" style="207" bestFit="1" customWidth="1"/>
    <col min="3100" max="3100" width="32" style="207" customWidth="1"/>
    <col min="3101" max="3328" width="8.85546875" style="207"/>
    <col min="3329" max="3329" width="10" style="207" customWidth="1"/>
    <col min="3330" max="3330" width="6.42578125" style="207" customWidth="1"/>
    <col min="3331" max="3331" width="28.85546875" style="207" customWidth="1"/>
    <col min="3332" max="3332" width="4.140625" style="207" customWidth="1"/>
    <col min="3333" max="3333" width="3.85546875" style="207" customWidth="1"/>
    <col min="3334" max="3334" width="7" style="207" customWidth="1"/>
    <col min="3335" max="3335" width="7.28515625" style="207" customWidth="1"/>
    <col min="3336" max="3336" width="8.42578125" style="207" customWidth="1"/>
    <col min="3337" max="3337" width="7.5703125" style="207" customWidth="1"/>
    <col min="3338" max="3338" width="10.7109375" style="207" customWidth="1"/>
    <col min="3339" max="3339" width="9.28515625" style="207" customWidth="1"/>
    <col min="3340" max="3340" width="10.42578125" style="207" customWidth="1"/>
    <col min="3341" max="3341" width="6.7109375" style="207" customWidth="1"/>
    <col min="3342" max="3342" width="10.28515625" style="207" bestFit="1" customWidth="1"/>
    <col min="3343" max="3343" width="9.5703125" style="207" customWidth="1"/>
    <col min="3344" max="3344" width="10.85546875" style="207" customWidth="1"/>
    <col min="3345" max="3345" width="10.42578125" style="207" customWidth="1"/>
    <col min="3346" max="3346" width="8.28515625" style="207" customWidth="1"/>
    <col min="3347" max="3347" width="9" style="207" customWidth="1"/>
    <col min="3348" max="3348" width="8.140625" style="207" customWidth="1"/>
    <col min="3349" max="3353" width="0" style="207" hidden="1" customWidth="1"/>
    <col min="3354" max="3354" width="8.42578125" style="207" bestFit="1" customWidth="1"/>
    <col min="3355" max="3355" width="10.140625" style="207" bestFit="1" customWidth="1"/>
    <col min="3356" max="3356" width="32" style="207" customWidth="1"/>
    <col min="3357" max="3584" width="8.85546875" style="207"/>
    <col min="3585" max="3585" width="10" style="207" customWidth="1"/>
    <col min="3586" max="3586" width="6.42578125" style="207" customWidth="1"/>
    <col min="3587" max="3587" width="28.85546875" style="207" customWidth="1"/>
    <col min="3588" max="3588" width="4.140625" style="207" customWidth="1"/>
    <col min="3589" max="3589" width="3.85546875" style="207" customWidth="1"/>
    <col min="3590" max="3590" width="7" style="207" customWidth="1"/>
    <col min="3591" max="3591" width="7.28515625" style="207" customWidth="1"/>
    <col min="3592" max="3592" width="8.42578125" style="207" customWidth="1"/>
    <col min="3593" max="3593" width="7.5703125" style="207" customWidth="1"/>
    <col min="3594" max="3594" width="10.7109375" style="207" customWidth="1"/>
    <col min="3595" max="3595" width="9.28515625" style="207" customWidth="1"/>
    <col min="3596" max="3596" width="10.42578125" style="207" customWidth="1"/>
    <col min="3597" max="3597" width="6.7109375" style="207" customWidth="1"/>
    <col min="3598" max="3598" width="10.28515625" style="207" bestFit="1" customWidth="1"/>
    <col min="3599" max="3599" width="9.5703125" style="207" customWidth="1"/>
    <col min="3600" max="3600" width="10.85546875" style="207" customWidth="1"/>
    <col min="3601" max="3601" width="10.42578125" style="207" customWidth="1"/>
    <col min="3602" max="3602" width="8.28515625" style="207" customWidth="1"/>
    <col min="3603" max="3603" width="9" style="207" customWidth="1"/>
    <col min="3604" max="3604" width="8.140625" style="207" customWidth="1"/>
    <col min="3605" max="3609" width="0" style="207" hidden="1" customWidth="1"/>
    <col min="3610" max="3610" width="8.42578125" style="207" bestFit="1" customWidth="1"/>
    <col min="3611" max="3611" width="10.140625" style="207" bestFit="1" customWidth="1"/>
    <col min="3612" max="3612" width="32" style="207" customWidth="1"/>
    <col min="3613" max="3840" width="8.85546875" style="207"/>
    <col min="3841" max="3841" width="10" style="207" customWidth="1"/>
    <col min="3842" max="3842" width="6.42578125" style="207" customWidth="1"/>
    <col min="3843" max="3843" width="28.85546875" style="207" customWidth="1"/>
    <col min="3844" max="3844" width="4.140625" style="207" customWidth="1"/>
    <col min="3845" max="3845" width="3.85546875" style="207" customWidth="1"/>
    <col min="3846" max="3846" width="7" style="207" customWidth="1"/>
    <col min="3847" max="3847" width="7.28515625" style="207" customWidth="1"/>
    <col min="3848" max="3848" width="8.42578125" style="207" customWidth="1"/>
    <col min="3849" max="3849" width="7.5703125" style="207" customWidth="1"/>
    <col min="3850" max="3850" width="10.7109375" style="207" customWidth="1"/>
    <col min="3851" max="3851" width="9.28515625" style="207" customWidth="1"/>
    <col min="3852" max="3852" width="10.42578125" style="207" customWidth="1"/>
    <col min="3853" max="3853" width="6.7109375" style="207" customWidth="1"/>
    <col min="3854" max="3854" width="10.28515625" style="207" bestFit="1" customWidth="1"/>
    <col min="3855" max="3855" width="9.5703125" style="207" customWidth="1"/>
    <col min="3856" max="3856" width="10.85546875" style="207" customWidth="1"/>
    <col min="3857" max="3857" width="10.42578125" style="207" customWidth="1"/>
    <col min="3858" max="3858" width="8.28515625" style="207" customWidth="1"/>
    <col min="3859" max="3859" width="9" style="207" customWidth="1"/>
    <col min="3860" max="3860" width="8.140625" style="207" customWidth="1"/>
    <col min="3861" max="3865" width="0" style="207" hidden="1" customWidth="1"/>
    <col min="3866" max="3866" width="8.42578125" style="207" bestFit="1" customWidth="1"/>
    <col min="3867" max="3867" width="10.140625" style="207" bestFit="1" customWidth="1"/>
    <col min="3868" max="3868" width="32" style="207" customWidth="1"/>
    <col min="3869" max="4096" width="8.85546875" style="207"/>
    <col min="4097" max="4097" width="10" style="207" customWidth="1"/>
    <col min="4098" max="4098" width="6.42578125" style="207" customWidth="1"/>
    <col min="4099" max="4099" width="28.85546875" style="207" customWidth="1"/>
    <col min="4100" max="4100" width="4.140625" style="207" customWidth="1"/>
    <col min="4101" max="4101" width="3.85546875" style="207" customWidth="1"/>
    <col min="4102" max="4102" width="7" style="207" customWidth="1"/>
    <col min="4103" max="4103" width="7.28515625" style="207" customWidth="1"/>
    <col min="4104" max="4104" width="8.42578125" style="207" customWidth="1"/>
    <col min="4105" max="4105" width="7.5703125" style="207" customWidth="1"/>
    <col min="4106" max="4106" width="10.7109375" style="207" customWidth="1"/>
    <col min="4107" max="4107" width="9.28515625" style="207" customWidth="1"/>
    <col min="4108" max="4108" width="10.42578125" style="207" customWidth="1"/>
    <col min="4109" max="4109" width="6.7109375" style="207" customWidth="1"/>
    <col min="4110" max="4110" width="10.28515625" style="207" bestFit="1" customWidth="1"/>
    <col min="4111" max="4111" width="9.5703125" style="207" customWidth="1"/>
    <col min="4112" max="4112" width="10.85546875" style="207" customWidth="1"/>
    <col min="4113" max="4113" width="10.42578125" style="207" customWidth="1"/>
    <col min="4114" max="4114" width="8.28515625" style="207" customWidth="1"/>
    <col min="4115" max="4115" width="9" style="207" customWidth="1"/>
    <col min="4116" max="4116" width="8.140625" style="207" customWidth="1"/>
    <col min="4117" max="4121" width="0" style="207" hidden="1" customWidth="1"/>
    <col min="4122" max="4122" width="8.42578125" style="207" bestFit="1" customWidth="1"/>
    <col min="4123" max="4123" width="10.140625" style="207" bestFit="1" customWidth="1"/>
    <col min="4124" max="4124" width="32" style="207" customWidth="1"/>
    <col min="4125" max="4352" width="8.85546875" style="207"/>
    <col min="4353" max="4353" width="10" style="207" customWidth="1"/>
    <col min="4354" max="4354" width="6.42578125" style="207" customWidth="1"/>
    <col min="4355" max="4355" width="28.85546875" style="207" customWidth="1"/>
    <col min="4356" max="4356" width="4.140625" style="207" customWidth="1"/>
    <col min="4357" max="4357" width="3.85546875" style="207" customWidth="1"/>
    <col min="4358" max="4358" width="7" style="207" customWidth="1"/>
    <col min="4359" max="4359" width="7.28515625" style="207" customWidth="1"/>
    <col min="4360" max="4360" width="8.42578125" style="207" customWidth="1"/>
    <col min="4361" max="4361" width="7.5703125" style="207" customWidth="1"/>
    <col min="4362" max="4362" width="10.7109375" style="207" customWidth="1"/>
    <col min="4363" max="4363" width="9.28515625" style="207" customWidth="1"/>
    <col min="4364" max="4364" width="10.42578125" style="207" customWidth="1"/>
    <col min="4365" max="4365" width="6.7109375" style="207" customWidth="1"/>
    <col min="4366" max="4366" width="10.28515625" style="207" bestFit="1" customWidth="1"/>
    <col min="4367" max="4367" width="9.5703125" style="207" customWidth="1"/>
    <col min="4368" max="4368" width="10.85546875" style="207" customWidth="1"/>
    <col min="4369" max="4369" width="10.42578125" style="207" customWidth="1"/>
    <col min="4370" max="4370" width="8.28515625" style="207" customWidth="1"/>
    <col min="4371" max="4371" width="9" style="207" customWidth="1"/>
    <col min="4372" max="4372" width="8.140625" style="207" customWidth="1"/>
    <col min="4373" max="4377" width="0" style="207" hidden="1" customWidth="1"/>
    <col min="4378" max="4378" width="8.42578125" style="207" bestFit="1" customWidth="1"/>
    <col min="4379" max="4379" width="10.140625" style="207" bestFit="1" customWidth="1"/>
    <col min="4380" max="4380" width="32" style="207" customWidth="1"/>
    <col min="4381" max="4608" width="8.85546875" style="207"/>
    <col min="4609" max="4609" width="10" style="207" customWidth="1"/>
    <col min="4610" max="4610" width="6.42578125" style="207" customWidth="1"/>
    <col min="4611" max="4611" width="28.85546875" style="207" customWidth="1"/>
    <col min="4612" max="4612" width="4.140625" style="207" customWidth="1"/>
    <col min="4613" max="4613" width="3.85546875" style="207" customWidth="1"/>
    <col min="4614" max="4614" width="7" style="207" customWidth="1"/>
    <col min="4615" max="4615" width="7.28515625" style="207" customWidth="1"/>
    <col min="4616" max="4616" width="8.42578125" style="207" customWidth="1"/>
    <col min="4617" max="4617" width="7.5703125" style="207" customWidth="1"/>
    <col min="4618" max="4618" width="10.7109375" style="207" customWidth="1"/>
    <col min="4619" max="4619" width="9.28515625" style="207" customWidth="1"/>
    <col min="4620" max="4620" width="10.42578125" style="207" customWidth="1"/>
    <col min="4621" max="4621" width="6.7109375" style="207" customWidth="1"/>
    <col min="4622" max="4622" width="10.28515625" style="207" bestFit="1" customWidth="1"/>
    <col min="4623" max="4623" width="9.5703125" style="207" customWidth="1"/>
    <col min="4624" max="4624" width="10.85546875" style="207" customWidth="1"/>
    <col min="4625" max="4625" width="10.42578125" style="207" customWidth="1"/>
    <col min="4626" max="4626" width="8.28515625" style="207" customWidth="1"/>
    <col min="4627" max="4627" width="9" style="207" customWidth="1"/>
    <col min="4628" max="4628" width="8.140625" style="207" customWidth="1"/>
    <col min="4629" max="4633" width="0" style="207" hidden="1" customWidth="1"/>
    <col min="4634" max="4634" width="8.42578125" style="207" bestFit="1" customWidth="1"/>
    <col min="4635" max="4635" width="10.140625" style="207" bestFit="1" customWidth="1"/>
    <col min="4636" max="4636" width="32" style="207" customWidth="1"/>
    <col min="4637" max="4864" width="8.85546875" style="207"/>
    <col min="4865" max="4865" width="10" style="207" customWidth="1"/>
    <col min="4866" max="4866" width="6.42578125" style="207" customWidth="1"/>
    <col min="4867" max="4867" width="28.85546875" style="207" customWidth="1"/>
    <col min="4868" max="4868" width="4.140625" style="207" customWidth="1"/>
    <col min="4869" max="4869" width="3.85546875" style="207" customWidth="1"/>
    <col min="4870" max="4870" width="7" style="207" customWidth="1"/>
    <col min="4871" max="4871" width="7.28515625" style="207" customWidth="1"/>
    <col min="4872" max="4872" width="8.42578125" style="207" customWidth="1"/>
    <col min="4873" max="4873" width="7.5703125" style="207" customWidth="1"/>
    <col min="4874" max="4874" width="10.7109375" style="207" customWidth="1"/>
    <col min="4875" max="4875" width="9.28515625" style="207" customWidth="1"/>
    <col min="4876" max="4876" width="10.42578125" style="207" customWidth="1"/>
    <col min="4877" max="4877" width="6.7109375" style="207" customWidth="1"/>
    <col min="4878" max="4878" width="10.28515625" style="207" bestFit="1" customWidth="1"/>
    <col min="4879" max="4879" width="9.5703125" style="207" customWidth="1"/>
    <col min="4880" max="4880" width="10.85546875" style="207" customWidth="1"/>
    <col min="4881" max="4881" width="10.42578125" style="207" customWidth="1"/>
    <col min="4882" max="4882" width="8.28515625" style="207" customWidth="1"/>
    <col min="4883" max="4883" width="9" style="207" customWidth="1"/>
    <col min="4884" max="4884" width="8.140625" style="207" customWidth="1"/>
    <col min="4885" max="4889" width="0" style="207" hidden="1" customWidth="1"/>
    <col min="4890" max="4890" width="8.42578125" style="207" bestFit="1" customWidth="1"/>
    <col min="4891" max="4891" width="10.140625" style="207" bestFit="1" customWidth="1"/>
    <col min="4892" max="4892" width="32" style="207" customWidth="1"/>
    <col min="4893" max="5120" width="8.85546875" style="207"/>
    <col min="5121" max="5121" width="10" style="207" customWidth="1"/>
    <col min="5122" max="5122" width="6.42578125" style="207" customWidth="1"/>
    <col min="5123" max="5123" width="28.85546875" style="207" customWidth="1"/>
    <col min="5124" max="5124" width="4.140625" style="207" customWidth="1"/>
    <col min="5125" max="5125" width="3.85546875" style="207" customWidth="1"/>
    <col min="5126" max="5126" width="7" style="207" customWidth="1"/>
    <col min="5127" max="5127" width="7.28515625" style="207" customWidth="1"/>
    <col min="5128" max="5128" width="8.42578125" style="207" customWidth="1"/>
    <col min="5129" max="5129" width="7.5703125" style="207" customWidth="1"/>
    <col min="5130" max="5130" width="10.7109375" style="207" customWidth="1"/>
    <col min="5131" max="5131" width="9.28515625" style="207" customWidth="1"/>
    <col min="5132" max="5132" width="10.42578125" style="207" customWidth="1"/>
    <col min="5133" max="5133" width="6.7109375" style="207" customWidth="1"/>
    <col min="5134" max="5134" width="10.28515625" style="207" bestFit="1" customWidth="1"/>
    <col min="5135" max="5135" width="9.5703125" style="207" customWidth="1"/>
    <col min="5136" max="5136" width="10.85546875" style="207" customWidth="1"/>
    <col min="5137" max="5137" width="10.42578125" style="207" customWidth="1"/>
    <col min="5138" max="5138" width="8.28515625" style="207" customWidth="1"/>
    <col min="5139" max="5139" width="9" style="207" customWidth="1"/>
    <col min="5140" max="5140" width="8.140625" style="207" customWidth="1"/>
    <col min="5141" max="5145" width="0" style="207" hidden="1" customWidth="1"/>
    <col min="5146" max="5146" width="8.42578125" style="207" bestFit="1" customWidth="1"/>
    <col min="5147" max="5147" width="10.140625" style="207" bestFit="1" customWidth="1"/>
    <col min="5148" max="5148" width="32" style="207" customWidth="1"/>
    <col min="5149" max="5376" width="8.85546875" style="207"/>
    <col min="5377" max="5377" width="10" style="207" customWidth="1"/>
    <col min="5378" max="5378" width="6.42578125" style="207" customWidth="1"/>
    <col min="5379" max="5379" width="28.85546875" style="207" customWidth="1"/>
    <col min="5380" max="5380" width="4.140625" style="207" customWidth="1"/>
    <col min="5381" max="5381" width="3.85546875" style="207" customWidth="1"/>
    <col min="5382" max="5382" width="7" style="207" customWidth="1"/>
    <col min="5383" max="5383" width="7.28515625" style="207" customWidth="1"/>
    <col min="5384" max="5384" width="8.42578125" style="207" customWidth="1"/>
    <col min="5385" max="5385" width="7.5703125" style="207" customWidth="1"/>
    <col min="5386" max="5386" width="10.7109375" style="207" customWidth="1"/>
    <col min="5387" max="5387" width="9.28515625" style="207" customWidth="1"/>
    <col min="5388" max="5388" width="10.42578125" style="207" customWidth="1"/>
    <col min="5389" max="5389" width="6.7109375" style="207" customWidth="1"/>
    <col min="5390" max="5390" width="10.28515625" style="207" bestFit="1" customWidth="1"/>
    <col min="5391" max="5391" width="9.5703125" style="207" customWidth="1"/>
    <col min="5392" max="5392" width="10.85546875" style="207" customWidth="1"/>
    <col min="5393" max="5393" width="10.42578125" style="207" customWidth="1"/>
    <col min="5394" max="5394" width="8.28515625" style="207" customWidth="1"/>
    <col min="5395" max="5395" width="9" style="207" customWidth="1"/>
    <col min="5396" max="5396" width="8.140625" style="207" customWidth="1"/>
    <col min="5397" max="5401" width="0" style="207" hidden="1" customWidth="1"/>
    <col min="5402" max="5402" width="8.42578125" style="207" bestFit="1" customWidth="1"/>
    <col min="5403" max="5403" width="10.140625" style="207" bestFit="1" customWidth="1"/>
    <col min="5404" max="5404" width="32" style="207" customWidth="1"/>
    <col min="5405" max="5632" width="8.85546875" style="207"/>
    <col min="5633" max="5633" width="10" style="207" customWidth="1"/>
    <col min="5634" max="5634" width="6.42578125" style="207" customWidth="1"/>
    <col min="5635" max="5635" width="28.85546875" style="207" customWidth="1"/>
    <col min="5636" max="5636" width="4.140625" style="207" customWidth="1"/>
    <col min="5637" max="5637" width="3.85546875" style="207" customWidth="1"/>
    <col min="5638" max="5638" width="7" style="207" customWidth="1"/>
    <col min="5639" max="5639" width="7.28515625" style="207" customWidth="1"/>
    <col min="5640" max="5640" width="8.42578125" style="207" customWidth="1"/>
    <col min="5641" max="5641" width="7.5703125" style="207" customWidth="1"/>
    <col min="5642" max="5642" width="10.7109375" style="207" customWidth="1"/>
    <col min="5643" max="5643" width="9.28515625" style="207" customWidth="1"/>
    <col min="5644" max="5644" width="10.42578125" style="207" customWidth="1"/>
    <col min="5645" max="5645" width="6.7109375" style="207" customWidth="1"/>
    <col min="5646" max="5646" width="10.28515625" style="207" bestFit="1" customWidth="1"/>
    <col min="5647" max="5647" width="9.5703125" style="207" customWidth="1"/>
    <col min="5648" max="5648" width="10.85546875" style="207" customWidth="1"/>
    <col min="5649" max="5649" width="10.42578125" style="207" customWidth="1"/>
    <col min="5650" max="5650" width="8.28515625" style="207" customWidth="1"/>
    <col min="5651" max="5651" width="9" style="207" customWidth="1"/>
    <col min="5652" max="5652" width="8.140625" style="207" customWidth="1"/>
    <col min="5653" max="5657" width="0" style="207" hidden="1" customWidth="1"/>
    <col min="5658" max="5658" width="8.42578125" style="207" bestFit="1" customWidth="1"/>
    <col min="5659" max="5659" width="10.140625" style="207" bestFit="1" customWidth="1"/>
    <col min="5660" max="5660" width="32" style="207" customWidth="1"/>
    <col min="5661" max="5888" width="8.85546875" style="207"/>
    <col min="5889" max="5889" width="10" style="207" customWidth="1"/>
    <col min="5890" max="5890" width="6.42578125" style="207" customWidth="1"/>
    <col min="5891" max="5891" width="28.85546875" style="207" customWidth="1"/>
    <col min="5892" max="5892" width="4.140625" style="207" customWidth="1"/>
    <col min="5893" max="5893" width="3.85546875" style="207" customWidth="1"/>
    <col min="5894" max="5894" width="7" style="207" customWidth="1"/>
    <col min="5895" max="5895" width="7.28515625" style="207" customWidth="1"/>
    <col min="5896" max="5896" width="8.42578125" style="207" customWidth="1"/>
    <col min="5897" max="5897" width="7.5703125" style="207" customWidth="1"/>
    <col min="5898" max="5898" width="10.7109375" style="207" customWidth="1"/>
    <col min="5899" max="5899" width="9.28515625" style="207" customWidth="1"/>
    <col min="5900" max="5900" width="10.42578125" style="207" customWidth="1"/>
    <col min="5901" max="5901" width="6.7109375" style="207" customWidth="1"/>
    <col min="5902" max="5902" width="10.28515625" style="207" bestFit="1" customWidth="1"/>
    <col min="5903" max="5903" width="9.5703125" style="207" customWidth="1"/>
    <col min="5904" max="5904" width="10.85546875" style="207" customWidth="1"/>
    <col min="5905" max="5905" width="10.42578125" style="207" customWidth="1"/>
    <col min="5906" max="5906" width="8.28515625" style="207" customWidth="1"/>
    <col min="5907" max="5907" width="9" style="207" customWidth="1"/>
    <col min="5908" max="5908" width="8.140625" style="207" customWidth="1"/>
    <col min="5909" max="5913" width="0" style="207" hidden="1" customWidth="1"/>
    <col min="5914" max="5914" width="8.42578125" style="207" bestFit="1" customWidth="1"/>
    <col min="5915" max="5915" width="10.140625" style="207" bestFit="1" customWidth="1"/>
    <col min="5916" max="5916" width="32" style="207" customWidth="1"/>
    <col min="5917" max="6144" width="8.85546875" style="207"/>
    <col min="6145" max="6145" width="10" style="207" customWidth="1"/>
    <col min="6146" max="6146" width="6.42578125" style="207" customWidth="1"/>
    <col min="6147" max="6147" width="28.85546875" style="207" customWidth="1"/>
    <col min="6148" max="6148" width="4.140625" style="207" customWidth="1"/>
    <col min="6149" max="6149" width="3.85546875" style="207" customWidth="1"/>
    <col min="6150" max="6150" width="7" style="207" customWidth="1"/>
    <col min="6151" max="6151" width="7.28515625" style="207" customWidth="1"/>
    <col min="6152" max="6152" width="8.42578125" style="207" customWidth="1"/>
    <col min="6153" max="6153" width="7.5703125" style="207" customWidth="1"/>
    <col min="6154" max="6154" width="10.7109375" style="207" customWidth="1"/>
    <col min="6155" max="6155" width="9.28515625" style="207" customWidth="1"/>
    <col min="6156" max="6156" width="10.42578125" style="207" customWidth="1"/>
    <col min="6157" max="6157" width="6.7109375" style="207" customWidth="1"/>
    <col min="6158" max="6158" width="10.28515625" style="207" bestFit="1" customWidth="1"/>
    <col min="6159" max="6159" width="9.5703125" style="207" customWidth="1"/>
    <col min="6160" max="6160" width="10.85546875" style="207" customWidth="1"/>
    <col min="6161" max="6161" width="10.42578125" style="207" customWidth="1"/>
    <col min="6162" max="6162" width="8.28515625" style="207" customWidth="1"/>
    <col min="6163" max="6163" width="9" style="207" customWidth="1"/>
    <col min="6164" max="6164" width="8.140625" style="207" customWidth="1"/>
    <col min="6165" max="6169" width="0" style="207" hidden="1" customWidth="1"/>
    <col min="6170" max="6170" width="8.42578125" style="207" bestFit="1" customWidth="1"/>
    <col min="6171" max="6171" width="10.140625" style="207" bestFit="1" customWidth="1"/>
    <col min="6172" max="6172" width="32" style="207" customWidth="1"/>
    <col min="6173" max="6400" width="8.85546875" style="207"/>
    <col min="6401" max="6401" width="10" style="207" customWidth="1"/>
    <col min="6402" max="6402" width="6.42578125" style="207" customWidth="1"/>
    <col min="6403" max="6403" width="28.85546875" style="207" customWidth="1"/>
    <col min="6404" max="6404" width="4.140625" style="207" customWidth="1"/>
    <col min="6405" max="6405" width="3.85546875" style="207" customWidth="1"/>
    <col min="6406" max="6406" width="7" style="207" customWidth="1"/>
    <col min="6407" max="6407" width="7.28515625" style="207" customWidth="1"/>
    <col min="6408" max="6408" width="8.42578125" style="207" customWidth="1"/>
    <col min="6409" max="6409" width="7.5703125" style="207" customWidth="1"/>
    <col min="6410" max="6410" width="10.7109375" style="207" customWidth="1"/>
    <col min="6411" max="6411" width="9.28515625" style="207" customWidth="1"/>
    <col min="6412" max="6412" width="10.42578125" style="207" customWidth="1"/>
    <col min="6413" max="6413" width="6.7109375" style="207" customWidth="1"/>
    <col min="6414" max="6414" width="10.28515625" style="207" bestFit="1" customWidth="1"/>
    <col min="6415" max="6415" width="9.5703125" style="207" customWidth="1"/>
    <col min="6416" max="6416" width="10.85546875" style="207" customWidth="1"/>
    <col min="6417" max="6417" width="10.42578125" style="207" customWidth="1"/>
    <col min="6418" max="6418" width="8.28515625" style="207" customWidth="1"/>
    <col min="6419" max="6419" width="9" style="207" customWidth="1"/>
    <col min="6420" max="6420" width="8.140625" style="207" customWidth="1"/>
    <col min="6421" max="6425" width="0" style="207" hidden="1" customWidth="1"/>
    <col min="6426" max="6426" width="8.42578125" style="207" bestFit="1" customWidth="1"/>
    <col min="6427" max="6427" width="10.140625" style="207" bestFit="1" customWidth="1"/>
    <col min="6428" max="6428" width="32" style="207" customWidth="1"/>
    <col min="6429" max="6656" width="8.85546875" style="207"/>
    <col min="6657" max="6657" width="10" style="207" customWidth="1"/>
    <col min="6658" max="6658" width="6.42578125" style="207" customWidth="1"/>
    <col min="6659" max="6659" width="28.85546875" style="207" customWidth="1"/>
    <col min="6660" max="6660" width="4.140625" style="207" customWidth="1"/>
    <col min="6661" max="6661" width="3.85546875" style="207" customWidth="1"/>
    <col min="6662" max="6662" width="7" style="207" customWidth="1"/>
    <col min="6663" max="6663" width="7.28515625" style="207" customWidth="1"/>
    <col min="6664" max="6664" width="8.42578125" style="207" customWidth="1"/>
    <col min="6665" max="6665" width="7.5703125" style="207" customWidth="1"/>
    <col min="6666" max="6666" width="10.7109375" style="207" customWidth="1"/>
    <col min="6667" max="6667" width="9.28515625" style="207" customWidth="1"/>
    <col min="6668" max="6668" width="10.42578125" style="207" customWidth="1"/>
    <col min="6669" max="6669" width="6.7109375" style="207" customWidth="1"/>
    <col min="6670" max="6670" width="10.28515625" style="207" bestFit="1" customWidth="1"/>
    <col min="6671" max="6671" width="9.5703125" style="207" customWidth="1"/>
    <col min="6672" max="6672" width="10.85546875" style="207" customWidth="1"/>
    <col min="6673" max="6673" width="10.42578125" style="207" customWidth="1"/>
    <col min="6674" max="6674" width="8.28515625" style="207" customWidth="1"/>
    <col min="6675" max="6675" width="9" style="207" customWidth="1"/>
    <col min="6676" max="6676" width="8.140625" style="207" customWidth="1"/>
    <col min="6677" max="6681" width="0" style="207" hidden="1" customWidth="1"/>
    <col min="6682" max="6682" width="8.42578125" style="207" bestFit="1" customWidth="1"/>
    <col min="6683" max="6683" width="10.140625" style="207" bestFit="1" customWidth="1"/>
    <col min="6684" max="6684" width="32" style="207" customWidth="1"/>
    <col min="6685" max="6912" width="8.85546875" style="207"/>
    <col min="6913" max="6913" width="10" style="207" customWidth="1"/>
    <col min="6914" max="6914" width="6.42578125" style="207" customWidth="1"/>
    <col min="6915" max="6915" width="28.85546875" style="207" customWidth="1"/>
    <col min="6916" max="6916" width="4.140625" style="207" customWidth="1"/>
    <col min="6917" max="6917" width="3.85546875" style="207" customWidth="1"/>
    <col min="6918" max="6918" width="7" style="207" customWidth="1"/>
    <col min="6919" max="6919" width="7.28515625" style="207" customWidth="1"/>
    <col min="6920" max="6920" width="8.42578125" style="207" customWidth="1"/>
    <col min="6921" max="6921" width="7.5703125" style="207" customWidth="1"/>
    <col min="6922" max="6922" width="10.7109375" style="207" customWidth="1"/>
    <col min="6923" max="6923" width="9.28515625" style="207" customWidth="1"/>
    <col min="6924" max="6924" width="10.42578125" style="207" customWidth="1"/>
    <col min="6925" max="6925" width="6.7109375" style="207" customWidth="1"/>
    <col min="6926" max="6926" width="10.28515625" style="207" bestFit="1" customWidth="1"/>
    <col min="6927" max="6927" width="9.5703125" style="207" customWidth="1"/>
    <col min="6928" max="6928" width="10.85546875" style="207" customWidth="1"/>
    <col min="6929" max="6929" width="10.42578125" style="207" customWidth="1"/>
    <col min="6930" max="6930" width="8.28515625" style="207" customWidth="1"/>
    <col min="6931" max="6931" width="9" style="207" customWidth="1"/>
    <col min="6932" max="6932" width="8.140625" style="207" customWidth="1"/>
    <col min="6933" max="6937" width="0" style="207" hidden="1" customWidth="1"/>
    <col min="6938" max="6938" width="8.42578125" style="207" bestFit="1" customWidth="1"/>
    <col min="6939" max="6939" width="10.140625" style="207" bestFit="1" customWidth="1"/>
    <col min="6940" max="6940" width="32" style="207" customWidth="1"/>
    <col min="6941" max="7168" width="8.85546875" style="207"/>
    <col min="7169" max="7169" width="10" style="207" customWidth="1"/>
    <col min="7170" max="7170" width="6.42578125" style="207" customWidth="1"/>
    <col min="7171" max="7171" width="28.85546875" style="207" customWidth="1"/>
    <col min="7172" max="7172" width="4.140625" style="207" customWidth="1"/>
    <col min="7173" max="7173" width="3.85546875" style="207" customWidth="1"/>
    <col min="7174" max="7174" width="7" style="207" customWidth="1"/>
    <col min="7175" max="7175" width="7.28515625" style="207" customWidth="1"/>
    <col min="7176" max="7176" width="8.42578125" style="207" customWidth="1"/>
    <col min="7177" max="7177" width="7.5703125" style="207" customWidth="1"/>
    <col min="7178" max="7178" width="10.7109375" style="207" customWidth="1"/>
    <col min="7179" max="7179" width="9.28515625" style="207" customWidth="1"/>
    <col min="7180" max="7180" width="10.42578125" style="207" customWidth="1"/>
    <col min="7181" max="7181" width="6.7109375" style="207" customWidth="1"/>
    <col min="7182" max="7182" width="10.28515625" style="207" bestFit="1" customWidth="1"/>
    <col min="7183" max="7183" width="9.5703125" style="207" customWidth="1"/>
    <col min="7184" max="7184" width="10.85546875" style="207" customWidth="1"/>
    <col min="7185" max="7185" width="10.42578125" style="207" customWidth="1"/>
    <col min="7186" max="7186" width="8.28515625" style="207" customWidth="1"/>
    <col min="7187" max="7187" width="9" style="207" customWidth="1"/>
    <col min="7188" max="7188" width="8.140625" style="207" customWidth="1"/>
    <col min="7189" max="7193" width="0" style="207" hidden="1" customWidth="1"/>
    <col min="7194" max="7194" width="8.42578125" style="207" bestFit="1" customWidth="1"/>
    <col min="7195" max="7195" width="10.140625" style="207" bestFit="1" customWidth="1"/>
    <col min="7196" max="7196" width="32" style="207" customWidth="1"/>
    <col min="7197" max="7424" width="8.85546875" style="207"/>
    <col min="7425" max="7425" width="10" style="207" customWidth="1"/>
    <col min="7426" max="7426" width="6.42578125" style="207" customWidth="1"/>
    <col min="7427" max="7427" width="28.85546875" style="207" customWidth="1"/>
    <col min="7428" max="7428" width="4.140625" style="207" customWidth="1"/>
    <col min="7429" max="7429" width="3.85546875" style="207" customWidth="1"/>
    <col min="7430" max="7430" width="7" style="207" customWidth="1"/>
    <col min="7431" max="7431" width="7.28515625" style="207" customWidth="1"/>
    <col min="7432" max="7432" width="8.42578125" style="207" customWidth="1"/>
    <col min="7433" max="7433" width="7.5703125" style="207" customWidth="1"/>
    <col min="7434" max="7434" width="10.7109375" style="207" customWidth="1"/>
    <col min="7435" max="7435" width="9.28515625" style="207" customWidth="1"/>
    <col min="7436" max="7436" width="10.42578125" style="207" customWidth="1"/>
    <col min="7437" max="7437" width="6.7109375" style="207" customWidth="1"/>
    <col min="7438" max="7438" width="10.28515625" style="207" bestFit="1" customWidth="1"/>
    <col min="7439" max="7439" width="9.5703125" style="207" customWidth="1"/>
    <col min="7440" max="7440" width="10.85546875" style="207" customWidth="1"/>
    <col min="7441" max="7441" width="10.42578125" style="207" customWidth="1"/>
    <col min="7442" max="7442" width="8.28515625" style="207" customWidth="1"/>
    <col min="7443" max="7443" width="9" style="207" customWidth="1"/>
    <col min="7444" max="7444" width="8.140625" style="207" customWidth="1"/>
    <col min="7445" max="7449" width="0" style="207" hidden="1" customWidth="1"/>
    <col min="7450" max="7450" width="8.42578125" style="207" bestFit="1" customWidth="1"/>
    <col min="7451" max="7451" width="10.140625" style="207" bestFit="1" customWidth="1"/>
    <col min="7452" max="7452" width="32" style="207" customWidth="1"/>
    <col min="7453" max="7680" width="8.85546875" style="207"/>
    <col min="7681" max="7681" width="10" style="207" customWidth="1"/>
    <col min="7682" max="7682" width="6.42578125" style="207" customWidth="1"/>
    <col min="7683" max="7683" width="28.85546875" style="207" customWidth="1"/>
    <col min="7684" max="7684" width="4.140625" style="207" customWidth="1"/>
    <col min="7685" max="7685" width="3.85546875" style="207" customWidth="1"/>
    <col min="7686" max="7686" width="7" style="207" customWidth="1"/>
    <col min="7687" max="7687" width="7.28515625" style="207" customWidth="1"/>
    <col min="7688" max="7688" width="8.42578125" style="207" customWidth="1"/>
    <col min="7689" max="7689" width="7.5703125" style="207" customWidth="1"/>
    <col min="7690" max="7690" width="10.7109375" style="207" customWidth="1"/>
    <col min="7691" max="7691" width="9.28515625" style="207" customWidth="1"/>
    <col min="7692" max="7692" width="10.42578125" style="207" customWidth="1"/>
    <col min="7693" max="7693" width="6.7109375" style="207" customWidth="1"/>
    <col min="7694" max="7694" width="10.28515625" style="207" bestFit="1" customWidth="1"/>
    <col min="7695" max="7695" width="9.5703125" style="207" customWidth="1"/>
    <col min="7696" max="7696" width="10.85546875" style="207" customWidth="1"/>
    <col min="7697" max="7697" width="10.42578125" style="207" customWidth="1"/>
    <col min="7698" max="7698" width="8.28515625" style="207" customWidth="1"/>
    <col min="7699" max="7699" width="9" style="207" customWidth="1"/>
    <col min="7700" max="7700" width="8.140625" style="207" customWidth="1"/>
    <col min="7701" max="7705" width="0" style="207" hidden="1" customWidth="1"/>
    <col min="7706" max="7706" width="8.42578125" style="207" bestFit="1" customWidth="1"/>
    <col min="7707" max="7707" width="10.140625" style="207" bestFit="1" customWidth="1"/>
    <col min="7708" max="7708" width="32" style="207" customWidth="1"/>
    <col min="7709" max="7936" width="8.85546875" style="207"/>
    <col min="7937" max="7937" width="10" style="207" customWidth="1"/>
    <col min="7938" max="7938" width="6.42578125" style="207" customWidth="1"/>
    <col min="7939" max="7939" width="28.85546875" style="207" customWidth="1"/>
    <col min="7940" max="7940" width="4.140625" style="207" customWidth="1"/>
    <col min="7941" max="7941" width="3.85546875" style="207" customWidth="1"/>
    <col min="7942" max="7942" width="7" style="207" customWidth="1"/>
    <col min="7943" max="7943" width="7.28515625" style="207" customWidth="1"/>
    <col min="7944" max="7944" width="8.42578125" style="207" customWidth="1"/>
    <col min="7945" max="7945" width="7.5703125" style="207" customWidth="1"/>
    <col min="7946" max="7946" width="10.7109375" style="207" customWidth="1"/>
    <col min="7947" max="7947" width="9.28515625" style="207" customWidth="1"/>
    <col min="7948" max="7948" width="10.42578125" style="207" customWidth="1"/>
    <col min="7949" max="7949" width="6.7109375" style="207" customWidth="1"/>
    <col min="7950" max="7950" width="10.28515625" style="207" bestFit="1" customWidth="1"/>
    <col min="7951" max="7951" width="9.5703125" style="207" customWidth="1"/>
    <col min="7952" max="7952" width="10.85546875" style="207" customWidth="1"/>
    <col min="7953" max="7953" width="10.42578125" style="207" customWidth="1"/>
    <col min="7954" max="7954" width="8.28515625" style="207" customWidth="1"/>
    <col min="7955" max="7955" width="9" style="207" customWidth="1"/>
    <col min="7956" max="7956" width="8.140625" style="207" customWidth="1"/>
    <col min="7957" max="7961" width="0" style="207" hidden="1" customWidth="1"/>
    <col min="7962" max="7962" width="8.42578125" style="207" bestFit="1" customWidth="1"/>
    <col min="7963" max="7963" width="10.140625" style="207" bestFit="1" customWidth="1"/>
    <col min="7964" max="7964" width="32" style="207" customWidth="1"/>
    <col min="7965" max="8192" width="8.85546875" style="207"/>
    <col min="8193" max="8193" width="10" style="207" customWidth="1"/>
    <col min="8194" max="8194" width="6.42578125" style="207" customWidth="1"/>
    <col min="8195" max="8195" width="28.85546875" style="207" customWidth="1"/>
    <col min="8196" max="8196" width="4.140625" style="207" customWidth="1"/>
    <col min="8197" max="8197" width="3.85546875" style="207" customWidth="1"/>
    <col min="8198" max="8198" width="7" style="207" customWidth="1"/>
    <col min="8199" max="8199" width="7.28515625" style="207" customWidth="1"/>
    <col min="8200" max="8200" width="8.42578125" style="207" customWidth="1"/>
    <col min="8201" max="8201" width="7.5703125" style="207" customWidth="1"/>
    <col min="8202" max="8202" width="10.7109375" style="207" customWidth="1"/>
    <col min="8203" max="8203" width="9.28515625" style="207" customWidth="1"/>
    <col min="8204" max="8204" width="10.42578125" style="207" customWidth="1"/>
    <col min="8205" max="8205" width="6.7109375" style="207" customWidth="1"/>
    <col min="8206" max="8206" width="10.28515625" style="207" bestFit="1" customWidth="1"/>
    <col min="8207" max="8207" width="9.5703125" style="207" customWidth="1"/>
    <col min="8208" max="8208" width="10.85546875" style="207" customWidth="1"/>
    <col min="8209" max="8209" width="10.42578125" style="207" customWidth="1"/>
    <col min="8210" max="8210" width="8.28515625" style="207" customWidth="1"/>
    <col min="8211" max="8211" width="9" style="207" customWidth="1"/>
    <col min="8212" max="8212" width="8.140625" style="207" customWidth="1"/>
    <col min="8213" max="8217" width="0" style="207" hidden="1" customWidth="1"/>
    <col min="8218" max="8218" width="8.42578125" style="207" bestFit="1" customWidth="1"/>
    <col min="8219" max="8219" width="10.140625" style="207" bestFit="1" customWidth="1"/>
    <col min="8220" max="8220" width="32" style="207" customWidth="1"/>
    <col min="8221" max="8448" width="8.85546875" style="207"/>
    <col min="8449" max="8449" width="10" style="207" customWidth="1"/>
    <col min="8450" max="8450" width="6.42578125" style="207" customWidth="1"/>
    <col min="8451" max="8451" width="28.85546875" style="207" customWidth="1"/>
    <col min="8452" max="8452" width="4.140625" style="207" customWidth="1"/>
    <col min="8453" max="8453" width="3.85546875" style="207" customWidth="1"/>
    <col min="8454" max="8454" width="7" style="207" customWidth="1"/>
    <col min="8455" max="8455" width="7.28515625" style="207" customWidth="1"/>
    <col min="8456" max="8456" width="8.42578125" style="207" customWidth="1"/>
    <col min="8457" max="8457" width="7.5703125" style="207" customWidth="1"/>
    <col min="8458" max="8458" width="10.7109375" style="207" customWidth="1"/>
    <col min="8459" max="8459" width="9.28515625" style="207" customWidth="1"/>
    <col min="8460" max="8460" width="10.42578125" style="207" customWidth="1"/>
    <col min="8461" max="8461" width="6.7109375" style="207" customWidth="1"/>
    <col min="8462" max="8462" width="10.28515625" style="207" bestFit="1" customWidth="1"/>
    <col min="8463" max="8463" width="9.5703125" style="207" customWidth="1"/>
    <col min="8464" max="8464" width="10.85546875" style="207" customWidth="1"/>
    <col min="8465" max="8465" width="10.42578125" style="207" customWidth="1"/>
    <col min="8466" max="8466" width="8.28515625" style="207" customWidth="1"/>
    <col min="8467" max="8467" width="9" style="207" customWidth="1"/>
    <col min="8468" max="8468" width="8.140625" style="207" customWidth="1"/>
    <col min="8469" max="8473" width="0" style="207" hidden="1" customWidth="1"/>
    <col min="8474" max="8474" width="8.42578125" style="207" bestFit="1" customWidth="1"/>
    <col min="8475" max="8475" width="10.140625" style="207" bestFit="1" customWidth="1"/>
    <col min="8476" max="8476" width="32" style="207" customWidth="1"/>
    <col min="8477" max="8704" width="8.85546875" style="207"/>
    <col min="8705" max="8705" width="10" style="207" customWidth="1"/>
    <col min="8706" max="8706" width="6.42578125" style="207" customWidth="1"/>
    <col min="8707" max="8707" width="28.85546875" style="207" customWidth="1"/>
    <col min="8708" max="8708" width="4.140625" style="207" customWidth="1"/>
    <col min="8709" max="8709" width="3.85546875" style="207" customWidth="1"/>
    <col min="8710" max="8710" width="7" style="207" customWidth="1"/>
    <col min="8711" max="8711" width="7.28515625" style="207" customWidth="1"/>
    <col min="8712" max="8712" width="8.42578125" style="207" customWidth="1"/>
    <col min="8713" max="8713" width="7.5703125" style="207" customWidth="1"/>
    <col min="8714" max="8714" width="10.7109375" style="207" customWidth="1"/>
    <col min="8715" max="8715" width="9.28515625" style="207" customWidth="1"/>
    <col min="8716" max="8716" width="10.42578125" style="207" customWidth="1"/>
    <col min="8717" max="8717" width="6.7109375" style="207" customWidth="1"/>
    <col min="8718" max="8718" width="10.28515625" style="207" bestFit="1" customWidth="1"/>
    <col min="8719" max="8719" width="9.5703125" style="207" customWidth="1"/>
    <col min="8720" max="8720" width="10.85546875" style="207" customWidth="1"/>
    <col min="8721" max="8721" width="10.42578125" style="207" customWidth="1"/>
    <col min="8722" max="8722" width="8.28515625" style="207" customWidth="1"/>
    <col min="8723" max="8723" width="9" style="207" customWidth="1"/>
    <col min="8724" max="8724" width="8.140625" style="207" customWidth="1"/>
    <col min="8725" max="8729" width="0" style="207" hidden="1" customWidth="1"/>
    <col min="8730" max="8730" width="8.42578125" style="207" bestFit="1" customWidth="1"/>
    <col min="8731" max="8731" width="10.140625" style="207" bestFit="1" customWidth="1"/>
    <col min="8732" max="8732" width="32" style="207" customWidth="1"/>
    <col min="8733" max="8960" width="8.85546875" style="207"/>
    <col min="8961" max="8961" width="10" style="207" customWidth="1"/>
    <col min="8962" max="8962" width="6.42578125" style="207" customWidth="1"/>
    <col min="8963" max="8963" width="28.85546875" style="207" customWidth="1"/>
    <col min="8964" max="8964" width="4.140625" style="207" customWidth="1"/>
    <col min="8965" max="8965" width="3.85546875" style="207" customWidth="1"/>
    <col min="8966" max="8966" width="7" style="207" customWidth="1"/>
    <col min="8967" max="8967" width="7.28515625" style="207" customWidth="1"/>
    <col min="8968" max="8968" width="8.42578125" style="207" customWidth="1"/>
    <col min="8969" max="8969" width="7.5703125" style="207" customWidth="1"/>
    <col min="8970" max="8970" width="10.7109375" style="207" customWidth="1"/>
    <col min="8971" max="8971" width="9.28515625" style="207" customWidth="1"/>
    <col min="8972" max="8972" width="10.42578125" style="207" customWidth="1"/>
    <col min="8973" max="8973" width="6.7109375" style="207" customWidth="1"/>
    <col min="8974" max="8974" width="10.28515625" style="207" bestFit="1" customWidth="1"/>
    <col min="8975" max="8975" width="9.5703125" style="207" customWidth="1"/>
    <col min="8976" max="8976" width="10.85546875" style="207" customWidth="1"/>
    <col min="8977" max="8977" width="10.42578125" style="207" customWidth="1"/>
    <col min="8978" max="8978" width="8.28515625" style="207" customWidth="1"/>
    <col min="8979" max="8979" width="9" style="207" customWidth="1"/>
    <col min="8980" max="8980" width="8.140625" style="207" customWidth="1"/>
    <col min="8981" max="8985" width="0" style="207" hidden="1" customWidth="1"/>
    <col min="8986" max="8986" width="8.42578125" style="207" bestFit="1" customWidth="1"/>
    <col min="8987" max="8987" width="10.140625" style="207" bestFit="1" customWidth="1"/>
    <col min="8988" max="8988" width="32" style="207" customWidth="1"/>
    <col min="8989" max="9216" width="8.85546875" style="207"/>
    <col min="9217" max="9217" width="10" style="207" customWidth="1"/>
    <col min="9218" max="9218" width="6.42578125" style="207" customWidth="1"/>
    <col min="9219" max="9219" width="28.85546875" style="207" customWidth="1"/>
    <col min="9220" max="9220" width="4.140625" style="207" customWidth="1"/>
    <col min="9221" max="9221" width="3.85546875" style="207" customWidth="1"/>
    <col min="9222" max="9222" width="7" style="207" customWidth="1"/>
    <col min="9223" max="9223" width="7.28515625" style="207" customWidth="1"/>
    <col min="9224" max="9224" width="8.42578125" style="207" customWidth="1"/>
    <col min="9225" max="9225" width="7.5703125" style="207" customWidth="1"/>
    <col min="9226" max="9226" width="10.7109375" style="207" customWidth="1"/>
    <col min="9227" max="9227" width="9.28515625" style="207" customWidth="1"/>
    <col min="9228" max="9228" width="10.42578125" style="207" customWidth="1"/>
    <col min="9229" max="9229" width="6.7109375" style="207" customWidth="1"/>
    <col min="9230" max="9230" width="10.28515625" style="207" bestFit="1" customWidth="1"/>
    <col min="9231" max="9231" width="9.5703125" style="207" customWidth="1"/>
    <col min="9232" max="9232" width="10.85546875" style="207" customWidth="1"/>
    <col min="9233" max="9233" width="10.42578125" style="207" customWidth="1"/>
    <col min="9234" max="9234" width="8.28515625" style="207" customWidth="1"/>
    <col min="9235" max="9235" width="9" style="207" customWidth="1"/>
    <col min="9236" max="9236" width="8.140625" style="207" customWidth="1"/>
    <col min="9237" max="9241" width="0" style="207" hidden="1" customWidth="1"/>
    <col min="9242" max="9242" width="8.42578125" style="207" bestFit="1" customWidth="1"/>
    <col min="9243" max="9243" width="10.140625" style="207" bestFit="1" customWidth="1"/>
    <col min="9244" max="9244" width="32" style="207" customWidth="1"/>
    <col min="9245" max="9472" width="8.85546875" style="207"/>
    <col min="9473" max="9473" width="10" style="207" customWidth="1"/>
    <col min="9474" max="9474" width="6.42578125" style="207" customWidth="1"/>
    <col min="9475" max="9475" width="28.85546875" style="207" customWidth="1"/>
    <col min="9476" max="9476" width="4.140625" style="207" customWidth="1"/>
    <col min="9477" max="9477" width="3.85546875" style="207" customWidth="1"/>
    <col min="9478" max="9478" width="7" style="207" customWidth="1"/>
    <col min="9479" max="9479" width="7.28515625" style="207" customWidth="1"/>
    <col min="9480" max="9480" width="8.42578125" style="207" customWidth="1"/>
    <col min="9481" max="9481" width="7.5703125" style="207" customWidth="1"/>
    <col min="9482" max="9482" width="10.7109375" style="207" customWidth="1"/>
    <col min="9483" max="9483" width="9.28515625" style="207" customWidth="1"/>
    <col min="9484" max="9484" width="10.42578125" style="207" customWidth="1"/>
    <col min="9485" max="9485" width="6.7109375" style="207" customWidth="1"/>
    <col min="9486" max="9486" width="10.28515625" style="207" bestFit="1" customWidth="1"/>
    <col min="9487" max="9487" width="9.5703125" style="207" customWidth="1"/>
    <col min="9488" max="9488" width="10.85546875" style="207" customWidth="1"/>
    <col min="9489" max="9489" width="10.42578125" style="207" customWidth="1"/>
    <col min="9490" max="9490" width="8.28515625" style="207" customWidth="1"/>
    <col min="9491" max="9491" width="9" style="207" customWidth="1"/>
    <col min="9492" max="9492" width="8.140625" style="207" customWidth="1"/>
    <col min="9493" max="9497" width="0" style="207" hidden="1" customWidth="1"/>
    <col min="9498" max="9498" width="8.42578125" style="207" bestFit="1" customWidth="1"/>
    <col min="9499" max="9499" width="10.140625" style="207" bestFit="1" customWidth="1"/>
    <col min="9500" max="9500" width="32" style="207" customWidth="1"/>
    <col min="9501" max="9728" width="8.85546875" style="207"/>
    <col min="9729" max="9729" width="10" style="207" customWidth="1"/>
    <col min="9730" max="9730" width="6.42578125" style="207" customWidth="1"/>
    <col min="9731" max="9731" width="28.85546875" style="207" customWidth="1"/>
    <col min="9732" max="9732" width="4.140625" style="207" customWidth="1"/>
    <col min="9733" max="9733" width="3.85546875" style="207" customWidth="1"/>
    <col min="9734" max="9734" width="7" style="207" customWidth="1"/>
    <col min="9735" max="9735" width="7.28515625" style="207" customWidth="1"/>
    <col min="9736" max="9736" width="8.42578125" style="207" customWidth="1"/>
    <col min="9737" max="9737" width="7.5703125" style="207" customWidth="1"/>
    <col min="9738" max="9738" width="10.7109375" style="207" customWidth="1"/>
    <col min="9739" max="9739" width="9.28515625" style="207" customWidth="1"/>
    <col min="9740" max="9740" width="10.42578125" style="207" customWidth="1"/>
    <col min="9741" max="9741" width="6.7109375" style="207" customWidth="1"/>
    <col min="9742" max="9742" width="10.28515625" style="207" bestFit="1" customWidth="1"/>
    <col min="9743" max="9743" width="9.5703125" style="207" customWidth="1"/>
    <col min="9744" max="9744" width="10.85546875" style="207" customWidth="1"/>
    <col min="9745" max="9745" width="10.42578125" style="207" customWidth="1"/>
    <col min="9746" max="9746" width="8.28515625" style="207" customWidth="1"/>
    <col min="9747" max="9747" width="9" style="207" customWidth="1"/>
    <col min="9748" max="9748" width="8.140625" style="207" customWidth="1"/>
    <col min="9749" max="9753" width="0" style="207" hidden="1" customWidth="1"/>
    <col min="9754" max="9754" width="8.42578125" style="207" bestFit="1" customWidth="1"/>
    <col min="9755" max="9755" width="10.140625" style="207" bestFit="1" customWidth="1"/>
    <col min="9756" max="9756" width="32" style="207" customWidth="1"/>
    <col min="9757" max="9984" width="8.85546875" style="207"/>
    <col min="9985" max="9985" width="10" style="207" customWidth="1"/>
    <col min="9986" max="9986" width="6.42578125" style="207" customWidth="1"/>
    <col min="9987" max="9987" width="28.85546875" style="207" customWidth="1"/>
    <col min="9988" max="9988" width="4.140625" style="207" customWidth="1"/>
    <col min="9989" max="9989" width="3.85546875" style="207" customWidth="1"/>
    <col min="9990" max="9990" width="7" style="207" customWidth="1"/>
    <col min="9991" max="9991" width="7.28515625" style="207" customWidth="1"/>
    <col min="9992" max="9992" width="8.42578125" style="207" customWidth="1"/>
    <col min="9993" max="9993" width="7.5703125" style="207" customWidth="1"/>
    <col min="9994" max="9994" width="10.7109375" style="207" customWidth="1"/>
    <col min="9995" max="9995" width="9.28515625" style="207" customWidth="1"/>
    <col min="9996" max="9996" width="10.42578125" style="207" customWidth="1"/>
    <col min="9997" max="9997" width="6.7109375" style="207" customWidth="1"/>
    <col min="9998" max="9998" width="10.28515625" style="207" bestFit="1" customWidth="1"/>
    <col min="9999" max="9999" width="9.5703125" style="207" customWidth="1"/>
    <col min="10000" max="10000" width="10.85546875" style="207" customWidth="1"/>
    <col min="10001" max="10001" width="10.42578125" style="207" customWidth="1"/>
    <col min="10002" max="10002" width="8.28515625" style="207" customWidth="1"/>
    <col min="10003" max="10003" width="9" style="207" customWidth="1"/>
    <col min="10004" max="10004" width="8.140625" style="207" customWidth="1"/>
    <col min="10005" max="10009" width="0" style="207" hidden="1" customWidth="1"/>
    <col min="10010" max="10010" width="8.42578125" style="207" bestFit="1" customWidth="1"/>
    <col min="10011" max="10011" width="10.140625" style="207" bestFit="1" customWidth="1"/>
    <col min="10012" max="10012" width="32" style="207" customWidth="1"/>
    <col min="10013" max="10240" width="8.85546875" style="207"/>
    <col min="10241" max="10241" width="10" style="207" customWidth="1"/>
    <col min="10242" max="10242" width="6.42578125" style="207" customWidth="1"/>
    <col min="10243" max="10243" width="28.85546875" style="207" customWidth="1"/>
    <col min="10244" max="10244" width="4.140625" style="207" customWidth="1"/>
    <col min="10245" max="10245" width="3.85546875" style="207" customWidth="1"/>
    <col min="10246" max="10246" width="7" style="207" customWidth="1"/>
    <col min="10247" max="10247" width="7.28515625" style="207" customWidth="1"/>
    <col min="10248" max="10248" width="8.42578125" style="207" customWidth="1"/>
    <col min="10249" max="10249" width="7.5703125" style="207" customWidth="1"/>
    <col min="10250" max="10250" width="10.7109375" style="207" customWidth="1"/>
    <col min="10251" max="10251" width="9.28515625" style="207" customWidth="1"/>
    <col min="10252" max="10252" width="10.42578125" style="207" customWidth="1"/>
    <col min="10253" max="10253" width="6.7109375" style="207" customWidth="1"/>
    <col min="10254" max="10254" width="10.28515625" style="207" bestFit="1" customWidth="1"/>
    <col min="10255" max="10255" width="9.5703125" style="207" customWidth="1"/>
    <col min="10256" max="10256" width="10.85546875" style="207" customWidth="1"/>
    <col min="10257" max="10257" width="10.42578125" style="207" customWidth="1"/>
    <col min="10258" max="10258" width="8.28515625" style="207" customWidth="1"/>
    <col min="10259" max="10259" width="9" style="207" customWidth="1"/>
    <col min="10260" max="10260" width="8.140625" style="207" customWidth="1"/>
    <col min="10261" max="10265" width="0" style="207" hidden="1" customWidth="1"/>
    <col min="10266" max="10266" width="8.42578125" style="207" bestFit="1" customWidth="1"/>
    <col min="10267" max="10267" width="10.140625" style="207" bestFit="1" customWidth="1"/>
    <col min="10268" max="10268" width="32" style="207" customWidth="1"/>
    <col min="10269" max="10496" width="8.85546875" style="207"/>
    <col min="10497" max="10497" width="10" style="207" customWidth="1"/>
    <col min="10498" max="10498" width="6.42578125" style="207" customWidth="1"/>
    <col min="10499" max="10499" width="28.85546875" style="207" customWidth="1"/>
    <col min="10500" max="10500" width="4.140625" style="207" customWidth="1"/>
    <col min="10501" max="10501" width="3.85546875" style="207" customWidth="1"/>
    <col min="10502" max="10502" width="7" style="207" customWidth="1"/>
    <col min="10503" max="10503" width="7.28515625" style="207" customWidth="1"/>
    <col min="10504" max="10504" width="8.42578125" style="207" customWidth="1"/>
    <col min="10505" max="10505" width="7.5703125" style="207" customWidth="1"/>
    <col min="10506" max="10506" width="10.7109375" style="207" customWidth="1"/>
    <col min="10507" max="10507" width="9.28515625" style="207" customWidth="1"/>
    <col min="10508" max="10508" width="10.42578125" style="207" customWidth="1"/>
    <col min="10509" max="10509" width="6.7109375" style="207" customWidth="1"/>
    <col min="10510" max="10510" width="10.28515625" style="207" bestFit="1" customWidth="1"/>
    <col min="10511" max="10511" width="9.5703125" style="207" customWidth="1"/>
    <col min="10512" max="10512" width="10.85546875" style="207" customWidth="1"/>
    <col min="10513" max="10513" width="10.42578125" style="207" customWidth="1"/>
    <col min="10514" max="10514" width="8.28515625" style="207" customWidth="1"/>
    <col min="10515" max="10515" width="9" style="207" customWidth="1"/>
    <col min="10516" max="10516" width="8.140625" style="207" customWidth="1"/>
    <col min="10517" max="10521" width="0" style="207" hidden="1" customWidth="1"/>
    <col min="10522" max="10522" width="8.42578125" style="207" bestFit="1" customWidth="1"/>
    <col min="10523" max="10523" width="10.140625" style="207" bestFit="1" customWidth="1"/>
    <col min="10524" max="10524" width="32" style="207" customWidth="1"/>
    <col min="10525" max="10752" width="8.85546875" style="207"/>
    <col min="10753" max="10753" width="10" style="207" customWidth="1"/>
    <col min="10754" max="10754" width="6.42578125" style="207" customWidth="1"/>
    <col min="10755" max="10755" width="28.85546875" style="207" customWidth="1"/>
    <col min="10756" max="10756" width="4.140625" style="207" customWidth="1"/>
    <col min="10757" max="10757" width="3.85546875" style="207" customWidth="1"/>
    <col min="10758" max="10758" width="7" style="207" customWidth="1"/>
    <col min="10759" max="10759" width="7.28515625" style="207" customWidth="1"/>
    <col min="10760" max="10760" width="8.42578125" style="207" customWidth="1"/>
    <col min="10761" max="10761" width="7.5703125" style="207" customWidth="1"/>
    <col min="10762" max="10762" width="10.7109375" style="207" customWidth="1"/>
    <col min="10763" max="10763" width="9.28515625" style="207" customWidth="1"/>
    <col min="10764" max="10764" width="10.42578125" style="207" customWidth="1"/>
    <col min="10765" max="10765" width="6.7109375" style="207" customWidth="1"/>
    <col min="10766" max="10766" width="10.28515625" style="207" bestFit="1" customWidth="1"/>
    <col min="10767" max="10767" width="9.5703125" style="207" customWidth="1"/>
    <col min="10768" max="10768" width="10.85546875" style="207" customWidth="1"/>
    <col min="10769" max="10769" width="10.42578125" style="207" customWidth="1"/>
    <col min="10770" max="10770" width="8.28515625" style="207" customWidth="1"/>
    <col min="10771" max="10771" width="9" style="207" customWidth="1"/>
    <col min="10772" max="10772" width="8.140625" style="207" customWidth="1"/>
    <col min="10773" max="10777" width="0" style="207" hidden="1" customWidth="1"/>
    <col min="10778" max="10778" width="8.42578125" style="207" bestFit="1" customWidth="1"/>
    <col min="10779" max="10779" width="10.140625" style="207" bestFit="1" customWidth="1"/>
    <col min="10780" max="10780" width="32" style="207" customWidth="1"/>
    <col min="10781" max="11008" width="8.85546875" style="207"/>
    <col min="11009" max="11009" width="10" style="207" customWidth="1"/>
    <col min="11010" max="11010" width="6.42578125" style="207" customWidth="1"/>
    <col min="11011" max="11011" width="28.85546875" style="207" customWidth="1"/>
    <col min="11012" max="11012" width="4.140625" style="207" customWidth="1"/>
    <col min="11013" max="11013" width="3.85546875" style="207" customWidth="1"/>
    <col min="11014" max="11014" width="7" style="207" customWidth="1"/>
    <col min="11015" max="11015" width="7.28515625" style="207" customWidth="1"/>
    <col min="11016" max="11016" width="8.42578125" style="207" customWidth="1"/>
    <col min="11017" max="11017" width="7.5703125" style="207" customWidth="1"/>
    <col min="11018" max="11018" width="10.7109375" style="207" customWidth="1"/>
    <col min="11019" max="11019" width="9.28515625" style="207" customWidth="1"/>
    <col min="11020" max="11020" width="10.42578125" style="207" customWidth="1"/>
    <col min="11021" max="11021" width="6.7109375" style="207" customWidth="1"/>
    <col min="11022" max="11022" width="10.28515625" style="207" bestFit="1" customWidth="1"/>
    <col min="11023" max="11023" width="9.5703125" style="207" customWidth="1"/>
    <col min="11024" max="11024" width="10.85546875" style="207" customWidth="1"/>
    <col min="11025" max="11025" width="10.42578125" style="207" customWidth="1"/>
    <col min="11026" max="11026" width="8.28515625" style="207" customWidth="1"/>
    <col min="11027" max="11027" width="9" style="207" customWidth="1"/>
    <col min="11028" max="11028" width="8.140625" style="207" customWidth="1"/>
    <col min="11029" max="11033" width="0" style="207" hidden="1" customWidth="1"/>
    <col min="11034" max="11034" width="8.42578125" style="207" bestFit="1" customWidth="1"/>
    <col min="11035" max="11035" width="10.140625" style="207" bestFit="1" customWidth="1"/>
    <col min="11036" max="11036" width="32" style="207" customWidth="1"/>
    <col min="11037" max="11264" width="8.85546875" style="207"/>
    <col min="11265" max="11265" width="10" style="207" customWidth="1"/>
    <col min="11266" max="11266" width="6.42578125" style="207" customWidth="1"/>
    <col min="11267" max="11267" width="28.85546875" style="207" customWidth="1"/>
    <col min="11268" max="11268" width="4.140625" style="207" customWidth="1"/>
    <col min="11269" max="11269" width="3.85546875" style="207" customWidth="1"/>
    <col min="11270" max="11270" width="7" style="207" customWidth="1"/>
    <col min="11271" max="11271" width="7.28515625" style="207" customWidth="1"/>
    <col min="11272" max="11272" width="8.42578125" style="207" customWidth="1"/>
    <col min="11273" max="11273" width="7.5703125" style="207" customWidth="1"/>
    <col min="11274" max="11274" width="10.7109375" style="207" customWidth="1"/>
    <col min="11275" max="11275" width="9.28515625" style="207" customWidth="1"/>
    <col min="11276" max="11276" width="10.42578125" style="207" customWidth="1"/>
    <col min="11277" max="11277" width="6.7109375" style="207" customWidth="1"/>
    <col min="11278" max="11278" width="10.28515625" style="207" bestFit="1" customWidth="1"/>
    <col min="11279" max="11279" width="9.5703125" style="207" customWidth="1"/>
    <col min="11280" max="11280" width="10.85546875" style="207" customWidth="1"/>
    <col min="11281" max="11281" width="10.42578125" style="207" customWidth="1"/>
    <col min="11282" max="11282" width="8.28515625" style="207" customWidth="1"/>
    <col min="11283" max="11283" width="9" style="207" customWidth="1"/>
    <col min="11284" max="11284" width="8.140625" style="207" customWidth="1"/>
    <col min="11285" max="11289" width="0" style="207" hidden="1" customWidth="1"/>
    <col min="11290" max="11290" width="8.42578125" style="207" bestFit="1" customWidth="1"/>
    <col min="11291" max="11291" width="10.140625" style="207" bestFit="1" customWidth="1"/>
    <col min="11292" max="11292" width="32" style="207" customWidth="1"/>
    <col min="11293" max="11520" width="8.85546875" style="207"/>
    <col min="11521" max="11521" width="10" style="207" customWidth="1"/>
    <col min="11522" max="11522" width="6.42578125" style="207" customWidth="1"/>
    <col min="11523" max="11523" width="28.85546875" style="207" customWidth="1"/>
    <col min="11524" max="11524" width="4.140625" style="207" customWidth="1"/>
    <col min="11525" max="11525" width="3.85546875" style="207" customWidth="1"/>
    <col min="11526" max="11526" width="7" style="207" customWidth="1"/>
    <col min="11527" max="11527" width="7.28515625" style="207" customWidth="1"/>
    <col min="11528" max="11528" width="8.42578125" style="207" customWidth="1"/>
    <col min="11529" max="11529" width="7.5703125" style="207" customWidth="1"/>
    <col min="11530" max="11530" width="10.7109375" style="207" customWidth="1"/>
    <col min="11531" max="11531" width="9.28515625" style="207" customWidth="1"/>
    <col min="11532" max="11532" width="10.42578125" style="207" customWidth="1"/>
    <col min="11533" max="11533" width="6.7109375" style="207" customWidth="1"/>
    <col min="11534" max="11534" width="10.28515625" style="207" bestFit="1" customWidth="1"/>
    <col min="11535" max="11535" width="9.5703125" style="207" customWidth="1"/>
    <col min="11536" max="11536" width="10.85546875" style="207" customWidth="1"/>
    <col min="11537" max="11537" width="10.42578125" style="207" customWidth="1"/>
    <col min="11538" max="11538" width="8.28515625" style="207" customWidth="1"/>
    <col min="11539" max="11539" width="9" style="207" customWidth="1"/>
    <col min="11540" max="11540" width="8.140625" style="207" customWidth="1"/>
    <col min="11541" max="11545" width="0" style="207" hidden="1" customWidth="1"/>
    <col min="11546" max="11546" width="8.42578125" style="207" bestFit="1" customWidth="1"/>
    <col min="11547" max="11547" width="10.140625" style="207" bestFit="1" customWidth="1"/>
    <col min="11548" max="11548" width="32" style="207" customWidth="1"/>
    <col min="11549" max="11776" width="8.85546875" style="207"/>
    <col min="11777" max="11777" width="10" style="207" customWidth="1"/>
    <col min="11778" max="11778" width="6.42578125" style="207" customWidth="1"/>
    <col min="11779" max="11779" width="28.85546875" style="207" customWidth="1"/>
    <col min="11780" max="11780" width="4.140625" style="207" customWidth="1"/>
    <col min="11781" max="11781" width="3.85546875" style="207" customWidth="1"/>
    <col min="11782" max="11782" width="7" style="207" customWidth="1"/>
    <col min="11783" max="11783" width="7.28515625" style="207" customWidth="1"/>
    <col min="11784" max="11784" width="8.42578125" style="207" customWidth="1"/>
    <col min="11785" max="11785" width="7.5703125" style="207" customWidth="1"/>
    <col min="11786" max="11786" width="10.7109375" style="207" customWidth="1"/>
    <col min="11787" max="11787" width="9.28515625" style="207" customWidth="1"/>
    <col min="11788" max="11788" width="10.42578125" style="207" customWidth="1"/>
    <col min="11789" max="11789" width="6.7109375" style="207" customWidth="1"/>
    <col min="11790" max="11790" width="10.28515625" style="207" bestFit="1" customWidth="1"/>
    <col min="11791" max="11791" width="9.5703125" style="207" customWidth="1"/>
    <col min="11792" max="11792" width="10.85546875" style="207" customWidth="1"/>
    <col min="11793" max="11793" width="10.42578125" style="207" customWidth="1"/>
    <col min="11794" max="11794" width="8.28515625" style="207" customWidth="1"/>
    <col min="11795" max="11795" width="9" style="207" customWidth="1"/>
    <col min="11796" max="11796" width="8.140625" style="207" customWidth="1"/>
    <col min="11797" max="11801" width="0" style="207" hidden="1" customWidth="1"/>
    <col min="11802" max="11802" width="8.42578125" style="207" bestFit="1" customWidth="1"/>
    <col min="11803" max="11803" width="10.140625" style="207" bestFit="1" customWidth="1"/>
    <col min="11804" max="11804" width="32" style="207" customWidth="1"/>
    <col min="11805" max="12032" width="8.85546875" style="207"/>
    <col min="12033" max="12033" width="10" style="207" customWidth="1"/>
    <col min="12034" max="12034" width="6.42578125" style="207" customWidth="1"/>
    <col min="12035" max="12035" width="28.85546875" style="207" customWidth="1"/>
    <col min="12036" max="12036" width="4.140625" style="207" customWidth="1"/>
    <col min="12037" max="12037" width="3.85546875" style="207" customWidth="1"/>
    <col min="12038" max="12038" width="7" style="207" customWidth="1"/>
    <col min="12039" max="12039" width="7.28515625" style="207" customWidth="1"/>
    <col min="12040" max="12040" width="8.42578125" style="207" customWidth="1"/>
    <col min="12041" max="12041" width="7.5703125" style="207" customWidth="1"/>
    <col min="12042" max="12042" width="10.7109375" style="207" customWidth="1"/>
    <col min="12043" max="12043" width="9.28515625" style="207" customWidth="1"/>
    <col min="12044" max="12044" width="10.42578125" style="207" customWidth="1"/>
    <col min="12045" max="12045" width="6.7109375" style="207" customWidth="1"/>
    <col min="12046" max="12046" width="10.28515625" style="207" bestFit="1" customWidth="1"/>
    <col min="12047" max="12047" width="9.5703125" style="207" customWidth="1"/>
    <col min="12048" max="12048" width="10.85546875" style="207" customWidth="1"/>
    <col min="12049" max="12049" width="10.42578125" style="207" customWidth="1"/>
    <col min="12050" max="12050" width="8.28515625" style="207" customWidth="1"/>
    <col min="12051" max="12051" width="9" style="207" customWidth="1"/>
    <col min="12052" max="12052" width="8.140625" style="207" customWidth="1"/>
    <col min="12053" max="12057" width="0" style="207" hidden="1" customWidth="1"/>
    <col min="12058" max="12058" width="8.42578125" style="207" bestFit="1" customWidth="1"/>
    <col min="12059" max="12059" width="10.140625" style="207" bestFit="1" customWidth="1"/>
    <col min="12060" max="12060" width="32" style="207" customWidth="1"/>
    <col min="12061" max="12288" width="8.85546875" style="207"/>
    <col min="12289" max="12289" width="10" style="207" customWidth="1"/>
    <col min="12290" max="12290" width="6.42578125" style="207" customWidth="1"/>
    <col min="12291" max="12291" width="28.85546875" style="207" customWidth="1"/>
    <col min="12292" max="12292" width="4.140625" style="207" customWidth="1"/>
    <col min="12293" max="12293" width="3.85546875" style="207" customWidth="1"/>
    <col min="12294" max="12294" width="7" style="207" customWidth="1"/>
    <col min="12295" max="12295" width="7.28515625" style="207" customWidth="1"/>
    <col min="12296" max="12296" width="8.42578125" style="207" customWidth="1"/>
    <col min="12297" max="12297" width="7.5703125" style="207" customWidth="1"/>
    <col min="12298" max="12298" width="10.7109375" style="207" customWidth="1"/>
    <col min="12299" max="12299" width="9.28515625" style="207" customWidth="1"/>
    <col min="12300" max="12300" width="10.42578125" style="207" customWidth="1"/>
    <col min="12301" max="12301" width="6.7109375" style="207" customWidth="1"/>
    <col min="12302" max="12302" width="10.28515625" style="207" bestFit="1" customWidth="1"/>
    <col min="12303" max="12303" width="9.5703125" style="207" customWidth="1"/>
    <col min="12304" max="12304" width="10.85546875" style="207" customWidth="1"/>
    <col min="12305" max="12305" width="10.42578125" style="207" customWidth="1"/>
    <col min="12306" max="12306" width="8.28515625" style="207" customWidth="1"/>
    <col min="12307" max="12307" width="9" style="207" customWidth="1"/>
    <col min="12308" max="12308" width="8.140625" style="207" customWidth="1"/>
    <col min="12309" max="12313" width="0" style="207" hidden="1" customWidth="1"/>
    <col min="12314" max="12314" width="8.42578125" style="207" bestFit="1" customWidth="1"/>
    <col min="12315" max="12315" width="10.140625" style="207" bestFit="1" customWidth="1"/>
    <col min="12316" max="12316" width="32" style="207" customWidth="1"/>
    <col min="12317" max="12544" width="8.85546875" style="207"/>
    <col min="12545" max="12545" width="10" style="207" customWidth="1"/>
    <col min="12546" max="12546" width="6.42578125" style="207" customWidth="1"/>
    <col min="12547" max="12547" width="28.85546875" style="207" customWidth="1"/>
    <col min="12548" max="12548" width="4.140625" style="207" customWidth="1"/>
    <col min="12549" max="12549" width="3.85546875" style="207" customWidth="1"/>
    <col min="12550" max="12550" width="7" style="207" customWidth="1"/>
    <col min="12551" max="12551" width="7.28515625" style="207" customWidth="1"/>
    <col min="12552" max="12552" width="8.42578125" style="207" customWidth="1"/>
    <col min="12553" max="12553" width="7.5703125" style="207" customWidth="1"/>
    <col min="12554" max="12554" width="10.7109375" style="207" customWidth="1"/>
    <col min="12555" max="12555" width="9.28515625" style="207" customWidth="1"/>
    <col min="12556" max="12556" width="10.42578125" style="207" customWidth="1"/>
    <col min="12557" max="12557" width="6.7109375" style="207" customWidth="1"/>
    <col min="12558" max="12558" width="10.28515625" style="207" bestFit="1" customWidth="1"/>
    <col min="12559" max="12559" width="9.5703125" style="207" customWidth="1"/>
    <col min="12560" max="12560" width="10.85546875" style="207" customWidth="1"/>
    <col min="12561" max="12561" width="10.42578125" style="207" customWidth="1"/>
    <col min="12562" max="12562" width="8.28515625" style="207" customWidth="1"/>
    <col min="12563" max="12563" width="9" style="207" customWidth="1"/>
    <col min="12564" max="12564" width="8.140625" style="207" customWidth="1"/>
    <col min="12565" max="12569" width="0" style="207" hidden="1" customWidth="1"/>
    <col min="12570" max="12570" width="8.42578125" style="207" bestFit="1" customWidth="1"/>
    <col min="12571" max="12571" width="10.140625" style="207" bestFit="1" customWidth="1"/>
    <col min="12572" max="12572" width="32" style="207" customWidth="1"/>
    <col min="12573" max="12800" width="8.85546875" style="207"/>
    <col min="12801" max="12801" width="10" style="207" customWidth="1"/>
    <col min="12802" max="12802" width="6.42578125" style="207" customWidth="1"/>
    <col min="12803" max="12803" width="28.85546875" style="207" customWidth="1"/>
    <col min="12804" max="12804" width="4.140625" style="207" customWidth="1"/>
    <col min="12805" max="12805" width="3.85546875" style="207" customWidth="1"/>
    <col min="12806" max="12806" width="7" style="207" customWidth="1"/>
    <col min="12807" max="12807" width="7.28515625" style="207" customWidth="1"/>
    <col min="12808" max="12808" width="8.42578125" style="207" customWidth="1"/>
    <col min="12809" max="12809" width="7.5703125" style="207" customWidth="1"/>
    <col min="12810" max="12810" width="10.7109375" style="207" customWidth="1"/>
    <col min="12811" max="12811" width="9.28515625" style="207" customWidth="1"/>
    <col min="12812" max="12812" width="10.42578125" style="207" customWidth="1"/>
    <col min="12813" max="12813" width="6.7109375" style="207" customWidth="1"/>
    <col min="12814" max="12814" width="10.28515625" style="207" bestFit="1" customWidth="1"/>
    <col min="12815" max="12815" width="9.5703125" style="207" customWidth="1"/>
    <col min="12816" max="12816" width="10.85546875" style="207" customWidth="1"/>
    <col min="12817" max="12817" width="10.42578125" style="207" customWidth="1"/>
    <col min="12818" max="12818" width="8.28515625" style="207" customWidth="1"/>
    <col min="12819" max="12819" width="9" style="207" customWidth="1"/>
    <col min="12820" max="12820" width="8.140625" style="207" customWidth="1"/>
    <col min="12821" max="12825" width="0" style="207" hidden="1" customWidth="1"/>
    <col min="12826" max="12826" width="8.42578125" style="207" bestFit="1" customWidth="1"/>
    <col min="12827" max="12827" width="10.140625" style="207" bestFit="1" customWidth="1"/>
    <col min="12828" max="12828" width="32" style="207" customWidth="1"/>
    <col min="12829" max="13056" width="8.85546875" style="207"/>
    <col min="13057" max="13057" width="10" style="207" customWidth="1"/>
    <col min="13058" max="13058" width="6.42578125" style="207" customWidth="1"/>
    <col min="13059" max="13059" width="28.85546875" style="207" customWidth="1"/>
    <col min="13060" max="13060" width="4.140625" style="207" customWidth="1"/>
    <col min="13061" max="13061" width="3.85546875" style="207" customWidth="1"/>
    <col min="13062" max="13062" width="7" style="207" customWidth="1"/>
    <col min="13063" max="13063" width="7.28515625" style="207" customWidth="1"/>
    <col min="13064" max="13064" width="8.42578125" style="207" customWidth="1"/>
    <col min="13065" max="13065" width="7.5703125" style="207" customWidth="1"/>
    <col min="13066" max="13066" width="10.7109375" style="207" customWidth="1"/>
    <col min="13067" max="13067" width="9.28515625" style="207" customWidth="1"/>
    <col min="13068" max="13068" width="10.42578125" style="207" customWidth="1"/>
    <col min="13069" max="13069" width="6.7109375" style="207" customWidth="1"/>
    <col min="13070" max="13070" width="10.28515625" style="207" bestFit="1" customWidth="1"/>
    <col min="13071" max="13071" width="9.5703125" style="207" customWidth="1"/>
    <col min="13072" max="13072" width="10.85546875" style="207" customWidth="1"/>
    <col min="13073" max="13073" width="10.42578125" style="207" customWidth="1"/>
    <col min="13074" max="13074" width="8.28515625" style="207" customWidth="1"/>
    <col min="13075" max="13075" width="9" style="207" customWidth="1"/>
    <col min="13076" max="13076" width="8.140625" style="207" customWidth="1"/>
    <col min="13077" max="13081" width="0" style="207" hidden="1" customWidth="1"/>
    <col min="13082" max="13082" width="8.42578125" style="207" bestFit="1" customWidth="1"/>
    <col min="13083" max="13083" width="10.140625" style="207" bestFit="1" customWidth="1"/>
    <col min="13084" max="13084" width="32" style="207" customWidth="1"/>
    <col min="13085" max="13312" width="8.85546875" style="207"/>
    <col min="13313" max="13313" width="10" style="207" customWidth="1"/>
    <col min="13314" max="13314" width="6.42578125" style="207" customWidth="1"/>
    <col min="13315" max="13315" width="28.85546875" style="207" customWidth="1"/>
    <col min="13316" max="13316" width="4.140625" style="207" customWidth="1"/>
    <col min="13317" max="13317" width="3.85546875" style="207" customWidth="1"/>
    <col min="13318" max="13318" width="7" style="207" customWidth="1"/>
    <col min="13319" max="13319" width="7.28515625" style="207" customWidth="1"/>
    <col min="13320" max="13320" width="8.42578125" style="207" customWidth="1"/>
    <col min="13321" max="13321" width="7.5703125" style="207" customWidth="1"/>
    <col min="13322" max="13322" width="10.7109375" style="207" customWidth="1"/>
    <col min="13323" max="13323" width="9.28515625" style="207" customWidth="1"/>
    <col min="13324" max="13324" width="10.42578125" style="207" customWidth="1"/>
    <col min="13325" max="13325" width="6.7109375" style="207" customWidth="1"/>
    <col min="13326" max="13326" width="10.28515625" style="207" bestFit="1" customWidth="1"/>
    <col min="13327" max="13327" width="9.5703125" style="207" customWidth="1"/>
    <col min="13328" max="13328" width="10.85546875" style="207" customWidth="1"/>
    <col min="13329" max="13329" width="10.42578125" style="207" customWidth="1"/>
    <col min="13330" max="13330" width="8.28515625" style="207" customWidth="1"/>
    <col min="13331" max="13331" width="9" style="207" customWidth="1"/>
    <col min="13332" max="13332" width="8.140625" style="207" customWidth="1"/>
    <col min="13333" max="13337" width="0" style="207" hidden="1" customWidth="1"/>
    <col min="13338" max="13338" width="8.42578125" style="207" bestFit="1" customWidth="1"/>
    <col min="13339" max="13339" width="10.140625" style="207" bestFit="1" customWidth="1"/>
    <col min="13340" max="13340" width="32" style="207" customWidth="1"/>
    <col min="13341" max="13568" width="8.85546875" style="207"/>
    <col min="13569" max="13569" width="10" style="207" customWidth="1"/>
    <col min="13570" max="13570" width="6.42578125" style="207" customWidth="1"/>
    <col min="13571" max="13571" width="28.85546875" style="207" customWidth="1"/>
    <col min="13572" max="13572" width="4.140625" style="207" customWidth="1"/>
    <col min="13573" max="13573" width="3.85546875" style="207" customWidth="1"/>
    <col min="13574" max="13574" width="7" style="207" customWidth="1"/>
    <col min="13575" max="13575" width="7.28515625" style="207" customWidth="1"/>
    <col min="13576" max="13576" width="8.42578125" style="207" customWidth="1"/>
    <col min="13577" max="13577" width="7.5703125" style="207" customWidth="1"/>
    <col min="13578" max="13578" width="10.7109375" style="207" customWidth="1"/>
    <col min="13579" max="13579" width="9.28515625" style="207" customWidth="1"/>
    <col min="13580" max="13580" width="10.42578125" style="207" customWidth="1"/>
    <col min="13581" max="13581" width="6.7109375" style="207" customWidth="1"/>
    <col min="13582" max="13582" width="10.28515625" style="207" bestFit="1" customWidth="1"/>
    <col min="13583" max="13583" width="9.5703125" style="207" customWidth="1"/>
    <col min="13584" max="13584" width="10.85546875" style="207" customWidth="1"/>
    <col min="13585" max="13585" width="10.42578125" style="207" customWidth="1"/>
    <col min="13586" max="13586" width="8.28515625" style="207" customWidth="1"/>
    <col min="13587" max="13587" width="9" style="207" customWidth="1"/>
    <col min="13588" max="13588" width="8.140625" style="207" customWidth="1"/>
    <col min="13589" max="13593" width="0" style="207" hidden="1" customWidth="1"/>
    <col min="13594" max="13594" width="8.42578125" style="207" bestFit="1" customWidth="1"/>
    <col min="13595" max="13595" width="10.140625" style="207" bestFit="1" customWidth="1"/>
    <col min="13596" max="13596" width="32" style="207" customWidth="1"/>
    <col min="13597" max="13824" width="8.85546875" style="207"/>
    <col min="13825" max="13825" width="10" style="207" customWidth="1"/>
    <col min="13826" max="13826" width="6.42578125" style="207" customWidth="1"/>
    <col min="13827" max="13827" width="28.85546875" style="207" customWidth="1"/>
    <col min="13828" max="13828" width="4.140625" style="207" customWidth="1"/>
    <col min="13829" max="13829" width="3.85546875" style="207" customWidth="1"/>
    <col min="13830" max="13830" width="7" style="207" customWidth="1"/>
    <col min="13831" max="13831" width="7.28515625" style="207" customWidth="1"/>
    <col min="13832" max="13832" width="8.42578125" style="207" customWidth="1"/>
    <col min="13833" max="13833" width="7.5703125" style="207" customWidth="1"/>
    <col min="13834" max="13834" width="10.7109375" style="207" customWidth="1"/>
    <col min="13835" max="13835" width="9.28515625" style="207" customWidth="1"/>
    <col min="13836" max="13836" width="10.42578125" style="207" customWidth="1"/>
    <col min="13837" max="13837" width="6.7109375" style="207" customWidth="1"/>
    <col min="13838" max="13838" width="10.28515625" style="207" bestFit="1" customWidth="1"/>
    <col min="13839" max="13839" width="9.5703125" style="207" customWidth="1"/>
    <col min="13840" max="13840" width="10.85546875" style="207" customWidth="1"/>
    <col min="13841" max="13841" width="10.42578125" style="207" customWidth="1"/>
    <col min="13842" max="13842" width="8.28515625" style="207" customWidth="1"/>
    <col min="13843" max="13843" width="9" style="207" customWidth="1"/>
    <col min="13844" max="13844" width="8.140625" style="207" customWidth="1"/>
    <col min="13845" max="13849" width="0" style="207" hidden="1" customWidth="1"/>
    <col min="13850" max="13850" width="8.42578125" style="207" bestFit="1" customWidth="1"/>
    <col min="13851" max="13851" width="10.140625" style="207" bestFit="1" customWidth="1"/>
    <col min="13852" max="13852" width="32" style="207" customWidth="1"/>
    <col min="13853" max="14080" width="8.85546875" style="207"/>
    <col min="14081" max="14081" width="10" style="207" customWidth="1"/>
    <col min="14082" max="14082" width="6.42578125" style="207" customWidth="1"/>
    <col min="14083" max="14083" width="28.85546875" style="207" customWidth="1"/>
    <col min="14084" max="14084" width="4.140625" style="207" customWidth="1"/>
    <col min="14085" max="14085" width="3.85546875" style="207" customWidth="1"/>
    <col min="14086" max="14086" width="7" style="207" customWidth="1"/>
    <col min="14087" max="14087" width="7.28515625" style="207" customWidth="1"/>
    <col min="14088" max="14088" width="8.42578125" style="207" customWidth="1"/>
    <col min="14089" max="14089" width="7.5703125" style="207" customWidth="1"/>
    <col min="14090" max="14090" width="10.7109375" style="207" customWidth="1"/>
    <col min="14091" max="14091" width="9.28515625" style="207" customWidth="1"/>
    <col min="14092" max="14092" width="10.42578125" style="207" customWidth="1"/>
    <col min="14093" max="14093" width="6.7109375" style="207" customWidth="1"/>
    <col min="14094" max="14094" width="10.28515625" style="207" bestFit="1" customWidth="1"/>
    <col min="14095" max="14095" width="9.5703125" style="207" customWidth="1"/>
    <col min="14096" max="14096" width="10.85546875" style="207" customWidth="1"/>
    <col min="14097" max="14097" width="10.42578125" style="207" customWidth="1"/>
    <col min="14098" max="14098" width="8.28515625" style="207" customWidth="1"/>
    <col min="14099" max="14099" width="9" style="207" customWidth="1"/>
    <col min="14100" max="14100" width="8.140625" style="207" customWidth="1"/>
    <col min="14101" max="14105" width="0" style="207" hidden="1" customWidth="1"/>
    <col min="14106" max="14106" width="8.42578125" style="207" bestFit="1" customWidth="1"/>
    <col min="14107" max="14107" width="10.140625" style="207" bestFit="1" customWidth="1"/>
    <col min="14108" max="14108" width="32" style="207" customWidth="1"/>
    <col min="14109" max="14336" width="8.85546875" style="207"/>
    <col min="14337" max="14337" width="10" style="207" customWidth="1"/>
    <col min="14338" max="14338" width="6.42578125" style="207" customWidth="1"/>
    <col min="14339" max="14339" width="28.85546875" style="207" customWidth="1"/>
    <col min="14340" max="14340" width="4.140625" style="207" customWidth="1"/>
    <col min="14341" max="14341" width="3.85546875" style="207" customWidth="1"/>
    <col min="14342" max="14342" width="7" style="207" customWidth="1"/>
    <col min="14343" max="14343" width="7.28515625" style="207" customWidth="1"/>
    <col min="14344" max="14344" width="8.42578125" style="207" customWidth="1"/>
    <col min="14345" max="14345" width="7.5703125" style="207" customWidth="1"/>
    <col min="14346" max="14346" width="10.7109375" style="207" customWidth="1"/>
    <col min="14347" max="14347" width="9.28515625" style="207" customWidth="1"/>
    <col min="14348" max="14348" width="10.42578125" style="207" customWidth="1"/>
    <col min="14349" max="14349" width="6.7109375" style="207" customWidth="1"/>
    <col min="14350" max="14350" width="10.28515625" style="207" bestFit="1" customWidth="1"/>
    <col min="14351" max="14351" width="9.5703125" style="207" customWidth="1"/>
    <col min="14352" max="14352" width="10.85546875" style="207" customWidth="1"/>
    <col min="14353" max="14353" width="10.42578125" style="207" customWidth="1"/>
    <col min="14354" max="14354" width="8.28515625" style="207" customWidth="1"/>
    <col min="14355" max="14355" width="9" style="207" customWidth="1"/>
    <col min="14356" max="14356" width="8.140625" style="207" customWidth="1"/>
    <col min="14357" max="14361" width="0" style="207" hidden="1" customWidth="1"/>
    <col min="14362" max="14362" width="8.42578125" style="207" bestFit="1" customWidth="1"/>
    <col min="14363" max="14363" width="10.140625" style="207" bestFit="1" customWidth="1"/>
    <col min="14364" max="14364" width="32" style="207" customWidth="1"/>
    <col min="14365" max="14592" width="8.85546875" style="207"/>
    <col min="14593" max="14593" width="10" style="207" customWidth="1"/>
    <col min="14594" max="14594" width="6.42578125" style="207" customWidth="1"/>
    <col min="14595" max="14595" width="28.85546875" style="207" customWidth="1"/>
    <col min="14596" max="14596" width="4.140625" style="207" customWidth="1"/>
    <col min="14597" max="14597" width="3.85546875" style="207" customWidth="1"/>
    <col min="14598" max="14598" width="7" style="207" customWidth="1"/>
    <col min="14599" max="14599" width="7.28515625" style="207" customWidth="1"/>
    <col min="14600" max="14600" width="8.42578125" style="207" customWidth="1"/>
    <col min="14601" max="14601" width="7.5703125" style="207" customWidth="1"/>
    <col min="14602" max="14602" width="10.7109375" style="207" customWidth="1"/>
    <col min="14603" max="14603" width="9.28515625" style="207" customWidth="1"/>
    <col min="14604" max="14604" width="10.42578125" style="207" customWidth="1"/>
    <col min="14605" max="14605" width="6.7109375" style="207" customWidth="1"/>
    <col min="14606" max="14606" width="10.28515625" style="207" bestFit="1" customWidth="1"/>
    <col min="14607" max="14607" width="9.5703125" style="207" customWidth="1"/>
    <col min="14608" max="14608" width="10.85546875" style="207" customWidth="1"/>
    <col min="14609" max="14609" width="10.42578125" style="207" customWidth="1"/>
    <col min="14610" max="14610" width="8.28515625" style="207" customWidth="1"/>
    <col min="14611" max="14611" width="9" style="207" customWidth="1"/>
    <col min="14612" max="14612" width="8.140625" style="207" customWidth="1"/>
    <col min="14613" max="14617" width="0" style="207" hidden="1" customWidth="1"/>
    <col min="14618" max="14618" width="8.42578125" style="207" bestFit="1" customWidth="1"/>
    <col min="14619" max="14619" width="10.140625" style="207" bestFit="1" customWidth="1"/>
    <col min="14620" max="14620" width="32" style="207" customWidth="1"/>
    <col min="14621" max="14848" width="8.85546875" style="207"/>
    <col min="14849" max="14849" width="10" style="207" customWidth="1"/>
    <col min="14850" max="14850" width="6.42578125" style="207" customWidth="1"/>
    <col min="14851" max="14851" width="28.85546875" style="207" customWidth="1"/>
    <col min="14852" max="14852" width="4.140625" style="207" customWidth="1"/>
    <col min="14853" max="14853" width="3.85546875" style="207" customWidth="1"/>
    <col min="14854" max="14854" width="7" style="207" customWidth="1"/>
    <col min="14855" max="14855" width="7.28515625" style="207" customWidth="1"/>
    <col min="14856" max="14856" width="8.42578125" style="207" customWidth="1"/>
    <col min="14857" max="14857" width="7.5703125" style="207" customWidth="1"/>
    <col min="14858" max="14858" width="10.7109375" style="207" customWidth="1"/>
    <col min="14859" max="14859" width="9.28515625" style="207" customWidth="1"/>
    <col min="14860" max="14860" width="10.42578125" style="207" customWidth="1"/>
    <col min="14861" max="14861" width="6.7109375" style="207" customWidth="1"/>
    <col min="14862" max="14862" width="10.28515625" style="207" bestFit="1" customWidth="1"/>
    <col min="14863" max="14863" width="9.5703125" style="207" customWidth="1"/>
    <col min="14864" max="14864" width="10.85546875" style="207" customWidth="1"/>
    <col min="14865" max="14865" width="10.42578125" style="207" customWidth="1"/>
    <col min="14866" max="14866" width="8.28515625" style="207" customWidth="1"/>
    <col min="14867" max="14867" width="9" style="207" customWidth="1"/>
    <col min="14868" max="14868" width="8.140625" style="207" customWidth="1"/>
    <col min="14869" max="14873" width="0" style="207" hidden="1" customWidth="1"/>
    <col min="14874" max="14874" width="8.42578125" style="207" bestFit="1" customWidth="1"/>
    <col min="14875" max="14875" width="10.140625" style="207" bestFit="1" customWidth="1"/>
    <col min="14876" max="14876" width="32" style="207" customWidth="1"/>
    <col min="14877" max="15104" width="8.85546875" style="207"/>
    <col min="15105" max="15105" width="10" style="207" customWidth="1"/>
    <col min="15106" max="15106" width="6.42578125" style="207" customWidth="1"/>
    <col min="15107" max="15107" width="28.85546875" style="207" customWidth="1"/>
    <col min="15108" max="15108" width="4.140625" style="207" customWidth="1"/>
    <col min="15109" max="15109" width="3.85546875" style="207" customWidth="1"/>
    <col min="15110" max="15110" width="7" style="207" customWidth="1"/>
    <col min="15111" max="15111" width="7.28515625" style="207" customWidth="1"/>
    <col min="15112" max="15112" width="8.42578125" style="207" customWidth="1"/>
    <col min="15113" max="15113" width="7.5703125" style="207" customWidth="1"/>
    <col min="15114" max="15114" width="10.7109375" style="207" customWidth="1"/>
    <col min="15115" max="15115" width="9.28515625" style="207" customWidth="1"/>
    <col min="15116" max="15116" width="10.42578125" style="207" customWidth="1"/>
    <col min="15117" max="15117" width="6.7109375" style="207" customWidth="1"/>
    <col min="15118" max="15118" width="10.28515625" style="207" bestFit="1" customWidth="1"/>
    <col min="15119" max="15119" width="9.5703125" style="207" customWidth="1"/>
    <col min="15120" max="15120" width="10.85546875" style="207" customWidth="1"/>
    <col min="15121" max="15121" width="10.42578125" style="207" customWidth="1"/>
    <col min="15122" max="15122" width="8.28515625" style="207" customWidth="1"/>
    <col min="15123" max="15123" width="9" style="207" customWidth="1"/>
    <col min="15124" max="15124" width="8.140625" style="207" customWidth="1"/>
    <col min="15125" max="15129" width="0" style="207" hidden="1" customWidth="1"/>
    <col min="15130" max="15130" width="8.42578125" style="207" bestFit="1" customWidth="1"/>
    <col min="15131" max="15131" width="10.140625" style="207" bestFit="1" customWidth="1"/>
    <col min="15132" max="15132" width="32" style="207" customWidth="1"/>
    <col min="15133" max="15360" width="8.85546875" style="207"/>
    <col min="15361" max="15361" width="10" style="207" customWidth="1"/>
    <col min="15362" max="15362" width="6.42578125" style="207" customWidth="1"/>
    <col min="15363" max="15363" width="28.85546875" style="207" customWidth="1"/>
    <col min="15364" max="15364" width="4.140625" style="207" customWidth="1"/>
    <col min="15365" max="15365" width="3.85546875" style="207" customWidth="1"/>
    <col min="15366" max="15366" width="7" style="207" customWidth="1"/>
    <col min="15367" max="15367" width="7.28515625" style="207" customWidth="1"/>
    <col min="15368" max="15368" width="8.42578125" style="207" customWidth="1"/>
    <col min="15369" max="15369" width="7.5703125" style="207" customWidth="1"/>
    <col min="15370" max="15370" width="10.7109375" style="207" customWidth="1"/>
    <col min="15371" max="15371" width="9.28515625" style="207" customWidth="1"/>
    <col min="15372" max="15372" width="10.42578125" style="207" customWidth="1"/>
    <col min="15373" max="15373" width="6.7109375" style="207" customWidth="1"/>
    <col min="15374" max="15374" width="10.28515625" style="207" bestFit="1" customWidth="1"/>
    <col min="15375" max="15375" width="9.5703125" style="207" customWidth="1"/>
    <col min="15376" max="15376" width="10.85546875" style="207" customWidth="1"/>
    <col min="15377" max="15377" width="10.42578125" style="207" customWidth="1"/>
    <col min="15378" max="15378" width="8.28515625" style="207" customWidth="1"/>
    <col min="15379" max="15379" width="9" style="207" customWidth="1"/>
    <col min="15380" max="15380" width="8.140625" style="207" customWidth="1"/>
    <col min="15381" max="15385" width="0" style="207" hidden="1" customWidth="1"/>
    <col min="15386" max="15386" width="8.42578125" style="207" bestFit="1" customWidth="1"/>
    <col min="15387" max="15387" width="10.140625" style="207" bestFit="1" customWidth="1"/>
    <col min="15388" max="15388" width="32" style="207" customWidth="1"/>
    <col min="15389" max="15616" width="8.85546875" style="207"/>
    <col min="15617" max="15617" width="10" style="207" customWidth="1"/>
    <col min="15618" max="15618" width="6.42578125" style="207" customWidth="1"/>
    <col min="15619" max="15619" width="28.85546875" style="207" customWidth="1"/>
    <col min="15620" max="15620" width="4.140625" style="207" customWidth="1"/>
    <col min="15621" max="15621" width="3.85546875" style="207" customWidth="1"/>
    <col min="15622" max="15622" width="7" style="207" customWidth="1"/>
    <col min="15623" max="15623" width="7.28515625" style="207" customWidth="1"/>
    <col min="15624" max="15624" width="8.42578125" style="207" customWidth="1"/>
    <col min="15625" max="15625" width="7.5703125" style="207" customWidth="1"/>
    <col min="15626" max="15626" width="10.7109375" style="207" customWidth="1"/>
    <col min="15627" max="15627" width="9.28515625" style="207" customWidth="1"/>
    <col min="15628" max="15628" width="10.42578125" style="207" customWidth="1"/>
    <col min="15629" max="15629" width="6.7109375" style="207" customWidth="1"/>
    <col min="15630" max="15630" width="10.28515625" style="207" bestFit="1" customWidth="1"/>
    <col min="15631" max="15631" width="9.5703125" style="207" customWidth="1"/>
    <col min="15632" max="15632" width="10.85546875" style="207" customWidth="1"/>
    <col min="15633" max="15633" width="10.42578125" style="207" customWidth="1"/>
    <col min="15634" max="15634" width="8.28515625" style="207" customWidth="1"/>
    <col min="15635" max="15635" width="9" style="207" customWidth="1"/>
    <col min="15636" max="15636" width="8.140625" style="207" customWidth="1"/>
    <col min="15637" max="15641" width="0" style="207" hidden="1" customWidth="1"/>
    <col min="15642" max="15642" width="8.42578125" style="207" bestFit="1" customWidth="1"/>
    <col min="15643" max="15643" width="10.140625" style="207" bestFit="1" customWidth="1"/>
    <col min="15644" max="15644" width="32" style="207" customWidth="1"/>
    <col min="15645" max="15872" width="8.85546875" style="207"/>
    <col min="15873" max="15873" width="10" style="207" customWidth="1"/>
    <col min="15874" max="15874" width="6.42578125" style="207" customWidth="1"/>
    <col min="15875" max="15875" width="28.85546875" style="207" customWidth="1"/>
    <col min="15876" max="15876" width="4.140625" style="207" customWidth="1"/>
    <col min="15877" max="15877" width="3.85546875" style="207" customWidth="1"/>
    <col min="15878" max="15878" width="7" style="207" customWidth="1"/>
    <col min="15879" max="15879" width="7.28515625" style="207" customWidth="1"/>
    <col min="15880" max="15880" width="8.42578125" style="207" customWidth="1"/>
    <col min="15881" max="15881" width="7.5703125" style="207" customWidth="1"/>
    <col min="15882" max="15882" width="10.7109375" style="207" customWidth="1"/>
    <col min="15883" max="15883" width="9.28515625" style="207" customWidth="1"/>
    <col min="15884" max="15884" width="10.42578125" style="207" customWidth="1"/>
    <col min="15885" max="15885" width="6.7109375" style="207" customWidth="1"/>
    <col min="15886" max="15886" width="10.28515625" style="207" bestFit="1" customWidth="1"/>
    <col min="15887" max="15887" width="9.5703125" style="207" customWidth="1"/>
    <col min="15888" max="15888" width="10.85546875" style="207" customWidth="1"/>
    <col min="15889" max="15889" width="10.42578125" style="207" customWidth="1"/>
    <col min="15890" max="15890" width="8.28515625" style="207" customWidth="1"/>
    <col min="15891" max="15891" width="9" style="207" customWidth="1"/>
    <col min="15892" max="15892" width="8.140625" style="207" customWidth="1"/>
    <col min="15893" max="15897" width="0" style="207" hidden="1" customWidth="1"/>
    <col min="15898" max="15898" width="8.42578125" style="207" bestFit="1" customWidth="1"/>
    <col min="15899" max="15899" width="10.140625" style="207" bestFit="1" customWidth="1"/>
    <col min="15900" max="15900" width="32" style="207" customWidth="1"/>
    <col min="15901" max="16128" width="8.85546875" style="207"/>
    <col min="16129" max="16129" width="10" style="207" customWidth="1"/>
    <col min="16130" max="16130" width="6.42578125" style="207" customWidth="1"/>
    <col min="16131" max="16131" width="28.85546875" style="207" customWidth="1"/>
    <col min="16132" max="16132" width="4.140625" style="207" customWidth="1"/>
    <col min="16133" max="16133" width="3.85546875" style="207" customWidth="1"/>
    <col min="16134" max="16134" width="7" style="207" customWidth="1"/>
    <col min="16135" max="16135" width="7.28515625" style="207" customWidth="1"/>
    <col min="16136" max="16136" width="8.42578125" style="207" customWidth="1"/>
    <col min="16137" max="16137" width="7.5703125" style="207" customWidth="1"/>
    <col min="16138" max="16138" width="10.7109375" style="207" customWidth="1"/>
    <col min="16139" max="16139" width="9.28515625" style="207" customWidth="1"/>
    <col min="16140" max="16140" width="10.42578125" style="207" customWidth="1"/>
    <col min="16141" max="16141" width="6.7109375" style="207" customWidth="1"/>
    <col min="16142" max="16142" width="10.28515625" style="207" bestFit="1" customWidth="1"/>
    <col min="16143" max="16143" width="9.5703125" style="207" customWidth="1"/>
    <col min="16144" max="16144" width="10.85546875" style="207" customWidth="1"/>
    <col min="16145" max="16145" width="10.42578125" style="207" customWidth="1"/>
    <col min="16146" max="16146" width="8.28515625" style="207" customWidth="1"/>
    <col min="16147" max="16147" width="9" style="207" customWidth="1"/>
    <col min="16148" max="16148" width="8.140625" style="207" customWidth="1"/>
    <col min="16149" max="16153" width="0" style="207" hidden="1" customWidth="1"/>
    <col min="16154" max="16154" width="8.42578125" style="207" bestFit="1" customWidth="1"/>
    <col min="16155" max="16155" width="10.140625" style="207" bestFit="1" customWidth="1"/>
    <col min="16156" max="16156" width="32" style="207" customWidth="1"/>
    <col min="16157" max="16384" width="8.85546875" style="207"/>
  </cols>
  <sheetData>
    <row r="1" spans="2:33" s="206" customFormat="1" ht="24" customHeight="1" thickBot="1" x14ac:dyDescent="0.3">
      <c r="B1" s="478" t="s">
        <v>561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80"/>
    </row>
    <row r="2" spans="2:33" ht="37.5" customHeight="1" thickBot="1" x14ac:dyDescent="0.3">
      <c r="B2" s="481" t="s">
        <v>0</v>
      </c>
      <c r="C2" s="482" t="s">
        <v>1</v>
      </c>
      <c r="D2" s="483" t="s">
        <v>2</v>
      </c>
      <c r="E2" s="483" t="s">
        <v>3</v>
      </c>
      <c r="F2" s="484" t="s">
        <v>4</v>
      </c>
      <c r="G2" s="485"/>
      <c r="H2" s="483" t="s">
        <v>5</v>
      </c>
      <c r="I2" s="481" t="s">
        <v>6</v>
      </c>
      <c r="J2" s="483" t="s">
        <v>1033</v>
      </c>
      <c r="K2" s="484" t="s">
        <v>7</v>
      </c>
      <c r="L2" s="485"/>
      <c r="M2" s="483" t="s">
        <v>1034</v>
      </c>
      <c r="N2" s="486" t="s">
        <v>1032</v>
      </c>
      <c r="O2" s="486" t="s">
        <v>1035</v>
      </c>
      <c r="P2" s="487" t="s">
        <v>8</v>
      </c>
      <c r="Q2" s="488"/>
      <c r="R2" s="484" t="s">
        <v>9</v>
      </c>
      <c r="S2" s="489"/>
      <c r="T2" s="485"/>
    </row>
    <row r="3" spans="2:33" ht="36" customHeight="1" thickBot="1" x14ac:dyDescent="0.3">
      <c r="B3" s="490"/>
      <c r="C3" s="491"/>
      <c r="D3" s="492"/>
      <c r="E3" s="492"/>
      <c r="F3" s="493" t="s">
        <v>10</v>
      </c>
      <c r="G3" s="494" t="s">
        <v>11</v>
      </c>
      <c r="H3" s="492"/>
      <c r="I3" s="490"/>
      <c r="J3" s="492"/>
      <c r="K3" s="495" t="s">
        <v>12</v>
      </c>
      <c r="L3" s="495" t="s">
        <v>13</v>
      </c>
      <c r="M3" s="492"/>
      <c r="N3" s="496"/>
      <c r="O3" s="496"/>
      <c r="P3" s="497" t="s">
        <v>12</v>
      </c>
      <c r="Q3" s="497" t="s">
        <v>13</v>
      </c>
      <c r="R3" s="497" t="s">
        <v>14</v>
      </c>
      <c r="S3" s="495" t="s">
        <v>12</v>
      </c>
      <c r="T3" s="495" t="s">
        <v>13</v>
      </c>
    </row>
    <row r="4" spans="2:33" ht="17.25" customHeight="1" thickBot="1" x14ac:dyDescent="0.3">
      <c r="B4" s="498">
        <v>1</v>
      </c>
      <c r="C4" s="499">
        <v>2</v>
      </c>
      <c r="D4" s="500">
        <v>3</v>
      </c>
      <c r="E4" s="500">
        <v>3</v>
      </c>
      <c r="F4" s="500">
        <v>4</v>
      </c>
      <c r="G4" s="500">
        <v>5</v>
      </c>
      <c r="H4" s="501">
        <v>6</v>
      </c>
      <c r="I4" s="500"/>
      <c r="J4" s="500">
        <v>8</v>
      </c>
      <c r="K4" s="500">
        <v>9</v>
      </c>
      <c r="L4" s="500">
        <v>10</v>
      </c>
      <c r="M4" s="500">
        <v>11</v>
      </c>
      <c r="N4" s="498">
        <v>12</v>
      </c>
      <c r="O4" s="498">
        <v>13</v>
      </c>
      <c r="P4" s="498">
        <v>14</v>
      </c>
      <c r="Q4" s="498">
        <v>15</v>
      </c>
      <c r="R4" s="498">
        <v>16</v>
      </c>
      <c r="S4" s="500">
        <v>17</v>
      </c>
      <c r="T4" s="500">
        <v>18</v>
      </c>
      <c r="U4" s="448"/>
      <c r="V4" s="448"/>
    </row>
    <row r="5" spans="2:33" ht="15" customHeight="1" thickBot="1" x14ac:dyDescent="0.3">
      <c r="B5" s="502"/>
      <c r="C5" s="503"/>
      <c r="D5" s="503"/>
      <c r="E5" s="503"/>
      <c r="F5" s="503"/>
      <c r="G5" s="503"/>
      <c r="H5" s="503"/>
      <c r="I5" s="503"/>
      <c r="J5" s="503"/>
      <c r="K5" s="503"/>
      <c r="L5" s="503"/>
      <c r="M5" s="503"/>
      <c r="N5" s="503"/>
      <c r="O5" s="503"/>
      <c r="P5" s="503"/>
      <c r="Q5" s="503"/>
      <c r="R5" s="503"/>
      <c r="S5" s="503"/>
      <c r="T5" s="504"/>
    </row>
    <row r="6" spans="2:33" ht="15" customHeight="1" thickBot="1" x14ac:dyDescent="0.3">
      <c r="B6" s="505" t="s">
        <v>822</v>
      </c>
      <c r="C6" s="506"/>
      <c r="D6" s="506"/>
      <c r="E6" s="506"/>
      <c r="F6" s="506"/>
      <c r="G6" s="506"/>
      <c r="H6" s="506"/>
      <c r="I6" s="506"/>
      <c r="J6" s="506"/>
      <c r="K6" s="506"/>
      <c r="L6" s="506"/>
      <c r="M6" s="506"/>
      <c r="N6" s="506"/>
      <c r="O6" s="506"/>
      <c r="P6" s="506"/>
      <c r="Q6" s="506"/>
      <c r="R6" s="506"/>
      <c r="S6" s="506"/>
      <c r="T6" s="507"/>
    </row>
    <row r="7" spans="2:33" ht="24.75" customHeight="1" x14ac:dyDescent="0.25">
      <c r="B7" s="508">
        <v>5.23</v>
      </c>
      <c r="C7" s="509" t="s">
        <v>1193</v>
      </c>
      <c r="D7" s="368" t="s">
        <v>55</v>
      </c>
      <c r="E7" s="368" t="s">
        <v>55</v>
      </c>
      <c r="F7" s="368" t="s">
        <v>55</v>
      </c>
      <c r="G7" s="368" t="s">
        <v>55</v>
      </c>
      <c r="H7" s="368">
        <v>365.28</v>
      </c>
      <c r="I7" s="368">
        <v>3.86</v>
      </c>
      <c r="J7" s="373">
        <f>H7*I7</f>
        <v>1409.9807999999998</v>
      </c>
      <c r="K7" s="358" t="s">
        <v>1026</v>
      </c>
      <c r="L7" s="358" t="s">
        <v>1026</v>
      </c>
      <c r="M7" s="368"/>
      <c r="N7" s="374">
        <f>SUM(N8:N10)</f>
        <v>4820</v>
      </c>
      <c r="O7" s="375">
        <f>SUM(O8:O10)</f>
        <v>4820</v>
      </c>
      <c r="P7" s="376">
        <f t="shared" ref="P7" si="0">N7/J7</f>
        <v>3.4184862659122737</v>
      </c>
      <c r="Q7" s="376">
        <f t="shared" ref="Q7" si="1">O7/J7</f>
        <v>3.4184862659122737</v>
      </c>
      <c r="R7" s="377" t="s">
        <v>55</v>
      </c>
      <c r="S7" s="510" t="s">
        <v>237</v>
      </c>
      <c r="T7" s="511" t="s">
        <v>311</v>
      </c>
    </row>
    <row r="8" spans="2:33" ht="24.75" customHeight="1" x14ac:dyDescent="0.25">
      <c r="B8" s="512" t="s">
        <v>55</v>
      </c>
      <c r="C8" s="513" t="s">
        <v>1043</v>
      </c>
      <c r="D8" s="214" t="s">
        <v>55</v>
      </c>
      <c r="E8" s="214" t="s">
        <v>55</v>
      </c>
      <c r="F8" s="214" t="s">
        <v>55</v>
      </c>
      <c r="G8" s="214">
        <f>24+29</f>
        <v>53</v>
      </c>
      <c r="H8" s="214" t="s">
        <v>55</v>
      </c>
      <c r="I8" s="214" t="s">
        <v>55</v>
      </c>
      <c r="J8" s="214" t="s">
        <v>55</v>
      </c>
      <c r="K8" s="216" t="s">
        <v>1026</v>
      </c>
      <c r="L8" s="216" t="s">
        <v>1026</v>
      </c>
      <c r="M8" s="217" t="s">
        <v>55</v>
      </c>
      <c r="N8" s="217">
        <v>1280</v>
      </c>
      <c r="O8" s="217">
        <v>1280</v>
      </c>
      <c r="P8" s="214" t="s">
        <v>55</v>
      </c>
      <c r="Q8" s="214" t="s">
        <v>55</v>
      </c>
      <c r="R8" s="214" t="s">
        <v>55</v>
      </c>
      <c r="S8" s="214" t="s">
        <v>55</v>
      </c>
      <c r="T8" s="222" t="s">
        <v>55</v>
      </c>
      <c r="AA8" s="451"/>
      <c r="AB8" s="451"/>
      <c r="AC8"/>
      <c r="AD8"/>
      <c r="AE8" s="370"/>
      <c r="AF8"/>
      <c r="AG8"/>
    </row>
    <row r="9" spans="2:33" ht="24.75" customHeight="1" x14ac:dyDescent="0.25">
      <c r="B9" s="512"/>
      <c r="C9" s="513" t="s">
        <v>1044</v>
      </c>
      <c r="D9" s="214" t="s">
        <v>55</v>
      </c>
      <c r="E9" s="214" t="s">
        <v>55</v>
      </c>
      <c r="F9" s="214" t="s">
        <v>55</v>
      </c>
      <c r="G9" s="214">
        <f>64+29</f>
        <v>93</v>
      </c>
      <c r="H9" s="214" t="s">
        <v>55</v>
      </c>
      <c r="I9" s="214" t="s">
        <v>55</v>
      </c>
      <c r="J9" s="214" t="s">
        <v>55</v>
      </c>
      <c r="K9" s="216" t="s">
        <v>1026</v>
      </c>
      <c r="L9" s="216" t="s">
        <v>1026</v>
      </c>
      <c r="M9" s="217" t="s">
        <v>55</v>
      </c>
      <c r="N9" s="217">
        <v>2240</v>
      </c>
      <c r="O9" s="217">
        <v>2240</v>
      </c>
      <c r="P9" s="214" t="s">
        <v>55</v>
      </c>
      <c r="Q9" s="214" t="s">
        <v>55</v>
      </c>
      <c r="R9" s="214" t="s">
        <v>55</v>
      </c>
      <c r="S9" s="214" t="s">
        <v>55</v>
      </c>
      <c r="T9" s="222" t="s">
        <v>55</v>
      </c>
      <c r="AA9" s="369"/>
      <c r="AB9" s="369"/>
      <c r="AC9"/>
      <c r="AD9"/>
      <c r="AE9" s="370"/>
      <c r="AF9"/>
      <c r="AG9"/>
    </row>
    <row r="10" spans="2:33" ht="24.75" customHeight="1" x14ac:dyDescent="0.25">
      <c r="B10" s="512"/>
      <c r="C10" s="513" t="s">
        <v>1045</v>
      </c>
      <c r="D10" s="214" t="s">
        <v>55</v>
      </c>
      <c r="E10" s="214" t="s">
        <v>55</v>
      </c>
      <c r="F10" s="214" t="s">
        <v>55</v>
      </c>
      <c r="G10" s="214">
        <f>25+29</f>
        <v>54</v>
      </c>
      <c r="H10" s="214" t="s">
        <v>55</v>
      </c>
      <c r="I10" s="214" t="s">
        <v>55</v>
      </c>
      <c r="J10" s="214" t="s">
        <v>55</v>
      </c>
      <c r="K10" s="216" t="s">
        <v>1026</v>
      </c>
      <c r="L10" s="216" t="s">
        <v>1026</v>
      </c>
      <c r="M10" s="217" t="s">
        <v>55</v>
      </c>
      <c r="N10" s="217">
        <v>1300</v>
      </c>
      <c r="O10" s="217">
        <v>1300</v>
      </c>
      <c r="P10" s="214" t="s">
        <v>55</v>
      </c>
      <c r="Q10" s="214" t="s">
        <v>55</v>
      </c>
      <c r="R10" s="214" t="s">
        <v>55</v>
      </c>
      <c r="S10" s="214" t="s">
        <v>55</v>
      </c>
      <c r="T10" s="222" t="s">
        <v>55</v>
      </c>
      <c r="AA10" s="369"/>
      <c r="AB10" s="369"/>
      <c r="AC10"/>
      <c r="AD10"/>
      <c r="AE10" s="370"/>
      <c r="AF10"/>
      <c r="AG10"/>
    </row>
    <row r="11" spans="2:33" ht="24.75" customHeight="1" x14ac:dyDescent="0.25">
      <c r="B11" s="514">
        <v>5.23</v>
      </c>
      <c r="C11" s="515" t="s">
        <v>1194</v>
      </c>
      <c r="D11" s="372" t="s">
        <v>55</v>
      </c>
      <c r="E11" s="372" t="s">
        <v>55</v>
      </c>
      <c r="F11" s="372" t="s">
        <v>55</v>
      </c>
      <c r="G11" s="372" t="s">
        <v>55</v>
      </c>
      <c r="H11" s="372">
        <v>365.28</v>
      </c>
      <c r="I11" s="372">
        <v>3.86</v>
      </c>
      <c r="J11" s="303">
        <f>H11*I11</f>
        <v>1409.9807999999998</v>
      </c>
      <c r="K11" s="216" t="s">
        <v>558</v>
      </c>
      <c r="L11" s="216" t="s">
        <v>558</v>
      </c>
      <c r="M11" s="372"/>
      <c r="N11" s="378">
        <f>SUM(N12:N14)</f>
        <v>4000</v>
      </c>
      <c r="O11" s="379">
        <f>SUM(O12:O14)</f>
        <v>4000</v>
      </c>
      <c r="P11" s="380">
        <f t="shared" ref="P11" si="2">N11/J11</f>
        <v>2.8369180629977375</v>
      </c>
      <c r="Q11" s="380">
        <f t="shared" ref="Q11" si="3">O11/J11</f>
        <v>2.8369180629977375</v>
      </c>
      <c r="R11" s="381" t="s">
        <v>55</v>
      </c>
      <c r="S11" s="516" t="s">
        <v>237</v>
      </c>
      <c r="T11" s="517" t="s">
        <v>311</v>
      </c>
      <c r="AA11" s="369"/>
      <c r="AB11" s="369"/>
      <c r="AC11"/>
      <c r="AD11"/>
      <c r="AE11" s="370"/>
      <c r="AF11"/>
      <c r="AG11"/>
    </row>
    <row r="12" spans="2:33" ht="24.75" customHeight="1" x14ac:dyDescent="0.25">
      <c r="B12" s="512"/>
      <c r="C12" s="513" t="s">
        <v>1043</v>
      </c>
      <c r="D12" s="214" t="s">
        <v>55</v>
      </c>
      <c r="E12" s="214" t="s">
        <v>55</v>
      </c>
      <c r="F12" s="214" t="s">
        <v>55</v>
      </c>
      <c r="G12" s="214">
        <f>24+29</f>
        <v>53</v>
      </c>
      <c r="H12" s="214" t="s">
        <v>55</v>
      </c>
      <c r="I12" s="214" t="s">
        <v>55</v>
      </c>
      <c r="J12" s="214" t="s">
        <v>55</v>
      </c>
      <c r="K12" s="216" t="s">
        <v>558</v>
      </c>
      <c r="L12" s="216" t="s">
        <v>558</v>
      </c>
      <c r="M12" s="217" t="s">
        <v>55</v>
      </c>
      <c r="N12" s="215">
        <f>20*G12</f>
        <v>1060</v>
      </c>
      <c r="O12" s="220">
        <f>20*G12</f>
        <v>1060</v>
      </c>
      <c r="P12" s="214" t="s">
        <v>55</v>
      </c>
      <c r="Q12" s="214" t="s">
        <v>55</v>
      </c>
      <c r="R12" s="214" t="s">
        <v>55</v>
      </c>
      <c r="S12" s="214" t="s">
        <v>55</v>
      </c>
      <c r="T12" s="222" t="s">
        <v>55</v>
      </c>
      <c r="AA12" s="369"/>
      <c r="AB12" s="369"/>
      <c r="AC12"/>
      <c r="AD12"/>
      <c r="AE12" s="370"/>
      <c r="AF12"/>
      <c r="AG12"/>
    </row>
    <row r="13" spans="2:33" ht="24.75" customHeight="1" x14ac:dyDescent="0.25">
      <c r="B13" s="512"/>
      <c r="C13" s="513" t="s">
        <v>1044</v>
      </c>
      <c r="D13" s="214" t="s">
        <v>55</v>
      </c>
      <c r="E13" s="214" t="s">
        <v>55</v>
      </c>
      <c r="F13" s="214" t="s">
        <v>55</v>
      </c>
      <c r="G13" s="214">
        <f>64+29</f>
        <v>93</v>
      </c>
      <c r="H13" s="214" t="s">
        <v>55</v>
      </c>
      <c r="I13" s="214" t="s">
        <v>55</v>
      </c>
      <c r="J13" s="214" t="s">
        <v>55</v>
      </c>
      <c r="K13" s="216" t="s">
        <v>558</v>
      </c>
      <c r="L13" s="216" t="s">
        <v>558</v>
      </c>
      <c r="M13" s="217" t="s">
        <v>55</v>
      </c>
      <c r="N13" s="215">
        <f t="shared" ref="N13:N14" si="4">20*G13</f>
        <v>1860</v>
      </c>
      <c r="O13" s="220">
        <f t="shared" ref="O13:O14" si="5">20*G13</f>
        <v>1860</v>
      </c>
      <c r="P13" s="214" t="s">
        <v>55</v>
      </c>
      <c r="Q13" s="214" t="s">
        <v>55</v>
      </c>
      <c r="R13" s="214" t="s">
        <v>55</v>
      </c>
      <c r="S13" s="214" t="s">
        <v>55</v>
      </c>
      <c r="T13" s="222" t="s">
        <v>55</v>
      </c>
      <c r="AA13" s="369"/>
      <c r="AB13" s="369"/>
      <c r="AC13"/>
      <c r="AD13"/>
      <c r="AE13" s="370"/>
      <c r="AF13"/>
      <c r="AG13"/>
    </row>
    <row r="14" spans="2:33" ht="24.75" customHeight="1" x14ac:dyDescent="0.25">
      <c r="B14" s="512"/>
      <c r="C14" s="513" t="s">
        <v>1045</v>
      </c>
      <c r="D14" s="214" t="s">
        <v>55</v>
      </c>
      <c r="E14" s="214" t="s">
        <v>55</v>
      </c>
      <c r="F14" s="214" t="s">
        <v>55</v>
      </c>
      <c r="G14" s="214">
        <f>25+29</f>
        <v>54</v>
      </c>
      <c r="H14" s="214" t="s">
        <v>55</v>
      </c>
      <c r="I14" s="214" t="s">
        <v>55</v>
      </c>
      <c r="J14" s="214" t="s">
        <v>55</v>
      </c>
      <c r="K14" s="216" t="s">
        <v>558</v>
      </c>
      <c r="L14" s="216" t="s">
        <v>558</v>
      </c>
      <c r="M14" s="217" t="s">
        <v>55</v>
      </c>
      <c r="N14" s="215">
        <f t="shared" si="4"/>
        <v>1080</v>
      </c>
      <c r="O14" s="220">
        <f t="shared" si="5"/>
        <v>1080</v>
      </c>
      <c r="P14" s="214" t="s">
        <v>55</v>
      </c>
      <c r="Q14" s="214" t="s">
        <v>55</v>
      </c>
      <c r="R14" s="214" t="s">
        <v>55</v>
      </c>
      <c r="S14" s="214" t="s">
        <v>55</v>
      </c>
      <c r="T14" s="222" t="s">
        <v>55</v>
      </c>
      <c r="AA14" s="369"/>
      <c r="AB14" s="369"/>
      <c r="AC14"/>
      <c r="AD14"/>
      <c r="AE14" s="370"/>
      <c r="AF14"/>
      <c r="AG14"/>
    </row>
    <row r="15" spans="2:33" ht="24.75" customHeight="1" x14ac:dyDescent="0.25">
      <c r="B15" s="514">
        <v>5.23</v>
      </c>
      <c r="C15" s="515" t="s">
        <v>1195</v>
      </c>
      <c r="D15" s="372" t="s">
        <v>55</v>
      </c>
      <c r="E15" s="372" t="s">
        <v>55</v>
      </c>
      <c r="F15" s="372" t="s">
        <v>55</v>
      </c>
      <c r="G15" s="214" t="s">
        <v>55</v>
      </c>
      <c r="H15" s="372">
        <v>365.28</v>
      </c>
      <c r="I15" s="372">
        <v>3.86</v>
      </c>
      <c r="J15" s="303">
        <f>H15*I15</f>
        <v>1409.9807999999998</v>
      </c>
      <c r="K15" s="216" t="s">
        <v>559</v>
      </c>
      <c r="L15" s="216" t="s">
        <v>559</v>
      </c>
      <c r="M15" s="372"/>
      <c r="N15" s="378">
        <f>SUM(N16:N18)</f>
        <v>12000</v>
      </c>
      <c r="O15" s="379">
        <f>SUM(O16:O18)</f>
        <v>12000</v>
      </c>
      <c r="P15" s="380">
        <f t="shared" ref="P15" si="6">N15/J15</f>
        <v>8.5107541889932126</v>
      </c>
      <c r="Q15" s="380">
        <f t="shared" ref="Q15" si="7">O15/J15</f>
        <v>8.5107541889932126</v>
      </c>
      <c r="R15" s="381" t="s">
        <v>55</v>
      </c>
      <c r="S15" s="516" t="s">
        <v>237</v>
      </c>
      <c r="T15" s="517" t="s">
        <v>311</v>
      </c>
      <c r="AA15" s="369"/>
      <c r="AB15" s="369"/>
      <c r="AC15"/>
      <c r="AD15"/>
      <c r="AE15" s="370"/>
      <c r="AF15"/>
      <c r="AG15"/>
    </row>
    <row r="16" spans="2:33" ht="24.75" customHeight="1" x14ac:dyDescent="0.25">
      <c r="B16" s="512"/>
      <c r="C16" s="513" t="s">
        <v>1043</v>
      </c>
      <c r="D16" s="214" t="s">
        <v>55</v>
      </c>
      <c r="E16" s="214" t="s">
        <v>55</v>
      </c>
      <c r="F16" s="214">
        <f>24+29</f>
        <v>53</v>
      </c>
      <c r="G16" s="214" t="s">
        <v>55</v>
      </c>
      <c r="H16" s="214" t="s">
        <v>55</v>
      </c>
      <c r="I16" s="214" t="s">
        <v>55</v>
      </c>
      <c r="J16" s="214" t="s">
        <v>55</v>
      </c>
      <c r="K16" s="216" t="s">
        <v>559</v>
      </c>
      <c r="L16" s="216" t="s">
        <v>559</v>
      </c>
      <c r="M16" s="217" t="s">
        <v>55</v>
      </c>
      <c r="N16" s="215">
        <f>60*F16</f>
        <v>3180</v>
      </c>
      <c r="O16" s="220">
        <f>60*F16</f>
        <v>3180</v>
      </c>
      <c r="P16" s="214" t="s">
        <v>55</v>
      </c>
      <c r="Q16" s="214" t="s">
        <v>55</v>
      </c>
      <c r="R16" s="214" t="s">
        <v>55</v>
      </c>
      <c r="S16" s="214" t="s">
        <v>55</v>
      </c>
      <c r="T16" s="222" t="s">
        <v>55</v>
      </c>
      <c r="AA16" s="369"/>
      <c r="AB16" s="371"/>
      <c r="AC16"/>
      <c r="AD16"/>
      <c r="AE16"/>
      <c r="AF16"/>
      <c r="AG16"/>
    </row>
    <row r="17" spans="2:33" ht="24.75" customHeight="1" x14ac:dyDescent="0.25">
      <c r="B17" s="512"/>
      <c r="C17" s="513" t="s">
        <v>1044</v>
      </c>
      <c r="D17" s="214" t="s">
        <v>55</v>
      </c>
      <c r="E17" s="214" t="s">
        <v>55</v>
      </c>
      <c r="F17" s="214">
        <f>64+29</f>
        <v>93</v>
      </c>
      <c r="G17" s="214" t="s">
        <v>55</v>
      </c>
      <c r="H17" s="214" t="s">
        <v>55</v>
      </c>
      <c r="I17" s="214" t="s">
        <v>55</v>
      </c>
      <c r="J17" s="214" t="s">
        <v>55</v>
      </c>
      <c r="K17" s="216" t="s">
        <v>559</v>
      </c>
      <c r="L17" s="216" t="s">
        <v>559</v>
      </c>
      <c r="M17" s="217" t="s">
        <v>55</v>
      </c>
      <c r="N17" s="215">
        <f t="shared" ref="N17:N18" si="8">60*F17</f>
        <v>5580</v>
      </c>
      <c r="O17" s="220">
        <f t="shared" ref="O17:O18" si="9">60*F17</f>
        <v>5580</v>
      </c>
      <c r="P17" s="214" t="s">
        <v>55</v>
      </c>
      <c r="Q17" s="214" t="s">
        <v>55</v>
      </c>
      <c r="R17" s="214" t="s">
        <v>55</v>
      </c>
      <c r="S17" s="214" t="s">
        <v>55</v>
      </c>
      <c r="T17" s="222" t="s">
        <v>55</v>
      </c>
      <c r="AA17" s="369"/>
      <c r="AB17" s="371"/>
      <c r="AC17"/>
      <c r="AD17"/>
      <c r="AE17"/>
      <c r="AF17"/>
      <c r="AG17"/>
    </row>
    <row r="18" spans="2:33" ht="24.75" customHeight="1" x14ac:dyDescent="0.25">
      <c r="B18" s="512"/>
      <c r="C18" s="513" t="s">
        <v>1045</v>
      </c>
      <c r="D18" s="214" t="s">
        <v>55</v>
      </c>
      <c r="E18" s="214" t="s">
        <v>55</v>
      </c>
      <c r="F18" s="214">
        <f>25+29</f>
        <v>54</v>
      </c>
      <c r="G18" s="214" t="s">
        <v>55</v>
      </c>
      <c r="H18" s="214" t="s">
        <v>55</v>
      </c>
      <c r="I18" s="214" t="s">
        <v>55</v>
      </c>
      <c r="J18" s="214" t="s">
        <v>55</v>
      </c>
      <c r="K18" s="216" t="s">
        <v>559</v>
      </c>
      <c r="L18" s="216" t="s">
        <v>559</v>
      </c>
      <c r="M18" s="217" t="s">
        <v>55</v>
      </c>
      <c r="N18" s="215">
        <f t="shared" si="8"/>
        <v>3240</v>
      </c>
      <c r="O18" s="220">
        <f t="shared" si="9"/>
        <v>3240</v>
      </c>
      <c r="P18" s="214" t="s">
        <v>55</v>
      </c>
      <c r="Q18" s="214" t="s">
        <v>55</v>
      </c>
      <c r="R18" s="214" t="s">
        <v>55</v>
      </c>
      <c r="S18" s="214" t="s">
        <v>55</v>
      </c>
      <c r="T18" s="222" t="s">
        <v>55</v>
      </c>
      <c r="AA18" s="369"/>
      <c r="AB18" s="371"/>
      <c r="AC18"/>
      <c r="AD18"/>
      <c r="AE18"/>
      <c r="AF18"/>
      <c r="AG18"/>
    </row>
    <row r="19" spans="2:33" ht="24.75" customHeight="1" x14ac:dyDescent="0.25">
      <c r="B19" s="514">
        <v>5.26</v>
      </c>
      <c r="C19" s="518" t="s">
        <v>825</v>
      </c>
      <c r="D19" s="214" t="s">
        <v>55</v>
      </c>
      <c r="E19" s="214" t="s">
        <v>55</v>
      </c>
      <c r="F19" s="214" t="s">
        <v>55</v>
      </c>
      <c r="G19" s="214" t="s">
        <v>55</v>
      </c>
      <c r="H19" s="214">
        <v>32.26</v>
      </c>
      <c r="I19" s="214">
        <v>3.86</v>
      </c>
      <c r="J19" s="215">
        <f>H19*I19</f>
        <v>124.52359999999999</v>
      </c>
      <c r="K19" s="216">
        <v>3</v>
      </c>
      <c r="L19" s="214">
        <v>3</v>
      </c>
      <c r="M19" s="214" t="s">
        <v>55</v>
      </c>
      <c r="N19" s="215">
        <f>CEILING((J19*K19),10)</f>
        <v>380</v>
      </c>
      <c r="O19" s="220">
        <f t="shared" ref="O19" si="10">CEILING((J19*L19),10)</f>
        <v>380</v>
      </c>
      <c r="P19" s="220">
        <f t="shared" ref="P19" si="11">N19/J19</f>
        <v>3.0516303736801702</v>
      </c>
      <c r="Q19" s="220">
        <f t="shared" ref="Q19" si="12">O19/J19</f>
        <v>3.0516303736801702</v>
      </c>
      <c r="R19" s="217" t="s">
        <v>55</v>
      </c>
      <c r="S19" s="519" t="s">
        <v>237</v>
      </c>
      <c r="T19" s="520" t="s">
        <v>311</v>
      </c>
      <c r="Z19" s="344">
        <f>N20+N19</f>
        <v>4940</v>
      </c>
      <c r="AD19" s="207">
        <f>25+29</f>
        <v>54</v>
      </c>
    </row>
    <row r="20" spans="2:33" ht="25.5" customHeight="1" x14ac:dyDescent="0.25">
      <c r="B20" s="514">
        <v>5.27</v>
      </c>
      <c r="C20" s="518" t="s">
        <v>823</v>
      </c>
      <c r="D20" s="214" t="s">
        <v>55</v>
      </c>
      <c r="E20" s="214" t="s">
        <v>55</v>
      </c>
      <c r="F20" s="214" t="s">
        <v>55</v>
      </c>
      <c r="G20" s="214">
        <v>228</v>
      </c>
      <c r="H20" s="214">
        <v>403.88</v>
      </c>
      <c r="I20" s="214">
        <v>3.86</v>
      </c>
      <c r="J20" s="215">
        <f>H20*I20</f>
        <v>1558.9767999999999</v>
      </c>
      <c r="K20" s="216" t="s">
        <v>558</v>
      </c>
      <c r="L20" s="278" t="s">
        <v>55</v>
      </c>
      <c r="M20" s="278" t="s">
        <v>55</v>
      </c>
      <c r="N20" s="343">
        <f>G20*20</f>
        <v>4560</v>
      </c>
      <c r="O20" s="355">
        <f>20*G20</f>
        <v>4560</v>
      </c>
      <c r="P20" s="281">
        <f t="shared" ref="P20" si="13">N20/J20</f>
        <v>2.9249954200729609</v>
      </c>
      <c r="Q20" s="281">
        <f t="shared" ref="Q20" si="14">O20/J20</f>
        <v>2.9249954200729609</v>
      </c>
      <c r="R20" s="343" t="s">
        <v>55</v>
      </c>
      <c r="S20" s="521" t="s">
        <v>237</v>
      </c>
      <c r="T20" s="520" t="s">
        <v>311</v>
      </c>
      <c r="AD20" s="207">
        <f>SUM(AD19:AD19)</f>
        <v>54</v>
      </c>
    </row>
    <row r="21" spans="2:33" ht="21.75" customHeight="1" x14ac:dyDescent="0.25">
      <c r="B21" s="522"/>
      <c r="C21" s="523" t="s">
        <v>824</v>
      </c>
      <c r="D21" s="278" t="s">
        <v>55</v>
      </c>
      <c r="E21" s="278" t="s">
        <v>55</v>
      </c>
      <c r="F21" s="278" t="s">
        <v>55</v>
      </c>
      <c r="G21" s="278" t="s">
        <v>55</v>
      </c>
      <c r="H21" s="278" t="s">
        <v>55</v>
      </c>
      <c r="I21" s="278" t="s">
        <v>55</v>
      </c>
      <c r="J21" s="278" t="s">
        <v>55</v>
      </c>
      <c r="K21" s="278" t="s">
        <v>55</v>
      </c>
      <c r="L21" s="278" t="s">
        <v>55</v>
      </c>
      <c r="M21" s="278" t="s">
        <v>55</v>
      </c>
      <c r="N21" s="278" t="s">
        <v>55</v>
      </c>
      <c r="O21" s="278" t="s">
        <v>55</v>
      </c>
      <c r="P21" s="278" t="s">
        <v>55</v>
      </c>
      <c r="Q21" s="278" t="s">
        <v>55</v>
      </c>
      <c r="R21" s="278" t="s">
        <v>55</v>
      </c>
      <c r="S21" s="278" t="s">
        <v>55</v>
      </c>
      <c r="T21" s="362" t="s">
        <v>55</v>
      </c>
      <c r="Z21" s="207">
        <v>10824</v>
      </c>
    </row>
    <row r="22" spans="2:33" ht="15" customHeight="1" thickBot="1" x14ac:dyDescent="0.3">
      <c r="B22" s="524"/>
      <c r="C22" s="525"/>
      <c r="D22" s="526" t="s">
        <v>508</v>
      </c>
      <c r="E22" s="527"/>
      <c r="F22" s="528"/>
      <c r="G22" s="529">
        <f>SUM(G8:G10,G20)</f>
        <v>428</v>
      </c>
      <c r="H22" s="530"/>
      <c r="I22" s="528"/>
      <c r="J22" s="528"/>
      <c r="K22" s="528"/>
      <c r="L22" s="531" t="s">
        <v>557</v>
      </c>
      <c r="M22" s="532"/>
      <c r="N22" s="305">
        <f>N7+N19+N20</f>
        <v>9760</v>
      </c>
      <c r="O22" s="336">
        <f>SUM(O7,O19+O20)</f>
        <v>9760</v>
      </c>
      <c r="P22" s="533"/>
      <c r="Q22" s="533"/>
      <c r="R22" s="533"/>
      <c r="S22" s="528"/>
      <c r="T22" s="534"/>
    </row>
    <row r="23" spans="2:33" ht="15" customHeight="1" thickBot="1" x14ac:dyDescent="0.3">
      <c r="B23" s="535" t="s">
        <v>1046</v>
      </c>
      <c r="C23" s="536"/>
      <c r="D23" s="536"/>
      <c r="E23" s="536"/>
      <c r="F23" s="536"/>
      <c r="G23" s="536"/>
      <c r="H23" s="536"/>
      <c r="I23" s="536"/>
      <c r="J23" s="536"/>
      <c r="K23" s="536"/>
      <c r="L23" s="536"/>
      <c r="M23" s="536"/>
      <c r="N23" s="536"/>
      <c r="O23" s="536"/>
      <c r="P23" s="536"/>
      <c r="Q23" s="536"/>
      <c r="R23" s="536"/>
      <c r="S23" s="536"/>
      <c r="T23" s="537"/>
    </row>
    <row r="24" spans="2:33" ht="15" customHeight="1" x14ac:dyDescent="0.25">
      <c r="B24" s="538">
        <v>6.9</v>
      </c>
      <c r="C24" s="539" t="s">
        <v>16</v>
      </c>
      <c r="D24" s="284" t="s">
        <v>55</v>
      </c>
      <c r="E24" s="284" t="s">
        <v>55</v>
      </c>
      <c r="F24" s="209" t="s">
        <v>55</v>
      </c>
      <c r="G24" s="209" t="s">
        <v>55</v>
      </c>
      <c r="H24" s="209">
        <v>110.8</v>
      </c>
      <c r="I24" s="209">
        <v>3.86</v>
      </c>
      <c r="J24" s="210">
        <f t="shared" ref="J24:J38" si="15">H24*I24</f>
        <v>427.68799999999999</v>
      </c>
      <c r="K24" s="209" t="s">
        <v>55</v>
      </c>
      <c r="L24" s="209" t="s">
        <v>55</v>
      </c>
      <c r="M24" s="209" t="s">
        <v>55</v>
      </c>
      <c r="N24" s="209">
        <v>100</v>
      </c>
      <c r="O24" s="209" t="s">
        <v>55</v>
      </c>
      <c r="P24" s="400">
        <f t="shared" ref="P24:P30" si="16">N24/J24</f>
        <v>0.23381530461457886</v>
      </c>
      <c r="Q24" s="400" t="s">
        <v>55</v>
      </c>
      <c r="R24" s="212" t="s">
        <v>55</v>
      </c>
      <c r="S24" s="540" t="s">
        <v>237</v>
      </c>
      <c r="T24" s="541"/>
    </row>
    <row r="25" spans="2:33" ht="15" customHeight="1" x14ac:dyDescent="0.25">
      <c r="B25" s="542"/>
      <c r="C25" s="515" t="s">
        <v>589</v>
      </c>
      <c r="D25" s="233" t="s">
        <v>55</v>
      </c>
      <c r="E25" s="233" t="s">
        <v>55</v>
      </c>
      <c r="F25" s="224" t="s">
        <v>55</v>
      </c>
      <c r="G25" s="224" t="s">
        <v>55</v>
      </c>
      <c r="H25" s="224" t="s">
        <v>55</v>
      </c>
      <c r="I25" s="224" t="s">
        <v>55</v>
      </c>
      <c r="J25" s="224" t="s">
        <v>55</v>
      </c>
      <c r="K25" s="224" t="s">
        <v>55</v>
      </c>
      <c r="L25" s="224" t="s">
        <v>55</v>
      </c>
      <c r="M25" s="224" t="s">
        <v>55</v>
      </c>
      <c r="N25" s="214" t="s">
        <v>55</v>
      </c>
      <c r="O25" s="214">
        <f>1590-O29-O31-O32</f>
        <v>1355</v>
      </c>
      <c r="P25" s="400" t="s">
        <v>55</v>
      </c>
      <c r="Q25" s="400" t="s">
        <v>55</v>
      </c>
      <c r="R25" s="240" t="s">
        <v>55</v>
      </c>
      <c r="S25" s="543"/>
      <c r="T25" s="544" t="s">
        <v>590</v>
      </c>
    </row>
    <row r="26" spans="2:33" ht="18" customHeight="1" x14ac:dyDescent="0.25">
      <c r="B26" s="545">
        <v>6.14</v>
      </c>
      <c r="C26" s="546" t="s">
        <v>16</v>
      </c>
      <c r="D26" s="233" t="s">
        <v>55</v>
      </c>
      <c r="E26" s="233" t="s">
        <v>55</v>
      </c>
      <c r="F26" s="224" t="s">
        <v>55</v>
      </c>
      <c r="G26" s="224" t="s">
        <v>55</v>
      </c>
      <c r="H26" s="214">
        <v>93.7</v>
      </c>
      <c r="I26" s="214">
        <v>3.86</v>
      </c>
      <c r="J26" s="215">
        <f t="shared" si="15"/>
        <v>361.68200000000002</v>
      </c>
      <c r="K26" s="224" t="s">
        <v>55</v>
      </c>
      <c r="L26" s="224" t="s">
        <v>55</v>
      </c>
      <c r="M26" s="224" t="s">
        <v>55</v>
      </c>
      <c r="N26" s="214">
        <f>120+1200-600</f>
        <v>720</v>
      </c>
      <c r="O26" s="214" t="s">
        <v>55</v>
      </c>
      <c r="P26" s="400">
        <f t="shared" si="16"/>
        <v>1.9906990118391292</v>
      </c>
      <c r="Q26" s="400" t="s">
        <v>55</v>
      </c>
      <c r="R26" s="240" t="s">
        <v>55</v>
      </c>
      <c r="S26" s="214" t="s">
        <v>237</v>
      </c>
      <c r="T26" s="222"/>
      <c r="Z26" s="385" t="s">
        <v>1134</v>
      </c>
      <c r="AA26"/>
      <c r="AB26"/>
      <c r="AC26"/>
      <c r="AD26"/>
    </row>
    <row r="27" spans="2:33" ht="33.75" customHeight="1" x14ac:dyDescent="0.25">
      <c r="B27" s="545">
        <v>6.15</v>
      </c>
      <c r="C27" s="547" t="s">
        <v>16</v>
      </c>
      <c r="D27" s="233" t="s">
        <v>55</v>
      </c>
      <c r="E27" s="233" t="s">
        <v>55</v>
      </c>
      <c r="F27" s="224" t="s">
        <v>55</v>
      </c>
      <c r="G27" s="224" t="s">
        <v>55</v>
      </c>
      <c r="H27" s="214">
        <v>108.8</v>
      </c>
      <c r="I27" s="214">
        <v>3.86</v>
      </c>
      <c r="J27" s="215">
        <f t="shared" si="15"/>
        <v>419.96799999999996</v>
      </c>
      <c r="K27" s="548" t="s">
        <v>1135</v>
      </c>
      <c r="L27" s="224" t="s">
        <v>55</v>
      </c>
      <c r="M27" s="224" t="s">
        <v>55</v>
      </c>
      <c r="N27" s="214">
        <f>125+115-90</f>
        <v>150</v>
      </c>
      <c r="O27" s="214" t="s">
        <v>55</v>
      </c>
      <c r="P27" s="400">
        <f t="shared" si="16"/>
        <v>0.35717007010057911</v>
      </c>
      <c r="Q27" s="400" t="s">
        <v>55</v>
      </c>
      <c r="R27" s="240" t="s">
        <v>55</v>
      </c>
      <c r="S27" s="214" t="s">
        <v>237</v>
      </c>
      <c r="T27" s="222" t="s">
        <v>55</v>
      </c>
      <c r="Z27" s="382" t="s">
        <v>1135</v>
      </c>
      <c r="AA27"/>
      <c r="AB27"/>
      <c r="AC27"/>
      <c r="AD27"/>
    </row>
    <row r="28" spans="2:33" ht="14.25" customHeight="1" x14ac:dyDescent="0.25">
      <c r="B28" s="545">
        <v>6.21</v>
      </c>
      <c r="C28" s="547" t="s">
        <v>20</v>
      </c>
      <c r="D28" s="233" t="s">
        <v>55</v>
      </c>
      <c r="E28" s="224" t="s">
        <v>55</v>
      </c>
      <c r="F28" s="224" t="s">
        <v>55</v>
      </c>
      <c r="G28" s="218">
        <v>16</v>
      </c>
      <c r="H28" s="214">
        <v>49.3</v>
      </c>
      <c r="I28" s="214">
        <v>3.86</v>
      </c>
      <c r="J28" s="215">
        <f t="shared" si="15"/>
        <v>190.29799999999997</v>
      </c>
      <c r="K28" s="224" t="s">
        <v>55</v>
      </c>
      <c r="L28" s="224" t="s">
        <v>55</v>
      </c>
      <c r="M28" s="224" t="s">
        <v>55</v>
      </c>
      <c r="N28" s="214">
        <v>320</v>
      </c>
      <c r="O28" s="214">
        <v>320</v>
      </c>
      <c r="P28" s="400">
        <f t="shared" si="16"/>
        <v>1.6815731116459449</v>
      </c>
      <c r="Q28" s="400">
        <f t="shared" ref="Q28:Q29" si="17">O28/J28</f>
        <v>1.6815731116459449</v>
      </c>
      <c r="R28" s="240" t="s">
        <v>55</v>
      </c>
      <c r="S28" s="214" t="s">
        <v>237</v>
      </c>
      <c r="T28" s="222" t="s">
        <v>311</v>
      </c>
      <c r="Z28" s="382"/>
      <c r="AA28"/>
      <c r="AB28"/>
      <c r="AC28"/>
      <c r="AD28"/>
    </row>
    <row r="29" spans="2:33" ht="15.75" customHeight="1" x14ac:dyDescent="0.25">
      <c r="B29" s="549">
        <v>6.18</v>
      </c>
      <c r="C29" s="546" t="s">
        <v>720</v>
      </c>
      <c r="D29" s="550" t="s">
        <v>305</v>
      </c>
      <c r="E29" s="224" t="s">
        <v>55</v>
      </c>
      <c r="F29" s="224" t="s">
        <v>55</v>
      </c>
      <c r="G29" s="218" t="s">
        <v>55</v>
      </c>
      <c r="H29" s="551">
        <v>6.3</v>
      </c>
      <c r="I29" s="214">
        <v>3.86</v>
      </c>
      <c r="J29" s="215">
        <f t="shared" si="15"/>
        <v>24.317999999999998</v>
      </c>
      <c r="K29" s="224" t="s">
        <v>55</v>
      </c>
      <c r="L29" s="224">
        <v>1</v>
      </c>
      <c r="M29" s="224" t="s">
        <v>55</v>
      </c>
      <c r="N29" s="214" t="s">
        <v>55</v>
      </c>
      <c r="O29" s="214">
        <v>30</v>
      </c>
      <c r="P29" s="400" t="s">
        <v>55</v>
      </c>
      <c r="Q29" s="400">
        <f t="shared" si="17"/>
        <v>1.2336540833950163</v>
      </c>
      <c r="R29" s="240" t="s">
        <v>55</v>
      </c>
      <c r="S29" s="214" t="s">
        <v>55</v>
      </c>
      <c r="T29" s="222" t="s">
        <v>590</v>
      </c>
      <c r="Z29" s="382"/>
      <c r="AA29"/>
      <c r="AB29"/>
      <c r="AC29"/>
      <c r="AD29"/>
    </row>
    <row r="30" spans="2:33" ht="15" customHeight="1" x14ac:dyDescent="0.25">
      <c r="B30" s="549">
        <v>6.69</v>
      </c>
      <c r="C30" s="552" t="s">
        <v>16</v>
      </c>
      <c r="D30" s="214" t="s">
        <v>55</v>
      </c>
      <c r="E30" s="224" t="s">
        <v>55</v>
      </c>
      <c r="F30" s="224" t="s">
        <v>55</v>
      </c>
      <c r="G30" s="218" t="s">
        <v>55</v>
      </c>
      <c r="H30" s="551">
        <v>71.900000000000006</v>
      </c>
      <c r="I30" s="214">
        <v>3.86</v>
      </c>
      <c r="J30" s="215">
        <f t="shared" si="15"/>
        <v>277.53399999999999</v>
      </c>
      <c r="K30" s="224" t="s">
        <v>55</v>
      </c>
      <c r="L30" s="224" t="s">
        <v>55</v>
      </c>
      <c r="M30" s="224" t="s">
        <v>55</v>
      </c>
      <c r="N30" s="214">
        <v>60</v>
      </c>
      <c r="O30" s="214" t="s">
        <v>55</v>
      </c>
      <c r="P30" s="400">
        <f t="shared" si="16"/>
        <v>0.21618972810538528</v>
      </c>
      <c r="Q30" s="400" t="s">
        <v>55</v>
      </c>
      <c r="R30" s="240" t="s">
        <v>55</v>
      </c>
      <c r="S30" s="214" t="s">
        <v>237</v>
      </c>
      <c r="T30" s="222" t="s">
        <v>55</v>
      </c>
      <c r="Z30" s="382" t="s">
        <v>1140</v>
      </c>
      <c r="AA30"/>
      <c r="AB30"/>
    </row>
    <row r="31" spans="2:33" ht="15" customHeight="1" x14ac:dyDescent="0.25">
      <c r="B31" s="553">
        <v>6.19</v>
      </c>
      <c r="C31" s="546" t="s">
        <v>828</v>
      </c>
      <c r="D31" s="214" t="s">
        <v>55</v>
      </c>
      <c r="E31" s="224" t="s">
        <v>55</v>
      </c>
      <c r="F31" s="224" t="s">
        <v>55</v>
      </c>
      <c r="G31" s="218">
        <v>4</v>
      </c>
      <c r="H31" s="214">
        <v>27.6</v>
      </c>
      <c r="I31" s="214">
        <v>3.86</v>
      </c>
      <c r="J31" s="215">
        <f t="shared" si="15"/>
        <v>106.536</v>
      </c>
      <c r="K31" s="224" t="s">
        <v>55</v>
      </c>
      <c r="L31" s="224" t="s">
        <v>55</v>
      </c>
      <c r="M31" s="224" t="s">
        <v>55</v>
      </c>
      <c r="N31" s="214">
        <v>80</v>
      </c>
      <c r="O31" s="214">
        <v>80</v>
      </c>
      <c r="P31" s="400">
        <f t="shared" ref="P31" si="18">N31/J31</f>
        <v>0.75091987684914019</v>
      </c>
      <c r="Q31" s="400">
        <f t="shared" ref="Q31:Q32" si="19">O31/J31</f>
        <v>0.75091987684914019</v>
      </c>
      <c r="R31" s="240" t="s">
        <v>55</v>
      </c>
      <c r="S31" s="214" t="s">
        <v>237</v>
      </c>
      <c r="T31" s="222" t="s">
        <v>590</v>
      </c>
      <c r="Z31" s="214" t="s">
        <v>348</v>
      </c>
    </row>
    <row r="32" spans="2:33" ht="15" customHeight="1" x14ac:dyDescent="0.25">
      <c r="B32" s="553">
        <v>6.24</v>
      </c>
      <c r="C32" s="518" t="s">
        <v>829</v>
      </c>
      <c r="D32" s="214" t="s">
        <v>55</v>
      </c>
      <c r="E32" s="214" t="s">
        <v>55</v>
      </c>
      <c r="F32" s="224" t="s">
        <v>55</v>
      </c>
      <c r="G32" s="218" t="s">
        <v>55</v>
      </c>
      <c r="H32" s="214">
        <v>4.5</v>
      </c>
      <c r="I32" s="214">
        <v>3.86</v>
      </c>
      <c r="J32" s="215">
        <f t="shared" si="15"/>
        <v>17.37</v>
      </c>
      <c r="K32" s="224" t="s">
        <v>55</v>
      </c>
      <c r="L32" s="224" t="s">
        <v>55</v>
      </c>
      <c r="M32" s="224" t="s">
        <v>55</v>
      </c>
      <c r="N32" s="224" t="s">
        <v>55</v>
      </c>
      <c r="O32" s="214">
        <v>125</v>
      </c>
      <c r="P32" s="400" t="s">
        <v>55</v>
      </c>
      <c r="Q32" s="400">
        <f t="shared" si="19"/>
        <v>7.1963154864709269</v>
      </c>
      <c r="R32" s="240" t="s">
        <v>55</v>
      </c>
      <c r="S32" s="240" t="s">
        <v>55</v>
      </c>
      <c r="T32" s="222" t="s">
        <v>590</v>
      </c>
    </row>
    <row r="33" spans="2:24" ht="37.5" customHeight="1" x14ac:dyDescent="0.25">
      <c r="B33" s="553">
        <v>6.25</v>
      </c>
      <c r="C33" s="518" t="s">
        <v>540</v>
      </c>
      <c r="D33" s="214" t="s">
        <v>55</v>
      </c>
      <c r="E33" s="214" t="s">
        <v>55</v>
      </c>
      <c r="F33" s="554">
        <v>2</v>
      </c>
      <c r="G33" s="555">
        <v>2</v>
      </c>
      <c r="H33" s="214">
        <v>24.3</v>
      </c>
      <c r="I33" s="214">
        <v>3.86</v>
      </c>
      <c r="J33" s="215">
        <f t="shared" si="15"/>
        <v>93.798000000000002</v>
      </c>
      <c r="K33" s="216" t="s">
        <v>670</v>
      </c>
      <c r="L33" s="224" t="s">
        <v>55</v>
      </c>
      <c r="M33" s="224" t="s">
        <v>55</v>
      </c>
      <c r="N33" s="214">
        <v>160</v>
      </c>
      <c r="O33" s="214">
        <v>35</v>
      </c>
      <c r="P33" s="400">
        <f t="shared" ref="P33" si="20">N33/J33</f>
        <v>1.7057933004968122</v>
      </c>
      <c r="Q33" s="400">
        <f t="shared" ref="Q33" si="21">O33/J33</f>
        <v>0.3731422844836777</v>
      </c>
      <c r="R33" s="240" t="s">
        <v>55</v>
      </c>
      <c r="S33" s="214" t="s">
        <v>237</v>
      </c>
      <c r="T33" s="222" t="s">
        <v>311</v>
      </c>
    </row>
    <row r="34" spans="2:24" ht="29.25" customHeight="1" x14ac:dyDescent="0.25">
      <c r="B34" s="545">
        <v>6.28</v>
      </c>
      <c r="C34" s="518" t="s">
        <v>1051</v>
      </c>
      <c r="D34" s="214" t="s">
        <v>55</v>
      </c>
      <c r="E34" s="214" t="s">
        <v>55</v>
      </c>
      <c r="F34" s="554">
        <v>1</v>
      </c>
      <c r="G34" s="555" t="s">
        <v>55</v>
      </c>
      <c r="H34" s="214">
        <v>11.7</v>
      </c>
      <c r="I34" s="214">
        <v>3.86</v>
      </c>
      <c r="J34" s="215">
        <f t="shared" si="15"/>
        <v>45.161999999999999</v>
      </c>
      <c r="K34" s="216" t="s">
        <v>729</v>
      </c>
      <c r="L34" s="224" t="s">
        <v>55</v>
      </c>
      <c r="M34" s="224" t="s">
        <v>55</v>
      </c>
      <c r="N34" s="214">
        <v>60</v>
      </c>
      <c r="O34" s="214">
        <v>60</v>
      </c>
      <c r="P34" s="400">
        <f t="shared" ref="P34" si="22">N34/J34</f>
        <v>1.3285505513484788</v>
      </c>
      <c r="Q34" s="400">
        <f t="shared" ref="Q34" si="23">O34/J34</f>
        <v>1.3285505513484788</v>
      </c>
      <c r="R34" s="240" t="s">
        <v>55</v>
      </c>
      <c r="S34" s="214" t="s">
        <v>237</v>
      </c>
      <c r="T34" s="222" t="s">
        <v>311</v>
      </c>
    </row>
    <row r="35" spans="2:24" ht="15" customHeight="1" x14ac:dyDescent="0.25">
      <c r="B35" s="545"/>
      <c r="C35" s="518" t="s">
        <v>1052</v>
      </c>
      <c r="D35" s="214" t="s">
        <v>55</v>
      </c>
      <c r="E35" s="214" t="s">
        <v>55</v>
      </c>
      <c r="F35" s="224" t="s">
        <v>55</v>
      </c>
      <c r="G35" s="218" t="s">
        <v>55</v>
      </c>
      <c r="H35" s="214" t="s">
        <v>55</v>
      </c>
      <c r="I35" s="214" t="s">
        <v>55</v>
      </c>
      <c r="J35" s="214" t="s">
        <v>55</v>
      </c>
      <c r="K35" s="214" t="s">
        <v>55</v>
      </c>
      <c r="L35" s="214" t="s">
        <v>55</v>
      </c>
      <c r="M35" s="214" t="s">
        <v>55</v>
      </c>
      <c r="N35" s="214" t="s">
        <v>55</v>
      </c>
      <c r="O35" s="214" t="s">
        <v>55</v>
      </c>
      <c r="P35" s="400" t="s">
        <v>55</v>
      </c>
      <c r="Q35" s="400" t="s">
        <v>55</v>
      </c>
      <c r="R35" s="214" t="s">
        <v>55</v>
      </c>
      <c r="S35" s="214" t="s">
        <v>55</v>
      </c>
      <c r="T35" s="222" t="s">
        <v>55</v>
      </c>
    </row>
    <row r="36" spans="2:24" ht="38.25" customHeight="1" x14ac:dyDescent="0.25">
      <c r="B36" s="545">
        <v>6.29</v>
      </c>
      <c r="C36" s="518" t="s">
        <v>1053</v>
      </c>
      <c r="D36" s="214" t="s">
        <v>55</v>
      </c>
      <c r="E36" s="214" t="s">
        <v>55</v>
      </c>
      <c r="F36" s="554">
        <v>1</v>
      </c>
      <c r="G36" s="555">
        <v>4</v>
      </c>
      <c r="H36" s="214">
        <v>29.4</v>
      </c>
      <c r="I36" s="214">
        <v>3.86</v>
      </c>
      <c r="J36" s="215">
        <f t="shared" si="15"/>
        <v>113.48399999999999</v>
      </c>
      <c r="K36" s="216" t="s">
        <v>670</v>
      </c>
      <c r="L36" s="214" t="s">
        <v>55</v>
      </c>
      <c r="M36" s="214" t="s">
        <v>55</v>
      </c>
      <c r="N36" s="214">
        <v>140</v>
      </c>
      <c r="O36" s="214">
        <v>140</v>
      </c>
      <c r="P36" s="400">
        <f t="shared" ref="P36" si="24">N36/J36</f>
        <v>1.233654083395016</v>
      </c>
      <c r="Q36" s="400">
        <f t="shared" ref="Q36" si="25">O36/J36</f>
        <v>1.233654083395016</v>
      </c>
      <c r="R36" s="556"/>
      <c r="S36" s="214" t="s">
        <v>237</v>
      </c>
      <c r="T36" s="222" t="s">
        <v>311</v>
      </c>
    </row>
    <row r="37" spans="2:24" ht="15" customHeight="1" x14ac:dyDescent="0.25">
      <c r="B37" s="545"/>
      <c r="C37" s="518" t="s">
        <v>1054</v>
      </c>
      <c r="D37" s="214" t="s">
        <v>55</v>
      </c>
      <c r="E37" s="214" t="s">
        <v>55</v>
      </c>
      <c r="F37" s="224" t="s">
        <v>55</v>
      </c>
      <c r="G37" s="218" t="s">
        <v>55</v>
      </c>
      <c r="H37" s="224" t="s">
        <v>55</v>
      </c>
      <c r="I37" s="218" t="s">
        <v>55</v>
      </c>
      <c r="J37" s="224" t="s">
        <v>55</v>
      </c>
      <c r="K37" s="218" t="s">
        <v>55</v>
      </c>
      <c r="L37" s="224" t="s">
        <v>55</v>
      </c>
      <c r="M37" s="218" t="s">
        <v>55</v>
      </c>
      <c r="N37" s="224" t="s">
        <v>55</v>
      </c>
      <c r="O37" s="218" t="s">
        <v>55</v>
      </c>
      <c r="P37" s="400" t="s">
        <v>55</v>
      </c>
      <c r="Q37" s="400" t="s">
        <v>55</v>
      </c>
      <c r="R37" s="224" t="s">
        <v>55</v>
      </c>
      <c r="S37" s="218" t="s">
        <v>55</v>
      </c>
      <c r="T37" s="389" t="s">
        <v>55</v>
      </c>
    </row>
    <row r="38" spans="2:24" ht="21.75" customHeight="1" x14ac:dyDescent="0.25">
      <c r="B38" s="545">
        <v>6.31</v>
      </c>
      <c r="C38" s="518" t="s">
        <v>1080</v>
      </c>
      <c r="D38" s="214" t="s">
        <v>55</v>
      </c>
      <c r="E38" s="214" t="s">
        <v>55</v>
      </c>
      <c r="F38" s="554">
        <v>3</v>
      </c>
      <c r="G38" s="555" t="s">
        <v>55</v>
      </c>
      <c r="H38" s="214">
        <v>20</v>
      </c>
      <c r="I38" s="214">
        <v>3.86</v>
      </c>
      <c r="J38" s="215">
        <f t="shared" si="15"/>
        <v>77.2</v>
      </c>
      <c r="K38" s="216" t="s">
        <v>729</v>
      </c>
      <c r="L38" s="224" t="s">
        <v>55</v>
      </c>
      <c r="M38" s="218" t="s">
        <v>55</v>
      </c>
      <c r="N38" s="214">
        <v>180</v>
      </c>
      <c r="O38" s="214">
        <v>180</v>
      </c>
      <c r="P38" s="400">
        <f t="shared" ref="P38" si="26">N38/J38</f>
        <v>2.3316062176165802</v>
      </c>
      <c r="Q38" s="400">
        <f t="shared" ref="Q38" si="27">O38/J38</f>
        <v>2.3316062176165802</v>
      </c>
      <c r="R38" s="224" t="s">
        <v>55</v>
      </c>
      <c r="S38" s="214" t="s">
        <v>237</v>
      </c>
      <c r="T38" s="222" t="s">
        <v>311</v>
      </c>
    </row>
    <row r="39" spans="2:24" ht="15" customHeight="1" x14ac:dyDescent="0.25">
      <c r="B39" s="545"/>
      <c r="C39" s="518" t="s">
        <v>1081</v>
      </c>
      <c r="D39" s="214" t="s">
        <v>55</v>
      </c>
      <c r="E39" s="214" t="s">
        <v>55</v>
      </c>
      <c r="F39" s="224" t="s">
        <v>55</v>
      </c>
      <c r="G39" s="218" t="s">
        <v>55</v>
      </c>
      <c r="H39" s="218" t="s">
        <v>55</v>
      </c>
      <c r="I39" s="218" t="s">
        <v>55</v>
      </c>
      <c r="J39" s="218" t="s">
        <v>55</v>
      </c>
      <c r="K39" s="218" t="s">
        <v>55</v>
      </c>
      <c r="L39" s="218" t="s">
        <v>55</v>
      </c>
      <c r="M39" s="218" t="s">
        <v>55</v>
      </c>
      <c r="N39" s="218" t="s">
        <v>55</v>
      </c>
      <c r="O39" s="218" t="s">
        <v>55</v>
      </c>
      <c r="P39" s="400" t="s">
        <v>55</v>
      </c>
      <c r="Q39" s="400" t="s">
        <v>55</v>
      </c>
      <c r="R39" s="218" t="s">
        <v>55</v>
      </c>
      <c r="S39" s="218" t="s">
        <v>55</v>
      </c>
      <c r="T39" s="390" t="s">
        <v>55</v>
      </c>
      <c r="U39" s="341" t="s">
        <v>55</v>
      </c>
      <c r="V39" s="218" t="s">
        <v>55</v>
      </c>
      <c r="W39" s="218" t="s">
        <v>55</v>
      </c>
      <c r="X39" s="218" t="s">
        <v>55</v>
      </c>
    </row>
    <row r="40" spans="2:24" ht="15" customHeight="1" x14ac:dyDescent="0.25">
      <c r="B40" s="545"/>
      <c r="C40" s="518" t="s">
        <v>1082</v>
      </c>
      <c r="D40" s="214" t="s">
        <v>55</v>
      </c>
      <c r="E40" s="214" t="s">
        <v>55</v>
      </c>
      <c r="F40" s="224" t="s">
        <v>55</v>
      </c>
      <c r="G40" s="218" t="s">
        <v>55</v>
      </c>
      <c r="H40" s="218" t="s">
        <v>55</v>
      </c>
      <c r="I40" s="218" t="s">
        <v>55</v>
      </c>
      <c r="J40" s="218" t="s">
        <v>55</v>
      </c>
      <c r="K40" s="218" t="s">
        <v>55</v>
      </c>
      <c r="L40" s="218" t="s">
        <v>55</v>
      </c>
      <c r="M40" s="218" t="s">
        <v>55</v>
      </c>
      <c r="N40" s="218" t="s">
        <v>55</v>
      </c>
      <c r="O40" s="218" t="s">
        <v>55</v>
      </c>
      <c r="P40" s="400" t="s">
        <v>55</v>
      </c>
      <c r="Q40" s="400" t="s">
        <v>55</v>
      </c>
      <c r="R40" s="218" t="s">
        <v>55</v>
      </c>
      <c r="S40" s="218" t="s">
        <v>55</v>
      </c>
      <c r="T40" s="390" t="s">
        <v>55</v>
      </c>
      <c r="U40" s="341" t="s">
        <v>55</v>
      </c>
      <c r="V40" s="218" t="s">
        <v>55</v>
      </c>
      <c r="W40" s="218" t="s">
        <v>55</v>
      </c>
      <c r="X40" s="218" t="s">
        <v>55</v>
      </c>
    </row>
    <row r="41" spans="2:24" ht="15" customHeight="1" x14ac:dyDescent="0.25">
      <c r="B41" s="545"/>
      <c r="C41" s="518" t="s">
        <v>1083</v>
      </c>
      <c r="D41" s="214" t="s">
        <v>55</v>
      </c>
      <c r="E41" s="214" t="s">
        <v>55</v>
      </c>
      <c r="F41" s="224" t="s">
        <v>55</v>
      </c>
      <c r="G41" s="218" t="s">
        <v>55</v>
      </c>
      <c r="H41" s="218" t="s">
        <v>55</v>
      </c>
      <c r="I41" s="218" t="s">
        <v>55</v>
      </c>
      <c r="J41" s="218" t="s">
        <v>55</v>
      </c>
      <c r="K41" s="218" t="s">
        <v>55</v>
      </c>
      <c r="L41" s="218" t="s">
        <v>55</v>
      </c>
      <c r="M41" s="218" t="s">
        <v>55</v>
      </c>
      <c r="N41" s="218" t="s">
        <v>55</v>
      </c>
      <c r="O41" s="218" t="s">
        <v>55</v>
      </c>
      <c r="P41" s="400" t="s">
        <v>55</v>
      </c>
      <c r="Q41" s="400" t="s">
        <v>55</v>
      </c>
      <c r="R41" s="218" t="s">
        <v>55</v>
      </c>
      <c r="S41" s="218" t="s">
        <v>55</v>
      </c>
      <c r="T41" s="390" t="s">
        <v>55</v>
      </c>
      <c r="U41" s="341" t="s">
        <v>55</v>
      </c>
      <c r="V41" s="218" t="s">
        <v>55</v>
      </c>
      <c r="W41" s="218" t="s">
        <v>55</v>
      </c>
      <c r="X41" s="218" t="s">
        <v>55</v>
      </c>
    </row>
    <row r="42" spans="2:24" ht="15" customHeight="1" x14ac:dyDescent="0.25">
      <c r="B42" s="545"/>
      <c r="C42" s="518" t="s">
        <v>1084</v>
      </c>
      <c r="D42" s="214" t="s">
        <v>55</v>
      </c>
      <c r="E42" s="214" t="s">
        <v>55</v>
      </c>
      <c r="F42" s="224" t="s">
        <v>55</v>
      </c>
      <c r="G42" s="218" t="s">
        <v>55</v>
      </c>
      <c r="H42" s="218" t="s">
        <v>55</v>
      </c>
      <c r="I42" s="218" t="s">
        <v>55</v>
      </c>
      <c r="J42" s="218" t="s">
        <v>55</v>
      </c>
      <c r="K42" s="218" t="s">
        <v>55</v>
      </c>
      <c r="L42" s="218" t="s">
        <v>55</v>
      </c>
      <c r="M42" s="218" t="s">
        <v>55</v>
      </c>
      <c r="N42" s="218" t="s">
        <v>55</v>
      </c>
      <c r="O42" s="218" t="s">
        <v>55</v>
      </c>
      <c r="P42" s="400" t="s">
        <v>55</v>
      </c>
      <c r="Q42" s="400" t="s">
        <v>55</v>
      </c>
      <c r="R42" s="218" t="s">
        <v>55</v>
      </c>
      <c r="S42" s="218" t="s">
        <v>55</v>
      </c>
      <c r="T42" s="390" t="s">
        <v>55</v>
      </c>
      <c r="U42" s="341" t="s">
        <v>55</v>
      </c>
      <c r="V42" s="218" t="s">
        <v>55</v>
      </c>
      <c r="W42" s="218" t="s">
        <v>55</v>
      </c>
      <c r="X42" s="218" t="s">
        <v>55</v>
      </c>
    </row>
    <row r="43" spans="2:24" ht="24.75" customHeight="1" x14ac:dyDescent="0.25">
      <c r="B43" s="545">
        <v>6.32</v>
      </c>
      <c r="C43" s="518" t="s">
        <v>1085</v>
      </c>
      <c r="D43" s="214" t="s">
        <v>55</v>
      </c>
      <c r="E43" s="214" t="s">
        <v>55</v>
      </c>
      <c r="F43" s="554">
        <v>3</v>
      </c>
      <c r="G43" s="555"/>
      <c r="H43" s="214">
        <v>25.7</v>
      </c>
      <c r="I43" s="214">
        <v>3.86</v>
      </c>
      <c r="J43" s="215">
        <f t="shared" ref="J43" si="28">H43*I43</f>
        <v>99.201999999999998</v>
      </c>
      <c r="K43" s="216" t="s">
        <v>729</v>
      </c>
      <c r="L43" s="218" t="s">
        <v>55</v>
      </c>
      <c r="M43" s="218" t="s">
        <v>55</v>
      </c>
      <c r="N43" s="214">
        <v>180</v>
      </c>
      <c r="O43" s="214">
        <v>180</v>
      </c>
      <c r="P43" s="400">
        <f t="shared" ref="P43" si="29">N43/J43</f>
        <v>1.814479546783331</v>
      </c>
      <c r="Q43" s="400">
        <f t="shared" ref="Q43" si="30">O43/J43</f>
        <v>1.814479546783331</v>
      </c>
      <c r="R43" s="218" t="s">
        <v>55</v>
      </c>
      <c r="S43" s="214" t="s">
        <v>237</v>
      </c>
      <c r="T43" s="222" t="s">
        <v>311</v>
      </c>
    </row>
    <row r="44" spans="2:24" ht="15" customHeight="1" x14ac:dyDescent="0.25">
      <c r="B44" s="545"/>
      <c r="C44" s="518" t="s">
        <v>1086</v>
      </c>
      <c r="D44" s="214" t="s">
        <v>55</v>
      </c>
      <c r="E44" s="214" t="s">
        <v>55</v>
      </c>
      <c r="F44" s="224" t="s">
        <v>55</v>
      </c>
      <c r="G44" s="218" t="s">
        <v>55</v>
      </c>
      <c r="H44" s="224" t="s">
        <v>55</v>
      </c>
      <c r="I44" s="214" t="s">
        <v>55</v>
      </c>
      <c r="J44" s="224" t="s">
        <v>55</v>
      </c>
      <c r="K44" s="214" t="s">
        <v>55</v>
      </c>
      <c r="L44" s="224" t="s">
        <v>55</v>
      </c>
      <c r="M44" s="214" t="s">
        <v>55</v>
      </c>
      <c r="N44" s="224" t="s">
        <v>55</v>
      </c>
      <c r="O44" s="214" t="s">
        <v>55</v>
      </c>
      <c r="P44" s="400" t="s">
        <v>55</v>
      </c>
      <c r="Q44" s="400" t="s">
        <v>55</v>
      </c>
      <c r="R44" s="224" t="s">
        <v>55</v>
      </c>
      <c r="S44" s="214" t="s">
        <v>55</v>
      </c>
      <c r="T44" s="390" t="s">
        <v>55</v>
      </c>
    </row>
    <row r="45" spans="2:24" ht="15" customHeight="1" x14ac:dyDescent="0.25">
      <c r="B45" s="545"/>
      <c r="C45" s="518" t="s">
        <v>1087</v>
      </c>
      <c r="D45" s="214" t="s">
        <v>55</v>
      </c>
      <c r="E45" s="214" t="s">
        <v>55</v>
      </c>
      <c r="F45" s="224" t="s">
        <v>55</v>
      </c>
      <c r="G45" s="218" t="s">
        <v>55</v>
      </c>
      <c r="H45" s="224" t="s">
        <v>55</v>
      </c>
      <c r="I45" s="214" t="s">
        <v>55</v>
      </c>
      <c r="J45" s="224" t="s">
        <v>55</v>
      </c>
      <c r="K45" s="214" t="s">
        <v>55</v>
      </c>
      <c r="L45" s="224" t="s">
        <v>55</v>
      </c>
      <c r="M45" s="214" t="s">
        <v>55</v>
      </c>
      <c r="N45" s="224" t="s">
        <v>55</v>
      </c>
      <c r="O45" s="214" t="s">
        <v>55</v>
      </c>
      <c r="P45" s="400" t="s">
        <v>55</v>
      </c>
      <c r="Q45" s="400" t="s">
        <v>55</v>
      </c>
      <c r="R45" s="224" t="s">
        <v>55</v>
      </c>
      <c r="S45" s="214" t="s">
        <v>55</v>
      </c>
      <c r="T45" s="390" t="s">
        <v>55</v>
      </c>
    </row>
    <row r="46" spans="2:24" ht="15" customHeight="1" x14ac:dyDescent="0.25">
      <c r="B46" s="545"/>
      <c r="C46" s="518" t="s">
        <v>1088</v>
      </c>
      <c r="D46" s="214" t="s">
        <v>55</v>
      </c>
      <c r="E46" s="214" t="s">
        <v>55</v>
      </c>
      <c r="F46" s="224" t="s">
        <v>55</v>
      </c>
      <c r="G46" s="218" t="s">
        <v>55</v>
      </c>
      <c r="H46" s="224" t="s">
        <v>55</v>
      </c>
      <c r="I46" s="214" t="s">
        <v>55</v>
      </c>
      <c r="J46" s="224" t="s">
        <v>55</v>
      </c>
      <c r="K46" s="214" t="s">
        <v>55</v>
      </c>
      <c r="L46" s="224" t="s">
        <v>55</v>
      </c>
      <c r="M46" s="214" t="s">
        <v>55</v>
      </c>
      <c r="N46" s="224" t="s">
        <v>55</v>
      </c>
      <c r="O46" s="214" t="s">
        <v>55</v>
      </c>
      <c r="P46" s="400" t="s">
        <v>55</v>
      </c>
      <c r="Q46" s="400" t="s">
        <v>55</v>
      </c>
      <c r="R46" s="224" t="s">
        <v>55</v>
      </c>
      <c r="S46" s="214" t="s">
        <v>55</v>
      </c>
      <c r="T46" s="390" t="s">
        <v>55</v>
      </c>
    </row>
    <row r="47" spans="2:24" ht="15" customHeight="1" x14ac:dyDescent="0.25">
      <c r="B47" s="545"/>
      <c r="C47" s="518" t="s">
        <v>1089</v>
      </c>
      <c r="D47" s="214" t="s">
        <v>55</v>
      </c>
      <c r="E47" s="214" t="s">
        <v>55</v>
      </c>
      <c r="F47" s="224" t="s">
        <v>55</v>
      </c>
      <c r="G47" s="218" t="s">
        <v>55</v>
      </c>
      <c r="H47" s="224" t="s">
        <v>55</v>
      </c>
      <c r="I47" s="214" t="s">
        <v>55</v>
      </c>
      <c r="J47" s="224" t="s">
        <v>55</v>
      </c>
      <c r="K47" s="214" t="s">
        <v>55</v>
      </c>
      <c r="L47" s="224" t="s">
        <v>55</v>
      </c>
      <c r="M47" s="214" t="s">
        <v>55</v>
      </c>
      <c r="N47" s="224" t="s">
        <v>55</v>
      </c>
      <c r="O47" s="214" t="s">
        <v>55</v>
      </c>
      <c r="P47" s="400" t="s">
        <v>55</v>
      </c>
      <c r="Q47" s="400" t="s">
        <v>55</v>
      </c>
      <c r="R47" s="224" t="s">
        <v>55</v>
      </c>
      <c r="S47" s="214" t="s">
        <v>55</v>
      </c>
      <c r="T47" s="390" t="s">
        <v>55</v>
      </c>
    </row>
    <row r="48" spans="2:24" ht="15" customHeight="1" x14ac:dyDescent="0.25">
      <c r="B48" s="545">
        <v>6.33</v>
      </c>
      <c r="C48" s="518" t="s">
        <v>1090</v>
      </c>
      <c r="D48" s="214" t="s">
        <v>55</v>
      </c>
      <c r="E48" s="214" t="s">
        <v>55</v>
      </c>
      <c r="F48" s="554">
        <v>4</v>
      </c>
      <c r="G48" s="555"/>
      <c r="H48" s="214">
        <v>33.9</v>
      </c>
      <c r="I48" s="214">
        <v>3.86</v>
      </c>
      <c r="J48" s="215">
        <f t="shared" ref="J48" si="31">H48*I48</f>
        <v>130.85399999999998</v>
      </c>
      <c r="K48" s="214" t="s">
        <v>55</v>
      </c>
      <c r="L48" s="224" t="s">
        <v>55</v>
      </c>
      <c r="M48" s="214" t="s">
        <v>55</v>
      </c>
      <c r="N48" s="218">
        <v>240</v>
      </c>
      <c r="O48" s="218">
        <v>240</v>
      </c>
      <c r="P48" s="400">
        <f t="shared" ref="P48" si="32">N48/J48</f>
        <v>1.8341051859324133</v>
      </c>
      <c r="Q48" s="400">
        <f t="shared" ref="Q48" si="33">O48/J48</f>
        <v>1.8341051859324133</v>
      </c>
      <c r="R48" s="224" t="s">
        <v>55</v>
      </c>
      <c r="S48" s="214" t="s">
        <v>237</v>
      </c>
      <c r="T48" s="222" t="s">
        <v>311</v>
      </c>
    </row>
    <row r="49" spans="2:30" ht="15" customHeight="1" x14ac:dyDescent="0.25">
      <c r="B49" s="545"/>
      <c r="C49" s="518" t="s">
        <v>1091</v>
      </c>
      <c r="D49" s="214" t="s">
        <v>55</v>
      </c>
      <c r="E49" s="214" t="s">
        <v>55</v>
      </c>
      <c r="F49" s="224" t="s">
        <v>55</v>
      </c>
      <c r="G49" s="218" t="s">
        <v>55</v>
      </c>
      <c r="H49" s="224" t="s">
        <v>55</v>
      </c>
      <c r="I49" s="214" t="s">
        <v>55</v>
      </c>
      <c r="J49" s="224" t="s">
        <v>55</v>
      </c>
      <c r="K49" s="214" t="s">
        <v>55</v>
      </c>
      <c r="L49" s="224" t="s">
        <v>55</v>
      </c>
      <c r="M49" s="214" t="s">
        <v>55</v>
      </c>
      <c r="N49" s="224" t="s">
        <v>55</v>
      </c>
      <c r="O49" s="214" t="s">
        <v>55</v>
      </c>
      <c r="P49" s="400" t="s">
        <v>55</v>
      </c>
      <c r="Q49" s="400" t="s">
        <v>55</v>
      </c>
      <c r="R49" s="224" t="s">
        <v>55</v>
      </c>
      <c r="S49" s="214" t="s">
        <v>55</v>
      </c>
      <c r="T49" s="390" t="s">
        <v>55</v>
      </c>
    </row>
    <row r="50" spans="2:30" ht="15" customHeight="1" x14ac:dyDescent="0.25">
      <c r="B50" s="545"/>
      <c r="C50" s="518" t="s">
        <v>1083</v>
      </c>
      <c r="D50" s="214" t="s">
        <v>55</v>
      </c>
      <c r="E50" s="214" t="s">
        <v>55</v>
      </c>
      <c r="F50" s="224" t="s">
        <v>55</v>
      </c>
      <c r="G50" s="218" t="s">
        <v>55</v>
      </c>
      <c r="H50" s="224" t="s">
        <v>55</v>
      </c>
      <c r="I50" s="214" t="s">
        <v>55</v>
      </c>
      <c r="J50" s="224" t="s">
        <v>55</v>
      </c>
      <c r="K50" s="214" t="s">
        <v>55</v>
      </c>
      <c r="L50" s="224" t="s">
        <v>55</v>
      </c>
      <c r="M50" s="214" t="s">
        <v>55</v>
      </c>
      <c r="N50" s="224" t="s">
        <v>55</v>
      </c>
      <c r="O50" s="214" t="s">
        <v>55</v>
      </c>
      <c r="P50" s="400" t="s">
        <v>55</v>
      </c>
      <c r="Q50" s="400" t="s">
        <v>55</v>
      </c>
      <c r="R50" s="224" t="s">
        <v>55</v>
      </c>
      <c r="S50" s="214" t="s">
        <v>55</v>
      </c>
      <c r="T50" s="389" t="s">
        <v>55</v>
      </c>
    </row>
    <row r="51" spans="2:30" ht="15" customHeight="1" x14ac:dyDescent="0.25">
      <c r="B51" s="545"/>
      <c r="C51" s="518" t="s">
        <v>1062</v>
      </c>
      <c r="D51" s="214" t="s">
        <v>55</v>
      </c>
      <c r="E51" s="214" t="s">
        <v>55</v>
      </c>
      <c r="F51" s="224" t="s">
        <v>55</v>
      </c>
      <c r="G51" s="218" t="s">
        <v>55</v>
      </c>
      <c r="H51" s="224" t="s">
        <v>55</v>
      </c>
      <c r="I51" s="214" t="s">
        <v>55</v>
      </c>
      <c r="J51" s="224" t="s">
        <v>55</v>
      </c>
      <c r="K51" s="214" t="s">
        <v>55</v>
      </c>
      <c r="L51" s="224" t="s">
        <v>55</v>
      </c>
      <c r="M51" s="214" t="s">
        <v>55</v>
      </c>
      <c r="N51" s="224" t="s">
        <v>55</v>
      </c>
      <c r="O51" s="214" t="s">
        <v>55</v>
      </c>
      <c r="P51" s="400" t="s">
        <v>55</v>
      </c>
      <c r="Q51" s="400" t="s">
        <v>55</v>
      </c>
      <c r="R51" s="224" t="s">
        <v>55</v>
      </c>
      <c r="S51" s="214" t="s">
        <v>55</v>
      </c>
      <c r="T51" s="389" t="s">
        <v>55</v>
      </c>
    </row>
    <row r="52" spans="2:30" ht="21.75" customHeight="1" x14ac:dyDescent="0.25">
      <c r="B52" s="545">
        <v>6.34</v>
      </c>
      <c r="C52" s="518" t="s">
        <v>1092</v>
      </c>
      <c r="D52" s="214" t="s">
        <v>55</v>
      </c>
      <c r="E52" s="214" t="s">
        <v>55</v>
      </c>
      <c r="F52" s="214">
        <v>1</v>
      </c>
      <c r="G52" s="218" t="s">
        <v>55</v>
      </c>
      <c r="H52" s="214">
        <v>20.2</v>
      </c>
      <c r="I52" s="214">
        <v>3.86</v>
      </c>
      <c r="J52" s="215">
        <f t="shared" ref="J52" si="34">H52*I52</f>
        <v>77.971999999999994</v>
      </c>
      <c r="K52" s="216" t="s">
        <v>729</v>
      </c>
      <c r="L52" s="224" t="s">
        <v>55</v>
      </c>
      <c r="M52" s="214" t="s">
        <v>55</v>
      </c>
      <c r="N52" s="214">
        <v>60</v>
      </c>
      <c r="O52" s="214">
        <v>60</v>
      </c>
      <c r="P52" s="400">
        <f t="shared" ref="P52" si="35">N52/J52</f>
        <v>0.76950700251372295</v>
      </c>
      <c r="Q52" s="400">
        <f t="shared" ref="Q52" si="36">O52/J52</f>
        <v>0.76950700251372295</v>
      </c>
      <c r="R52" s="224" t="s">
        <v>55</v>
      </c>
      <c r="S52" s="214" t="s">
        <v>237</v>
      </c>
      <c r="T52" s="222" t="s">
        <v>311</v>
      </c>
    </row>
    <row r="53" spans="2:30" ht="15" customHeight="1" x14ac:dyDescent="0.25">
      <c r="B53" s="545"/>
      <c r="C53" s="518" t="s">
        <v>1093</v>
      </c>
      <c r="D53" s="214" t="s">
        <v>55</v>
      </c>
      <c r="E53" s="214" t="s">
        <v>55</v>
      </c>
      <c r="F53" s="214" t="s">
        <v>55</v>
      </c>
      <c r="G53" s="218" t="s">
        <v>55</v>
      </c>
      <c r="H53" s="224" t="s">
        <v>55</v>
      </c>
      <c r="I53" s="214" t="s">
        <v>55</v>
      </c>
      <c r="J53" s="224" t="s">
        <v>55</v>
      </c>
      <c r="K53" s="214" t="s">
        <v>55</v>
      </c>
      <c r="L53" s="224" t="s">
        <v>55</v>
      </c>
      <c r="M53" s="214" t="s">
        <v>55</v>
      </c>
      <c r="N53" s="224" t="s">
        <v>55</v>
      </c>
      <c r="O53" s="214" t="s">
        <v>55</v>
      </c>
      <c r="P53" s="400" t="s">
        <v>55</v>
      </c>
      <c r="Q53" s="400" t="s">
        <v>55</v>
      </c>
      <c r="R53" s="224" t="s">
        <v>55</v>
      </c>
      <c r="S53" s="214" t="s">
        <v>55</v>
      </c>
      <c r="T53" s="389" t="s">
        <v>55</v>
      </c>
    </row>
    <row r="54" spans="2:30" ht="15" customHeight="1" x14ac:dyDescent="0.25">
      <c r="B54" s="545">
        <v>6.35</v>
      </c>
      <c r="C54" s="518" t="s">
        <v>1047</v>
      </c>
      <c r="D54" s="214" t="s">
        <v>55</v>
      </c>
      <c r="E54" s="214" t="s">
        <v>55</v>
      </c>
      <c r="F54" s="214" t="s">
        <v>55</v>
      </c>
      <c r="G54" s="218" t="s">
        <v>55</v>
      </c>
      <c r="H54" s="214">
        <v>5.6</v>
      </c>
      <c r="I54" s="214">
        <v>3.86</v>
      </c>
      <c r="J54" s="215">
        <f t="shared" ref="J54:J56" si="37">H54*I54</f>
        <v>21.616</v>
      </c>
      <c r="K54" s="557" t="s">
        <v>55</v>
      </c>
      <c r="L54" s="558">
        <v>1</v>
      </c>
      <c r="M54" s="214" t="s">
        <v>55</v>
      </c>
      <c r="N54" s="224" t="s">
        <v>55</v>
      </c>
      <c r="O54" s="214">
        <v>20</v>
      </c>
      <c r="P54" s="400" t="s">
        <v>55</v>
      </c>
      <c r="Q54" s="400" t="s">
        <v>55</v>
      </c>
      <c r="R54" s="224" t="s">
        <v>55</v>
      </c>
      <c r="S54" s="214" t="s">
        <v>55</v>
      </c>
      <c r="T54" s="222" t="s">
        <v>311</v>
      </c>
    </row>
    <row r="55" spans="2:30" ht="21.75" customHeight="1" x14ac:dyDescent="0.25">
      <c r="B55" s="545">
        <v>6.36</v>
      </c>
      <c r="C55" s="518" t="s">
        <v>1048</v>
      </c>
      <c r="D55" s="214" t="s">
        <v>55</v>
      </c>
      <c r="E55" s="214" t="s">
        <v>55</v>
      </c>
      <c r="F55" s="214">
        <v>1</v>
      </c>
      <c r="G55" s="218" t="s">
        <v>55</v>
      </c>
      <c r="H55" s="214">
        <v>16</v>
      </c>
      <c r="I55" s="214">
        <v>3.86</v>
      </c>
      <c r="J55" s="215">
        <f t="shared" si="37"/>
        <v>61.76</v>
      </c>
      <c r="K55" s="216" t="s">
        <v>729</v>
      </c>
      <c r="L55" s="558" t="s">
        <v>55</v>
      </c>
      <c r="M55" s="214" t="s">
        <v>55</v>
      </c>
      <c r="N55" s="214">
        <v>60</v>
      </c>
      <c r="O55" s="214">
        <v>60</v>
      </c>
      <c r="P55" s="400">
        <f t="shared" ref="P55" si="38">N55/J55</f>
        <v>0.97150259067357514</v>
      </c>
      <c r="Q55" s="400">
        <f t="shared" ref="Q55" si="39">O55/J55</f>
        <v>0.97150259067357514</v>
      </c>
      <c r="R55" s="224" t="s">
        <v>55</v>
      </c>
      <c r="S55" s="214" t="s">
        <v>237</v>
      </c>
      <c r="T55" s="222" t="s">
        <v>311</v>
      </c>
    </row>
    <row r="56" spans="2:30" ht="28.5" customHeight="1" x14ac:dyDescent="0.25">
      <c r="B56" s="545">
        <v>6.37</v>
      </c>
      <c r="C56" s="518" t="s">
        <v>1063</v>
      </c>
      <c r="D56" s="214" t="s">
        <v>55</v>
      </c>
      <c r="E56" s="214" t="s">
        <v>55</v>
      </c>
      <c r="F56" s="214">
        <v>21</v>
      </c>
      <c r="G56" s="555" t="s">
        <v>55</v>
      </c>
      <c r="H56" s="214">
        <v>176.9</v>
      </c>
      <c r="I56" s="214">
        <v>3.86</v>
      </c>
      <c r="J56" s="215">
        <f t="shared" si="37"/>
        <v>682.83399999999995</v>
      </c>
      <c r="K56" s="216" t="s">
        <v>729</v>
      </c>
      <c r="L56" s="558" t="s">
        <v>55</v>
      </c>
      <c r="M56" s="214" t="s">
        <v>55</v>
      </c>
      <c r="N56" s="214">
        <f>1740-60*8</f>
        <v>1260</v>
      </c>
      <c r="O56" s="214">
        <v>960</v>
      </c>
      <c r="P56" s="400">
        <f t="shared" ref="P56" si="40">N56/J56</f>
        <v>1.8452508223082038</v>
      </c>
      <c r="Q56" s="400">
        <f t="shared" ref="Q56" si="41">O56/J56</f>
        <v>1.4059053884252981</v>
      </c>
      <c r="R56" s="224" t="s">
        <v>55</v>
      </c>
      <c r="S56" s="214" t="s">
        <v>237</v>
      </c>
      <c r="T56" s="222" t="s">
        <v>311</v>
      </c>
      <c r="Z56" s="383" t="s">
        <v>1132</v>
      </c>
      <c r="AA56"/>
      <c r="AB56"/>
      <c r="AC56"/>
      <c r="AD56"/>
    </row>
    <row r="57" spans="2:30" ht="15" customHeight="1" x14ac:dyDescent="0.25">
      <c r="B57" s="545"/>
      <c r="C57" s="518" t="s">
        <v>1064</v>
      </c>
      <c r="D57" s="214" t="s">
        <v>55</v>
      </c>
      <c r="E57" s="214" t="s">
        <v>55</v>
      </c>
      <c r="F57" s="214" t="s">
        <v>55</v>
      </c>
      <c r="G57" s="218" t="s">
        <v>55</v>
      </c>
      <c r="H57" s="224" t="s">
        <v>55</v>
      </c>
      <c r="I57" s="214" t="s">
        <v>55</v>
      </c>
      <c r="J57" s="224" t="s">
        <v>55</v>
      </c>
      <c r="K57" s="214" t="s">
        <v>55</v>
      </c>
      <c r="L57" s="224" t="s">
        <v>55</v>
      </c>
      <c r="M57" s="214" t="s">
        <v>55</v>
      </c>
      <c r="N57" s="224" t="s">
        <v>55</v>
      </c>
      <c r="O57" s="214" t="s">
        <v>55</v>
      </c>
      <c r="P57" s="400" t="s">
        <v>55</v>
      </c>
      <c r="Q57" s="400" t="s">
        <v>55</v>
      </c>
      <c r="R57" s="224" t="s">
        <v>55</v>
      </c>
      <c r="S57" s="214" t="s">
        <v>55</v>
      </c>
      <c r="T57" s="389" t="s">
        <v>55</v>
      </c>
    </row>
    <row r="58" spans="2:30" ht="15" customHeight="1" x14ac:dyDescent="0.25">
      <c r="B58" s="545"/>
      <c r="C58" s="518" t="s">
        <v>1065</v>
      </c>
      <c r="D58" s="214" t="s">
        <v>55</v>
      </c>
      <c r="E58" s="214" t="s">
        <v>55</v>
      </c>
      <c r="F58" s="214" t="s">
        <v>55</v>
      </c>
      <c r="G58" s="218" t="s">
        <v>55</v>
      </c>
      <c r="H58" s="224" t="s">
        <v>55</v>
      </c>
      <c r="I58" s="214" t="s">
        <v>55</v>
      </c>
      <c r="J58" s="224" t="s">
        <v>55</v>
      </c>
      <c r="K58" s="214" t="s">
        <v>55</v>
      </c>
      <c r="L58" s="224" t="s">
        <v>55</v>
      </c>
      <c r="M58" s="214" t="s">
        <v>55</v>
      </c>
      <c r="N58" s="224" t="s">
        <v>55</v>
      </c>
      <c r="O58" s="214" t="s">
        <v>55</v>
      </c>
      <c r="P58" s="400" t="s">
        <v>55</v>
      </c>
      <c r="Q58" s="400" t="s">
        <v>55</v>
      </c>
      <c r="R58" s="224" t="s">
        <v>55</v>
      </c>
      <c r="S58" s="214" t="s">
        <v>55</v>
      </c>
      <c r="T58" s="389" t="s">
        <v>55</v>
      </c>
    </row>
    <row r="59" spans="2:30" ht="15" customHeight="1" x14ac:dyDescent="0.25">
      <c r="B59" s="545"/>
      <c r="C59" s="518" t="s">
        <v>1066</v>
      </c>
      <c r="D59" s="214" t="s">
        <v>55</v>
      </c>
      <c r="E59" s="214" t="s">
        <v>55</v>
      </c>
      <c r="F59" s="214" t="s">
        <v>55</v>
      </c>
      <c r="G59" s="218" t="s">
        <v>55</v>
      </c>
      <c r="H59" s="224" t="s">
        <v>55</v>
      </c>
      <c r="I59" s="214" t="s">
        <v>55</v>
      </c>
      <c r="J59" s="224" t="s">
        <v>55</v>
      </c>
      <c r="K59" s="214" t="s">
        <v>55</v>
      </c>
      <c r="L59" s="224" t="s">
        <v>55</v>
      </c>
      <c r="M59" s="214" t="s">
        <v>55</v>
      </c>
      <c r="N59" s="224" t="s">
        <v>55</v>
      </c>
      <c r="O59" s="214" t="s">
        <v>55</v>
      </c>
      <c r="P59" s="400" t="s">
        <v>55</v>
      </c>
      <c r="Q59" s="400" t="s">
        <v>55</v>
      </c>
      <c r="R59" s="224" t="s">
        <v>55</v>
      </c>
      <c r="S59" s="214" t="s">
        <v>55</v>
      </c>
      <c r="T59" s="389" t="s">
        <v>55</v>
      </c>
    </row>
    <row r="60" spans="2:30" ht="15" customHeight="1" x14ac:dyDescent="0.25">
      <c r="B60" s="545"/>
      <c r="C60" s="518" t="s">
        <v>1067</v>
      </c>
      <c r="D60" s="214" t="s">
        <v>55</v>
      </c>
      <c r="E60" s="214" t="s">
        <v>55</v>
      </c>
      <c r="F60" s="214" t="s">
        <v>55</v>
      </c>
      <c r="G60" s="218" t="s">
        <v>55</v>
      </c>
      <c r="H60" s="224" t="s">
        <v>55</v>
      </c>
      <c r="I60" s="214" t="s">
        <v>55</v>
      </c>
      <c r="J60" s="224" t="s">
        <v>55</v>
      </c>
      <c r="K60" s="214" t="s">
        <v>55</v>
      </c>
      <c r="L60" s="224" t="s">
        <v>55</v>
      </c>
      <c r="M60" s="214" t="s">
        <v>55</v>
      </c>
      <c r="N60" s="224" t="s">
        <v>55</v>
      </c>
      <c r="O60" s="214" t="s">
        <v>55</v>
      </c>
      <c r="P60" s="400" t="s">
        <v>55</v>
      </c>
      <c r="Q60" s="400" t="s">
        <v>55</v>
      </c>
      <c r="R60" s="224" t="s">
        <v>55</v>
      </c>
      <c r="S60" s="214" t="s">
        <v>55</v>
      </c>
      <c r="T60" s="389" t="s">
        <v>55</v>
      </c>
    </row>
    <row r="61" spans="2:30" ht="15" customHeight="1" x14ac:dyDescent="0.25">
      <c r="B61" s="545"/>
      <c r="C61" s="518" t="s">
        <v>1062</v>
      </c>
      <c r="D61" s="214" t="s">
        <v>55</v>
      </c>
      <c r="E61" s="214" t="s">
        <v>55</v>
      </c>
      <c r="F61" s="214" t="s">
        <v>55</v>
      </c>
      <c r="G61" s="218" t="s">
        <v>55</v>
      </c>
      <c r="H61" s="224" t="s">
        <v>55</v>
      </c>
      <c r="I61" s="214" t="s">
        <v>55</v>
      </c>
      <c r="J61" s="224" t="s">
        <v>55</v>
      </c>
      <c r="K61" s="214" t="s">
        <v>55</v>
      </c>
      <c r="L61" s="224" t="s">
        <v>55</v>
      </c>
      <c r="M61" s="214" t="s">
        <v>55</v>
      </c>
      <c r="N61" s="224" t="s">
        <v>55</v>
      </c>
      <c r="O61" s="214" t="s">
        <v>55</v>
      </c>
      <c r="P61" s="400" t="s">
        <v>55</v>
      </c>
      <c r="Q61" s="400" t="s">
        <v>55</v>
      </c>
      <c r="R61" s="224" t="s">
        <v>55</v>
      </c>
      <c r="S61" s="214" t="s">
        <v>55</v>
      </c>
      <c r="T61" s="389" t="s">
        <v>55</v>
      </c>
    </row>
    <row r="62" spans="2:30" ht="15" customHeight="1" x14ac:dyDescent="0.25">
      <c r="B62" s="545">
        <v>6.38</v>
      </c>
      <c r="C62" s="518" t="s">
        <v>1049</v>
      </c>
      <c r="D62" s="214" t="s">
        <v>560</v>
      </c>
      <c r="E62" s="214" t="s">
        <v>55</v>
      </c>
      <c r="F62" s="214" t="s">
        <v>55</v>
      </c>
      <c r="G62" s="218" t="s">
        <v>55</v>
      </c>
      <c r="H62" s="214">
        <v>16</v>
      </c>
      <c r="I62" s="214">
        <v>3.86</v>
      </c>
      <c r="J62" s="215">
        <f t="shared" ref="J62:J63" si="42">H62*I62</f>
        <v>61.76</v>
      </c>
      <c r="K62" s="214" t="s">
        <v>55</v>
      </c>
      <c r="L62" s="224">
        <v>1</v>
      </c>
      <c r="M62" s="214" t="s">
        <v>55</v>
      </c>
      <c r="N62" s="224" t="s">
        <v>55</v>
      </c>
      <c r="O62" s="214">
        <v>60</v>
      </c>
      <c r="P62" s="400" t="s">
        <v>55</v>
      </c>
      <c r="Q62" s="400">
        <f t="shared" ref="Q62" si="43">O62/J62</f>
        <v>0.97150259067357514</v>
      </c>
      <c r="R62" s="224" t="s">
        <v>55</v>
      </c>
      <c r="S62" s="214" t="s">
        <v>55</v>
      </c>
      <c r="T62" s="222" t="s">
        <v>311</v>
      </c>
    </row>
    <row r="63" spans="2:30" ht="25.5" customHeight="1" x14ac:dyDescent="0.25">
      <c r="B63" s="545">
        <v>6.39</v>
      </c>
      <c r="C63" s="518" t="s">
        <v>1055</v>
      </c>
      <c r="D63" s="214" t="s">
        <v>55</v>
      </c>
      <c r="E63" s="214" t="s">
        <v>55</v>
      </c>
      <c r="F63" s="214">
        <v>2</v>
      </c>
      <c r="G63" s="218" t="s">
        <v>55</v>
      </c>
      <c r="H63" s="214">
        <v>15.4</v>
      </c>
      <c r="I63" s="214">
        <v>3.86</v>
      </c>
      <c r="J63" s="215">
        <f t="shared" si="42"/>
        <v>59.444000000000003</v>
      </c>
      <c r="K63" s="216" t="s">
        <v>729</v>
      </c>
      <c r="L63" s="224" t="s">
        <v>55</v>
      </c>
      <c r="M63" s="214" t="s">
        <v>55</v>
      </c>
      <c r="N63" s="214">
        <v>120</v>
      </c>
      <c r="O63" s="214">
        <v>120</v>
      </c>
      <c r="P63" s="400">
        <f t="shared" ref="P63" si="44">N63/J63</f>
        <v>2.0187066819191171</v>
      </c>
      <c r="Q63" s="400">
        <f t="shared" ref="Q63" si="45">O63/J63</f>
        <v>2.0187066819191171</v>
      </c>
      <c r="R63" s="224" t="s">
        <v>55</v>
      </c>
      <c r="S63" s="214" t="s">
        <v>237</v>
      </c>
      <c r="T63" s="222" t="s">
        <v>311</v>
      </c>
    </row>
    <row r="64" spans="2:30" ht="15" customHeight="1" x14ac:dyDescent="0.25">
      <c r="B64" s="545"/>
      <c r="C64" s="518" t="s">
        <v>1056</v>
      </c>
      <c r="D64" s="214" t="s">
        <v>55</v>
      </c>
      <c r="E64" s="214" t="s">
        <v>55</v>
      </c>
      <c r="F64" s="214" t="s">
        <v>55</v>
      </c>
      <c r="G64" s="218" t="s">
        <v>55</v>
      </c>
      <c r="H64" s="224" t="s">
        <v>55</v>
      </c>
      <c r="I64" s="214" t="s">
        <v>55</v>
      </c>
      <c r="J64" s="224" t="s">
        <v>55</v>
      </c>
      <c r="K64" s="214" t="s">
        <v>55</v>
      </c>
      <c r="L64" s="224" t="s">
        <v>55</v>
      </c>
      <c r="M64" s="214" t="s">
        <v>55</v>
      </c>
      <c r="N64" s="224" t="s">
        <v>55</v>
      </c>
      <c r="O64" s="214" t="s">
        <v>55</v>
      </c>
      <c r="P64" s="400" t="s">
        <v>55</v>
      </c>
      <c r="Q64" s="400" t="s">
        <v>55</v>
      </c>
      <c r="R64" s="224" t="s">
        <v>55</v>
      </c>
      <c r="S64" s="214" t="s">
        <v>55</v>
      </c>
      <c r="T64" s="389" t="s">
        <v>55</v>
      </c>
    </row>
    <row r="65" spans="2:20" ht="15" customHeight="1" x14ac:dyDescent="0.25">
      <c r="B65" s="545"/>
      <c r="C65" s="518" t="s">
        <v>1057</v>
      </c>
      <c r="D65" s="214" t="s">
        <v>55</v>
      </c>
      <c r="E65" s="214" t="s">
        <v>55</v>
      </c>
      <c r="F65" s="214" t="s">
        <v>55</v>
      </c>
      <c r="G65" s="218" t="s">
        <v>55</v>
      </c>
      <c r="H65" s="224" t="s">
        <v>55</v>
      </c>
      <c r="I65" s="214" t="s">
        <v>55</v>
      </c>
      <c r="J65" s="224" t="s">
        <v>55</v>
      </c>
      <c r="K65" s="214" t="s">
        <v>55</v>
      </c>
      <c r="L65" s="224" t="s">
        <v>55</v>
      </c>
      <c r="M65" s="214" t="s">
        <v>55</v>
      </c>
      <c r="N65" s="224" t="s">
        <v>55</v>
      </c>
      <c r="O65" s="214" t="s">
        <v>55</v>
      </c>
      <c r="P65" s="400" t="s">
        <v>55</v>
      </c>
      <c r="Q65" s="400" t="s">
        <v>55</v>
      </c>
      <c r="R65" s="224" t="s">
        <v>55</v>
      </c>
      <c r="S65" s="214" t="s">
        <v>55</v>
      </c>
      <c r="T65" s="389" t="s">
        <v>55</v>
      </c>
    </row>
    <row r="66" spans="2:20" ht="15" customHeight="1" x14ac:dyDescent="0.25">
      <c r="B66" s="545"/>
      <c r="C66" s="518" t="s">
        <v>1058</v>
      </c>
      <c r="D66" s="214" t="s">
        <v>55</v>
      </c>
      <c r="E66" s="214" t="s">
        <v>55</v>
      </c>
      <c r="F66" s="214" t="s">
        <v>55</v>
      </c>
      <c r="G66" s="218" t="s">
        <v>55</v>
      </c>
      <c r="H66" s="224" t="s">
        <v>55</v>
      </c>
      <c r="I66" s="214" t="s">
        <v>55</v>
      </c>
      <c r="J66" s="224" t="s">
        <v>55</v>
      </c>
      <c r="K66" s="214" t="s">
        <v>55</v>
      </c>
      <c r="L66" s="224" t="s">
        <v>55</v>
      </c>
      <c r="M66" s="214" t="s">
        <v>55</v>
      </c>
      <c r="N66" s="224" t="s">
        <v>55</v>
      </c>
      <c r="O66" s="214" t="s">
        <v>55</v>
      </c>
      <c r="P66" s="400" t="s">
        <v>55</v>
      </c>
      <c r="Q66" s="400" t="s">
        <v>55</v>
      </c>
      <c r="R66" s="224" t="s">
        <v>55</v>
      </c>
      <c r="S66" s="214" t="s">
        <v>55</v>
      </c>
      <c r="T66" s="389" t="s">
        <v>55</v>
      </c>
    </row>
    <row r="67" spans="2:20" ht="15" customHeight="1" x14ac:dyDescent="0.25">
      <c r="B67" s="545"/>
      <c r="C67" s="518" t="s">
        <v>1059</v>
      </c>
      <c r="D67" s="214" t="s">
        <v>55</v>
      </c>
      <c r="E67" s="214" t="s">
        <v>55</v>
      </c>
      <c r="F67" s="214" t="s">
        <v>55</v>
      </c>
      <c r="G67" s="218" t="s">
        <v>55</v>
      </c>
      <c r="H67" s="224" t="s">
        <v>55</v>
      </c>
      <c r="I67" s="214" t="s">
        <v>55</v>
      </c>
      <c r="J67" s="224" t="s">
        <v>55</v>
      </c>
      <c r="K67" s="214" t="s">
        <v>55</v>
      </c>
      <c r="L67" s="224" t="s">
        <v>55</v>
      </c>
      <c r="M67" s="214" t="s">
        <v>55</v>
      </c>
      <c r="N67" s="224" t="s">
        <v>55</v>
      </c>
      <c r="O67" s="214" t="s">
        <v>55</v>
      </c>
      <c r="P67" s="400" t="s">
        <v>55</v>
      </c>
      <c r="Q67" s="400" t="s">
        <v>55</v>
      </c>
      <c r="R67" s="224" t="s">
        <v>55</v>
      </c>
      <c r="S67" s="214" t="s">
        <v>55</v>
      </c>
      <c r="T67" s="389" t="s">
        <v>55</v>
      </c>
    </row>
    <row r="68" spans="2:20" ht="24" customHeight="1" x14ac:dyDescent="0.25">
      <c r="B68" s="545">
        <v>6.4</v>
      </c>
      <c r="C68" s="518" t="s">
        <v>1060</v>
      </c>
      <c r="D68" s="214" t="s">
        <v>55</v>
      </c>
      <c r="E68" s="214" t="s">
        <v>55</v>
      </c>
      <c r="F68" s="214">
        <v>3</v>
      </c>
      <c r="G68" s="218" t="s">
        <v>55</v>
      </c>
      <c r="H68" s="214">
        <v>20.7</v>
      </c>
      <c r="I68" s="214">
        <v>3.86</v>
      </c>
      <c r="J68" s="215">
        <f t="shared" ref="J68" si="46">H68*I68</f>
        <v>79.902000000000001</v>
      </c>
      <c r="K68" s="216" t="s">
        <v>729</v>
      </c>
      <c r="L68" s="224" t="s">
        <v>55</v>
      </c>
      <c r="M68" s="214" t="s">
        <v>55</v>
      </c>
      <c r="N68" s="214">
        <v>180</v>
      </c>
      <c r="O68" s="214">
        <v>180</v>
      </c>
      <c r="P68" s="400">
        <f t="shared" ref="P68" si="47">N68/J68</f>
        <v>2.2527596305474207</v>
      </c>
      <c r="Q68" s="400">
        <f t="shared" ref="Q68" si="48">O68/J68</f>
        <v>2.2527596305474207</v>
      </c>
      <c r="R68" s="224" t="s">
        <v>55</v>
      </c>
      <c r="S68" s="214" t="s">
        <v>237</v>
      </c>
      <c r="T68" s="222" t="s">
        <v>311</v>
      </c>
    </row>
    <row r="69" spans="2:20" ht="15" customHeight="1" x14ac:dyDescent="0.25">
      <c r="B69" s="545"/>
      <c r="C69" s="518" t="s">
        <v>1061</v>
      </c>
      <c r="D69" s="214" t="s">
        <v>55</v>
      </c>
      <c r="E69" s="214" t="s">
        <v>55</v>
      </c>
      <c r="F69" s="214" t="s">
        <v>55</v>
      </c>
      <c r="G69" s="214" t="s">
        <v>55</v>
      </c>
      <c r="H69" s="214" t="s">
        <v>55</v>
      </c>
      <c r="I69" s="214" t="s">
        <v>55</v>
      </c>
      <c r="J69" s="214" t="s">
        <v>55</v>
      </c>
      <c r="K69" s="214" t="s">
        <v>55</v>
      </c>
      <c r="L69" s="214" t="s">
        <v>55</v>
      </c>
      <c r="M69" s="214" t="s">
        <v>55</v>
      </c>
      <c r="N69" s="214" t="s">
        <v>55</v>
      </c>
      <c r="O69" s="214" t="s">
        <v>55</v>
      </c>
      <c r="P69" s="400" t="s">
        <v>55</v>
      </c>
      <c r="Q69" s="400" t="s">
        <v>55</v>
      </c>
      <c r="R69" s="214" t="s">
        <v>55</v>
      </c>
      <c r="S69" s="214" t="s">
        <v>55</v>
      </c>
      <c r="T69" s="222" t="s">
        <v>55</v>
      </c>
    </row>
    <row r="70" spans="2:20" ht="15" customHeight="1" x14ac:dyDescent="0.25">
      <c r="B70" s="545"/>
      <c r="C70" s="518" t="s">
        <v>1062</v>
      </c>
      <c r="D70" s="214" t="s">
        <v>55</v>
      </c>
      <c r="E70" s="214" t="s">
        <v>55</v>
      </c>
      <c r="F70" s="214" t="s">
        <v>55</v>
      </c>
      <c r="G70" s="214" t="s">
        <v>55</v>
      </c>
      <c r="H70" s="214" t="s">
        <v>55</v>
      </c>
      <c r="I70" s="214" t="s">
        <v>55</v>
      </c>
      <c r="J70" s="214" t="s">
        <v>55</v>
      </c>
      <c r="K70" s="214" t="s">
        <v>55</v>
      </c>
      <c r="L70" s="214" t="s">
        <v>55</v>
      </c>
      <c r="M70" s="214" t="s">
        <v>55</v>
      </c>
      <c r="N70" s="214" t="s">
        <v>55</v>
      </c>
      <c r="O70" s="214" t="s">
        <v>55</v>
      </c>
      <c r="P70" s="400" t="s">
        <v>55</v>
      </c>
      <c r="Q70" s="400" t="s">
        <v>55</v>
      </c>
      <c r="R70" s="214" t="s">
        <v>55</v>
      </c>
      <c r="S70" s="214" t="s">
        <v>55</v>
      </c>
      <c r="T70" s="222" t="s">
        <v>55</v>
      </c>
    </row>
    <row r="71" spans="2:20" ht="21" customHeight="1" x14ac:dyDescent="0.25">
      <c r="B71" s="545">
        <v>6.41</v>
      </c>
      <c r="C71" s="518" t="s">
        <v>1068</v>
      </c>
      <c r="D71" s="214" t="s">
        <v>55</v>
      </c>
      <c r="E71" s="214" t="s">
        <v>55</v>
      </c>
      <c r="F71" s="214">
        <v>2</v>
      </c>
      <c r="G71" s="555"/>
      <c r="H71" s="214">
        <v>13.7</v>
      </c>
      <c r="I71" s="214">
        <v>3.86</v>
      </c>
      <c r="J71" s="215">
        <f t="shared" ref="J71" si="49">H71*I71</f>
        <v>52.881999999999998</v>
      </c>
      <c r="K71" s="216" t="s">
        <v>729</v>
      </c>
      <c r="L71" s="224" t="s">
        <v>55</v>
      </c>
      <c r="M71" s="214" t="s">
        <v>55</v>
      </c>
      <c r="N71" s="214">
        <v>120</v>
      </c>
      <c r="O71" s="214">
        <v>120</v>
      </c>
      <c r="P71" s="400">
        <f t="shared" ref="P71" si="50">N71/J71</f>
        <v>2.2692031315003214</v>
      </c>
      <c r="Q71" s="400">
        <f t="shared" ref="Q71" si="51">O71/J71</f>
        <v>2.2692031315003214</v>
      </c>
      <c r="R71" s="224" t="s">
        <v>55</v>
      </c>
      <c r="S71" s="214" t="s">
        <v>237</v>
      </c>
      <c r="T71" s="222" t="s">
        <v>311</v>
      </c>
    </row>
    <row r="72" spans="2:20" ht="15" customHeight="1" x14ac:dyDescent="0.25">
      <c r="B72" s="545"/>
      <c r="C72" s="518" t="s">
        <v>1069</v>
      </c>
      <c r="D72" s="214" t="s">
        <v>55</v>
      </c>
      <c r="E72" s="214" t="s">
        <v>55</v>
      </c>
      <c r="F72" s="214" t="s">
        <v>55</v>
      </c>
      <c r="G72" s="214" t="s">
        <v>55</v>
      </c>
      <c r="H72" s="214" t="s">
        <v>55</v>
      </c>
      <c r="I72" s="214" t="s">
        <v>55</v>
      </c>
      <c r="J72" s="214" t="s">
        <v>55</v>
      </c>
      <c r="K72" s="214" t="s">
        <v>55</v>
      </c>
      <c r="L72" s="214" t="s">
        <v>55</v>
      </c>
      <c r="M72" s="214" t="s">
        <v>55</v>
      </c>
      <c r="N72" s="214" t="s">
        <v>55</v>
      </c>
      <c r="O72" s="214" t="s">
        <v>55</v>
      </c>
      <c r="P72" s="400" t="s">
        <v>55</v>
      </c>
      <c r="Q72" s="400" t="s">
        <v>55</v>
      </c>
      <c r="R72" s="214" t="s">
        <v>55</v>
      </c>
      <c r="S72" s="214" t="s">
        <v>55</v>
      </c>
      <c r="T72" s="222" t="s">
        <v>55</v>
      </c>
    </row>
    <row r="73" spans="2:20" ht="15" customHeight="1" x14ac:dyDescent="0.25">
      <c r="B73" s="545"/>
      <c r="C73" s="518" t="s">
        <v>1070</v>
      </c>
      <c r="D73" s="214" t="s">
        <v>55</v>
      </c>
      <c r="E73" s="214" t="s">
        <v>55</v>
      </c>
      <c r="F73" s="214" t="s">
        <v>55</v>
      </c>
      <c r="G73" s="214" t="s">
        <v>55</v>
      </c>
      <c r="H73" s="214" t="s">
        <v>55</v>
      </c>
      <c r="I73" s="214" t="s">
        <v>55</v>
      </c>
      <c r="J73" s="214" t="s">
        <v>55</v>
      </c>
      <c r="K73" s="214" t="s">
        <v>55</v>
      </c>
      <c r="L73" s="214" t="s">
        <v>55</v>
      </c>
      <c r="M73" s="214" t="s">
        <v>55</v>
      </c>
      <c r="N73" s="214" t="s">
        <v>55</v>
      </c>
      <c r="O73" s="214" t="s">
        <v>55</v>
      </c>
      <c r="P73" s="400" t="s">
        <v>55</v>
      </c>
      <c r="Q73" s="400" t="s">
        <v>55</v>
      </c>
      <c r="R73" s="214" t="s">
        <v>55</v>
      </c>
      <c r="S73" s="214" t="s">
        <v>55</v>
      </c>
      <c r="T73" s="222" t="s">
        <v>55</v>
      </c>
    </row>
    <row r="74" spans="2:20" ht="27" customHeight="1" x14ac:dyDescent="0.25">
      <c r="B74" s="545">
        <v>6.42</v>
      </c>
      <c r="C74" s="518" t="s">
        <v>1071</v>
      </c>
      <c r="D74" s="214" t="s">
        <v>55</v>
      </c>
      <c r="E74" s="214" t="s">
        <v>55</v>
      </c>
      <c r="F74" s="214">
        <v>2</v>
      </c>
      <c r="G74" s="555"/>
      <c r="H74" s="214">
        <v>14.1</v>
      </c>
      <c r="I74" s="214">
        <v>3.86</v>
      </c>
      <c r="J74" s="215">
        <f t="shared" ref="J74" si="52">H74*I74</f>
        <v>54.425999999999995</v>
      </c>
      <c r="K74" s="216" t="s">
        <v>729</v>
      </c>
      <c r="L74" s="224" t="s">
        <v>55</v>
      </c>
      <c r="M74" s="214" t="s">
        <v>55</v>
      </c>
      <c r="N74" s="214">
        <v>120</v>
      </c>
      <c r="O74" s="214">
        <v>120</v>
      </c>
      <c r="P74" s="400">
        <f t="shared" ref="P74" si="53">N74/J74</f>
        <v>2.2048285745783267</v>
      </c>
      <c r="Q74" s="400">
        <f t="shared" ref="Q74" si="54">O74/J74</f>
        <v>2.2048285745783267</v>
      </c>
      <c r="R74" s="224" t="s">
        <v>55</v>
      </c>
      <c r="S74" s="214" t="s">
        <v>237</v>
      </c>
      <c r="T74" s="222" t="s">
        <v>311</v>
      </c>
    </row>
    <row r="75" spans="2:20" ht="15" customHeight="1" x14ac:dyDescent="0.25">
      <c r="B75" s="545"/>
      <c r="C75" s="518" t="s">
        <v>1074</v>
      </c>
      <c r="D75" s="214" t="s">
        <v>55</v>
      </c>
      <c r="E75" s="214" t="s">
        <v>55</v>
      </c>
      <c r="F75" s="214" t="s">
        <v>55</v>
      </c>
      <c r="G75" s="214" t="s">
        <v>55</v>
      </c>
      <c r="H75" s="214" t="s">
        <v>55</v>
      </c>
      <c r="I75" s="214" t="s">
        <v>55</v>
      </c>
      <c r="J75" s="214" t="s">
        <v>55</v>
      </c>
      <c r="K75" s="214" t="s">
        <v>55</v>
      </c>
      <c r="L75" s="214" t="s">
        <v>55</v>
      </c>
      <c r="M75" s="214" t="s">
        <v>55</v>
      </c>
      <c r="N75" s="214" t="s">
        <v>55</v>
      </c>
      <c r="O75" s="214" t="s">
        <v>55</v>
      </c>
      <c r="P75" s="400" t="s">
        <v>55</v>
      </c>
      <c r="Q75" s="400" t="s">
        <v>55</v>
      </c>
      <c r="R75" s="214" t="s">
        <v>55</v>
      </c>
      <c r="S75" s="214" t="s">
        <v>55</v>
      </c>
      <c r="T75" s="222" t="s">
        <v>55</v>
      </c>
    </row>
    <row r="76" spans="2:20" ht="15" customHeight="1" x14ac:dyDescent="0.25">
      <c r="B76" s="545"/>
      <c r="C76" s="518" t="s">
        <v>1075</v>
      </c>
      <c r="D76" s="214" t="s">
        <v>55</v>
      </c>
      <c r="E76" s="214" t="s">
        <v>55</v>
      </c>
      <c r="F76" s="214" t="s">
        <v>55</v>
      </c>
      <c r="G76" s="214" t="s">
        <v>55</v>
      </c>
      <c r="H76" s="214" t="s">
        <v>55</v>
      </c>
      <c r="I76" s="214" t="s">
        <v>55</v>
      </c>
      <c r="J76" s="214" t="s">
        <v>55</v>
      </c>
      <c r="K76" s="214" t="s">
        <v>55</v>
      </c>
      <c r="L76" s="214" t="s">
        <v>55</v>
      </c>
      <c r="M76" s="214" t="s">
        <v>55</v>
      </c>
      <c r="N76" s="214" t="s">
        <v>55</v>
      </c>
      <c r="O76" s="214" t="s">
        <v>55</v>
      </c>
      <c r="P76" s="400" t="s">
        <v>55</v>
      </c>
      <c r="Q76" s="400" t="s">
        <v>55</v>
      </c>
      <c r="R76" s="214" t="s">
        <v>55</v>
      </c>
      <c r="S76" s="214" t="s">
        <v>55</v>
      </c>
      <c r="T76" s="222" t="s">
        <v>55</v>
      </c>
    </row>
    <row r="77" spans="2:20" ht="15" customHeight="1" x14ac:dyDescent="0.25">
      <c r="B77" s="545"/>
      <c r="C77" s="518" t="s">
        <v>1072</v>
      </c>
      <c r="D77" s="214" t="s">
        <v>55</v>
      </c>
      <c r="E77" s="214" t="s">
        <v>55</v>
      </c>
      <c r="F77" s="214" t="s">
        <v>55</v>
      </c>
      <c r="G77" s="214" t="s">
        <v>55</v>
      </c>
      <c r="H77" s="214" t="s">
        <v>55</v>
      </c>
      <c r="I77" s="214" t="s">
        <v>55</v>
      </c>
      <c r="J77" s="214" t="s">
        <v>55</v>
      </c>
      <c r="K77" s="214" t="s">
        <v>55</v>
      </c>
      <c r="L77" s="214" t="s">
        <v>55</v>
      </c>
      <c r="M77" s="214" t="s">
        <v>55</v>
      </c>
      <c r="N77" s="214" t="s">
        <v>55</v>
      </c>
      <c r="O77" s="214" t="s">
        <v>55</v>
      </c>
      <c r="P77" s="400" t="s">
        <v>55</v>
      </c>
      <c r="Q77" s="400" t="s">
        <v>55</v>
      </c>
      <c r="R77" s="214" t="s">
        <v>55</v>
      </c>
      <c r="S77" s="214" t="s">
        <v>55</v>
      </c>
      <c r="T77" s="222" t="s">
        <v>55</v>
      </c>
    </row>
    <row r="78" spans="2:20" ht="15" customHeight="1" x14ac:dyDescent="0.25">
      <c r="B78" s="545"/>
      <c r="C78" s="518" t="s">
        <v>1073</v>
      </c>
      <c r="D78" s="214" t="s">
        <v>55</v>
      </c>
      <c r="E78" s="214" t="s">
        <v>55</v>
      </c>
      <c r="F78" s="214" t="s">
        <v>55</v>
      </c>
      <c r="G78" s="214" t="s">
        <v>55</v>
      </c>
      <c r="H78" s="214" t="s">
        <v>55</v>
      </c>
      <c r="I78" s="214" t="s">
        <v>55</v>
      </c>
      <c r="J78" s="214" t="s">
        <v>55</v>
      </c>
      <c r="K78" s="214" t="s">
        <v>55</v>
      </c>
      <c r="L78" s="214" t="s">
        <v>55</v>
      </c>
      <c r="M78" s="214" t="s">
        <v>55</v>
      </c>
      <c r="N78" s="214" t="s">
        <v>55</v>
      </c>
      <c r="O78" s="214" t="s">
        <v>55</v>
      </c>
      <c r="P78" s="400" t="s">
        <v>55</v>
      </c>
      <c r="Q78" s="400" t="s">
        <v>55</v>
      </c>
      <c r="R78" s="214" t="s">
        <v>55</v>
      </c>
      <c r="S78" s="214" t="s">
        <v>55</v>
      </c>
      <c r="T78" s="222" t="s">
        <v>55</v>
      </c>
    </row>
    <row r="79" spans="2:20" ht="37.5" customHeight="1" x14ac:dyDescent="0.25">
      <c r="B79" s="545">
        <v>6.43</v>
      </c>
      <c r="C79" s="518" t="s">
        <v>1076</v>
      </c>
      <c r="D79" s="214" t="s">
        <v>55</v>
      </c>
      <c r="E79" s="214" t="s">
        <v>55</v>
      </c>
      <c r="F79" s="214">
        <v>1</v>
      </c>
      <c r="G79" s="555">
        <v>4</v>
      </c>
      <c r="H79" s="214">
        <v>22.6</v>
      </c>
      <c r="I79" s="214">
        <v>3.86</v>
      </c>
      <c r="J79" s="215">
        <f t="shared" ref="J79" si="55">H79*I79</f>
        <v>87.236000000000004</v>
      </c>
      <c r="K79" s="216" t="s">
        <v>670</v>
      </c>
      <c r="L79" s="224" t="s">
        <v>55</v>
      </c>
      <c r="M79" s="214" t="s">
        <v>55</v>
      </c>
      <c r="N79" s="214">
        <v>140</v>
      </c>
      <c r="O79" s="214">
        <v>140</v>
      </c>
      <c r="P79" s="400">
        <f t="shared" ref="P79" si="56">N79/J79</f>
        <v>1.6048420376908614</v>
      </c>
      <c r="Q79" s="400">
        <f t="shared" ref="Q79" si="57">O79/J79</f>
        <v>1.6048420376908614</v>
      </c>
      <c r="R79" s="224" t="s">
        <v>55</v>
      </c>
      <c r="S79" s="214" t="s">
        <v>237</v>
      </c>
      <c r="T79" s="222" t="s">
        <v>311</v>
      </c>
    </row>
    <row r="80" spans="2:20" ht="15" customHeight="1" x14ac:dyDescent="0.25">
      <c r="B80" s="545"/>
      <c r="C80" s="518" t="s">
        <v>1078</v>
      </c>
      <c r="D80" s="214" t="s">
        <v>55</v>
      </c>
      <c r="E80" s="214" t="s">
        <v>55</v>
      </c>
      <c r="F80" s="214"/>
      <c r="G80" s="555"/>
      <c r="H80" s="214"/>
      <c r="I80" s="214"/>
      <c r="J80" s="557"/>
      <c r="K80" s="557"/>
      <c r="L80" s="224" t="s">
        <v>55</v>
      </c>
      <c r="M80" s="214" t="s">
        <v>55</v>
      </c>
      <c r="N80" s="214"/>
      <c r="O80" s="214"/>
      <c r="P80" s="400"/>
      <c r="Q80" s="400"/>
      <c r="R80" s="559"/>
      <c r="S80" s="557"/>
      <c r="T80" s="560"/>
    </row>
    <row r="81" spans="2:20" ht="15" customHeight="1" x14ac:dyDescent="0.25">
      <c r="B81" s="545"/>
      <c r="C81" s="518" t="s">
        <v>1077</v>
      </c>
      <c r="D81" s="214" t="s">
        <v>55</v>
      </c>
      <c r="E81" s="214" t="s">
        <v>55</v>
      </c>
      <c r="F81" s="214"/>
      <c r="G81" s="555"/>
      <c r="H81" s="214"/>
      <c r="I81" s="214"/>
      <c r="J81" s="557"/>
      <c r="K81" s="557"/>
      <c r="L81" s="224" t="s">
        <v>55</v>
      </c>
      <c r="M81" s="214" t="s">
        <v>55</v>
      </c>
      <c r="N81" s="214"/>
      <c r="O81" s="214"/>
      <c r="P81" s="400"/>
      <c r="Q81" s="400"/>
      <c r="R81" s="559"/>
      <c r="S81" s="557"/>
      <c r="T81" s="560"/>
    </row>
    <row r="82" spans="2:20" ht="35.25" customHeight="1" x14ac:dyDescent="0.25">
      <c r="B82" s="545">
        <v>6.44</v>
      </c>
      <c r="C82" s="518" t="s">
        <v>698</v>
      </c>
      <c r="D82" s="214" t="s">
        <v>55</v>
      </c>
      <c r="E82" s="214" t="s">
        <v>55</v>
      </c>
      <c r="F82" s="214">
        <v>1</v>
      </c>
      <c r="G82" s="555">
        <v>2</v>
      </c>
      <c r="H82" s="214">
        <v>32.4</v>
      </c>
      <c r="I82" s="214">
        <v>3.86</v>
      </c>
      <c r="J82" s="215">
        <f t="shared" ref="J82" si="58">H82*I82</f>
        <v>125.06399999999999</v>
      </c>
      <c r="K82" s="216" t="s">
        <v>670</v>
      </c>
      <c r="L82" s="224" t="s">
        <v>55</v>
      </c>
      <c r="M82" s="214" t="s">
        <v>55</v>
      </c>
      <c r="N82" s="214">
        <v>100</v>
      </c>
      <c r="O82" s="214">
        <v>100</v>
      </c>
      <c r="P82" s="400">
        <f t="shared" ref="P82" si="59">N82/J82</f>
        <v>0.79959060960788086</v>
      </c>
      <c r="Q82" s="400">
        <f t="shared" ref="Q82" si="60">O82/J82</f>
        <v>0.79959060960788086</v>
      </c>
      <c r="R82" s="224" t="s">
        <v>55</v>
      </c>
      <c r="S82" s="214" t="s">
        <v>237</v>
      </c>
      <c r="T82" s="222" t="s">
        <v>311</v>
      </c>
    </row>
    <row r="83" spans="2:20" ht="15" customHeight="1" x14ac:dyDescent="0.25">
      <c r="B83" s="545"/>
      <c r="C83" s="518" t="s">
        <v>542</v>
      </c>
      <c r="D83" s="214" t="s">
        <v>55</v>
      </c>
      <c r="E83" s="214" t="s">
        <v>55</v>
      </c>
      <c r="F83" s="214"/>
      <c r="G83" s="555"/>
      <c r="H83" s="214"/>
      <c r="I83" s="214"/>
      <c r="J83" s="557"/>
      <c r="K83" s="557"/>
      <c r="L83" s="224" t="s">
        <v>55</v>
      </c>
      <c r="M83" s="214" t="s">
        <v>55</v>
      </c>
      <c r="N83" s="214"/>
      <c r="O83" s="214"/>
      <c r="P83" s="400"/>
      <c r="Q83" s="400"/>
      <c r="R83" s="559"/>
      <c r="S83" s="557"/>
      <c r="T83" s="560"/>
    </row>
    <row r="84" spans="2:20" ht="36" customHeight="1" x14ac:dyDescent="0.25">
      <c r="B84" s="545">
        <v>6.45</v>
      </c>
      <c r="C84" s="518" t="s">
        <v>1079</v>
      </c>
      <c r="D84" s="214" t="s">
        <v>55</v>
      </c>
      <c r="E84" s="214" t="s">
        <v>55</v>
      </c>
      <c r="F84" s="214">
        <v>1</v>
      </c>
      <c r="G84" s="555">
        <v>1</v>
      </c>
      <c r="H84" s="214">
        <v>17.899999999999999</v>
      </c>
      <c r="I84" s="214">
        <v>3.86</v>
      </c>
      <c r="J84" s="215">
        <f t="shared" ref="J84" si="61">H84*I84</f>
        <v>69.093999999999994</v>
      </c>
      <c r="K84" s="216" t="s">
        <v>670</v>
      </c>
      <c r="L84" s="224" t="s">
        <v>55</v>
      </c>
      <c r="M84" s="214" t="s">
        <v>55</v>
      </c>
      <c r="N84" s="214">
        <v>80</v>
      </c>
      <c r="O84" s="214">
        <v>80</v>
      </c>
      <c r="P84" s="400">
        <f t="shared" ref="P84" si="62">N84/J84</f>
        <v>1.1578429386053783</v>
      </c>
      <c r="Q84" s="400">
        <f t="shared" ref="Q84" si="63">O84/J84</f>
        <v>1.1578429386053783</v>
      </c>
      <c r="R84" s="224" t="s">
        <v>55</v>
      </c>
      <c r="S84" s="214" t="s">
        <v>237</v>
      </c>
      <c r="T84" s="222" t="s">
        <v>311</v>
      </c>
    </row>
    <row r="85" spans="2:20" ht="15" customHeight="1" x14ac:dyDescent="0.25">
      <c r="B85" s="545"/>
      <c r="C85" s="518" t="s">
        <v>542</v>
      </c>
      <c r="D85" s="214" t="s">
        <v>55</v>
      </c>
      <c r="E85" s="214" t="s">
        <v>55</v>
      </c>
      <c r="F85" s="214" t="s">
        <v>55</v>
      </c>
      <c r="G85" s="214" t="s">
        <v>55</v>
      </c>
      <c r="H85" s="214" t="s">
        <v>55</v>
      </c>
      <c r="I85" s="214" t="s">
        <v>55</v>
      </c>
      <c r="J85" s="214" t="s">
        <v>55</v>
      </c>
      <c r="K85" s="214" t="s">
        <v>55</v>
      </c>
      <c r="L85" s="214" t="s">
        <v>55</v>
      </c>
      <c r="M85" s="214" t="s">
        <v>55</v>
      </c>
      <c r="N85" s="214" t="s">
        <v>55</v>
      </c>
      <c r="O85" s="214" t="s">
        <v>55</v>
      </c>
      <c r="P85" s="400" t="s">
        <v>55</v>
      </c>
      <c r="Q85" s="400" t="s">
        <v>55</v>
      </c>
      <c r="R85" s="214" t="s">
        <v>55</v>
      </c>
      <c r="S85" s="214" t="s">
        <v>55</v>
      </c>
      <c r="T85" s="222" t="s">
        <v>55</v>
      </c>
    </row>
    <row r="86" spans="2:20" ht="15" customHeight="1" x14ac:dyDescent="0.25">
      <c r="B86" s="545">
        <v>6.46</v>
      </c>
      <c r="C86" s="518" t="s">
        <v>20</v>
      </c>
      <c r="D86" s="214" t="s">
        <v>55</v>
      </c>
      <c r="E86" s="214" t="s">
        <v>55</v>
      </c>
      <c r="F86" s="214" t="s">
        <v>55</v>
      </c>
      <c r="G86" s="555">
        <v>8</v>
      </c>
      <c r="H86" s="214">
        <v>14.5</v>
      </c>
      <c r="I86" s="214">
        <v>3.86</v>
      </c>
      <c r="J86" s="215">
        <f t="shared" ref="J86:J87" si="64">H86*I86</f>
        <v>55.97</v>
      </c>
      <c r="K86" s="214" t="s">
        <v>55</v>
      </c>
      <c r="L86" s="214" t="s">
        <v>55</v>
      </c>
      <c r="M86" s="214" t="s">
        <v>55</v>
      </c>
      <c r="N86" s="214">
        <v>160</v>
      </c>
      <c r="O86" s="214">
        <v>160</v>
      </c>
      <c r="P86" s="400">
        <f t="shared" ref="P86:P87" si="65">N86/J86</f>
        <v>2.8586742897981061</v>
      </c>
      <c r="Q86" s="400">
        <f t="shared" ref="Q86:Q87" si="66">O86/J86</f>
        <v>2.8586742897981061</v>
      </c>
      <c r="R86" s="224" t="s">
        <v>55</v>
      </c>
      <c r="S86" s="214" t="s">
        <v>237</v>
      </c>
      <c r="T86" s="222" t="s">
        <v>311</v>
      </c>
    </row>
    <row r="87" spans="2:20" ht="33.75" customHeight="1" x14ac:dyDescent="0.25">
      <c r="B87" s="545">
        <v>6.47</v>
      </c>
      <c r="C87" s="518" t="s">
        <v>1076</v>
      </c>
      <c r="D87" s="214" t="s">
        <v>55</v>
      </c>
      <c r="E87" s="214" t="s">
        <v>55</v>
      </c>
      <c r="F87" s="214">
        <v>1</v>
      </c>
      <c r="G87" s="555">
        <v>4</v>
      </c>
      <c r="H87" s="214">
        <v>28.2</v>
      </c>
      <c r="I87" s="214">
        <v>3.86</v>
      </c>
      <c r="J87" s="215">
        <f t="shared" si="64"/>
        <v>108.85199999999999</v>
      </c>
      <c r="K87" s="216" t="s">
        <v>670</v>
      </c>
      <c r="L87" s="214" t="s">
        <v>55</v>
      </c>
      <c r="M87" s="214" t="s">
        <v>55</v>
      </c>
      <c r="N87" s="214">
        <v>140</v>
      </c>
      <c r="O87" s="214">
        <v>140</v>
      </c>
      <c r="P87" s="400">
        <f t="shared" si="65"/>
        <v>1.2861500018373573</v>
      </c>
      <c r="Q87" s="400">
        <f t="shared" si="66"/>
        <v>1.2861500018373573</v>
      </c>
      <c r="R87" s="224" t="s">
        <v>55</v>
      </c>
      <c r="S87" s="214" t="s">
        <v>237</v>
      </c>
      <c r="T87" s="222" t="s">
        <v>311</v>
      </c>
    </row>
    <row r="88" spans="2:20" ht="15" customHeight="1" x14ac:dyDescent="0.25">
      <c r="B88" s="545"/>
      <c r="C88" s="518" t="s">
        <v>1094</v>
      </c>
      <c r="D88" s="214" t="s">
        <v>55</v>
      </c>
      <c r="E88" s="214" t="s">
        <v>55</v>
      </c>
      <c r="F88" s="214" t="s">
        <v>55</v>
      </c>
      <c r="G88" s="214" t="s">
        <v>55</v>
      </c>
      <c r="H88" s="214" t="s">
        <v>55</v>
      </c>
      <c r="I88" s="214" t="s">
        <v>55</v>
      </c>
      <c r="J88" s="214" t="s">
        <v>55</v>
      </c>
      <c r="K88" s="214" t="s">
        <v>55</v>
      </c>
      <c r="L88" s="214" t="s">
        <v>55</v>
      </c>
      <c r="M88" s="214" t="s">
        <v>55</v>
      </c>
      <c r="N88" s="214" t="s">
        <v>55</v>
      </c>
      <c r="O88" s="214" t="s">
        <v>55</v>
      </c>
      <c r="P88" s="400" t="s">
        <v>55</v>
      </c>
      <c r="Q88" s="400" t="s">
        <v>55</v>
      </c>
      <c r="R88" s="214" t="s">
        <v>55</v>
      </c>
      <c r="S88" s="214" t="s">
        <v>55</v>
      </c>
      <c r="T88" s="222" t="s">
        <v>55</v>
      </c>
    </row>
    <row r="89" spans="2:20" ht="15" customHeight="1" x14ac:dyDescent="0.25">
      <c r="B89" s="545"/>
      <c r="C89" s="518" t="s">
        <v>1095</v>
      </c>
      <c r="D89" s="214" t="s">
        <v>55</v>
      </c>
      <c r="E89" s="214" t="s">
        <v>55</v>
      </c>
      <c r="F89" s="214" t="s">
        <v>55</v>
      </c>
      <c r="G89" s="214" t="s">
        <v>55</v>
      </c>
      <c r="H89" s="214" t="s">
        <v>55</v>
      </c>
      <c r="I89" s="214" t="s">
        <v>55</v>
      </c>
      <c r="J89" s="214" t="s">
        <v>55</v>
      </c>
      <c r="K89" s="214" t="s">
        <v>55</v>
      </c>
      <c r="L89" s="214" t="s">
        <v>55</v>
      </c>
      <c r="M89" s="214" t="s">
        <v>55</v>
      </c>
      <c r="N89" s="214" t="s">
        <v>55</v>
      </c>
      <c r="O89" s="214" t="s">
        <v>55</v>
      </c>
      <c r="P89" s="400" t="s">
        <v>55</v>
      </c>
      <c r="Q89" s="400" t="s">
        <v>55</v>
      </c>
      <c r="R89" s="214" t="s">
        <v>55</v>
      </c>
      <c r="S89" s="214" t="s">
        <v>55</v>
      </c>
      <c r="T89" s="222" t="s">
        <v>55</v>
      </c>
    </row>
    <row r="90" spans="2:20" ht="23.25" customHeight="1" x14ac:dyDescent="0.25">
      <c r="B90" s="545">
        <v>6.48</v>
      </c>
      <c r="C90" s="518" t="s">
        <v>1096</v>
      </c>
      <c r="D90" s="214" t="s">
        <v>55</v>
      </c>
      <c r="E90" s="214" t="s">
        <v>55</v>
      </c>
      <c r="F90" s="214">
        <v>1</v>
      </c>
      <c r="G90" s="555"/>
      <c r="H90" s="214">
        <v>19.5</v>
      </c>
      <c r="I90" s="214">
        <v>3.86</v>
      </c>
      <c r="J90" s="215">
        <f t="shared" ref="J90" si="67">H90*I90</f>
        <v>75.27</v>
      </c>
      <c r="K90" s="216" t="s">
        <v>729</v>
      </c>
      <c r="L90" s="214" t="s">
        <v>55</v>
      </c>
      <c r="M90" s="214" t="s">
        <v>55</v>
      </c>
      <c r="N90" s="214">
        <v>60</v>
      </c>
      <c r="O90" s="214">
        <v>60</v>
      </c>
      <c r="P90" s="400">
        <f t="shared" ref="P90" si="68">N90/J90</f>
        <v>0.79713033080908735</v>
      </c>
      <c r="Q90" s="400">
        <f t="shared" ref="Q90" si="69">O90/J90</f>
        <v>0.79713033080908735</v>
      </c>
      <c r="R90" s="224" t="s">
        <v>55</v>
      </c>
      <c r="S90" s="214" t="s">
        <v>237</v>
      </c>
      <c r="T90" s="222" t="s">
        <v>311</v>
      </c>
    </row>
    <row r="91" spans="2:20" ht="15" customHeight="1" x14ac:dyDescent="0.25">
      <c r="B91" s="545"/>
      <c r="C91" s="518" t="s">
        <v>1097</v>
      </c>
      <c r="D91" s="214" t="s">
        <v>55</v>
      </c>
      <c r="E91" s="214" t="s">
        <v>55</v>
      </c>
      <c r="F91" s="214" t="s">
        <v>55</v>
      </c>
      <c r="G91" s="214" t="s">
        <v>55</v>
      </c>
      <c r="H91" s="214" t="s">
        <v>55</v>
      </c>
      <c r="I91" s="214" t="s">
        <v>55</v>
      </c>
      <c r="J91" s="214" t="s">
        <v>55</v>
      </c>
      <c r="K91" s="214" t="s">
        <v>55</v>
      </c>
      <c r="L91" s="214" t="s">
        <v>55</v>
      </c>
      <c r="M91" s="214" t="s">
        <v>55</v>
      </c>
      <c r="N91" s="214" t="s">
        <v>55</v>
      </c>
      <c r="O91" s="214" t="s">
        <v>55</v>
      </c>
      <c r="P91" s="400" t="s">
        <v>55</v>
      </c>
      <c r="Q91" s="400" t="s">
        <v>55</v>
      </c>
      <c r="R91" s="214" t="s">
        <v>55</v>
      </c>
      <c r="S91" s="214" t="s">
        <v>55</v>
      </c>
      <c r="T91" s="222" t="s">
        <v>55</v>
      </c>
    </row>
    <row r="92" spans="2:20" ht="27" customHeight="1" x14ac:dyDescent="0.25">
      <c r="B92" s="545">
        <v>6.49</v>
      </c>
      <c r="C92" s="518" t="s">
        <v>1128</v>
      </c>
      <c r="D92" s="214" t="s">
        <v>55</v>
      </c>
      <c r="E92" s="214" t="s">
        <v>55</v>
      </c>
      <c r="F92" s="214">
        <v>2</v>
      </c>
      <c r="G92" s="555"/>
      <c r="H92" s="214">
        <v>27</v>
      </c>
      <c r="I92" s="214">
        <v>3.86</v>
      </c>
      <c r="J92" s="215">
        <f t="shared" ref="J92" si="70">H92*I92</f>
        <v>104.22</v>
      </c>
      <c r="K92" s="216" t="s">
        <v>729</v>
      </c>
      <c r="L92" s="214" t="s">
        <v>55</v>
      </c>
      <c r="M92" s="214" t="s">
        <v>55</v>
      </c>
      <c r="N92" s="214">
        <v>120</v>
      </c>
      <c r="O92" s="214">
        <v>120</v>
      </c>
      <c r="P92" s="400">
        <f t="shared" ref="P92" si="71">N92/J92</f>
        <v>1.1514104778353482</v>
      </c>
      <c r="Q92" s="400">
        <f t="shared" ref="Q92" si="72">O92/J92</f>
        <v>1.1514104778353482</v>
      </c>
      <c r="R92" s="224" t="s">
        <v>55</v>
      </c>
      <c r="S92" s="214" t="s">
        <v>237</v>
      </c>
      <c r="T92" s="222" t="s">
        <v>311</v>
      </c>
    </row>
    <row r="93" spans="2:20" ht="15" customHeight="1" x14ac:dyDescent="0.25">
      <c r="B93" s="545"/>
      <c r="C93" s="518" t="s">
        <v>1129</v>
      </c>
      <c r="D93" s="214" t="s">
        <v>55</v>
      </c>
      <c r="E93" s="214" t="s">
        <v>55</v>
      </c>
      <c r="F93" s="214" t="s">
        <v>55</v>
      </c>
      <c r="G93" s="214" t="s">
        <v>55</v>
      </c>
      <c r="H93" s="214" t="s">
        <v>55</v>
      </c>
      <c r="I93" s="214" t="s">
        <v>55</v>
      </c>
      <c r="J93" s="214" t="s">
        <v>55</v>
      </c>
      <c r="K93" s="214" t="s">
        <v>55</v>
      </c>
      <c r="L93" s="214" t="s">
        <v>55</v>
      </c>
      <c r="M93" s="214" t="s">
        <v>55</v>
      </c>
      <c r="N93" s="214" t="s">
        <v>55</v>
      </c>
      <c r="O93" s="214" t="s">
        <v>55</v>
      </c>
      <c r="P93" s="400" t="s">
        <v>55</v>
      </c>
      <c r="Q93" s="400" t="s">
        <v>55</v>
      </c>
      <c r="R93" s="214" t="s">
        <v>55</v>
      </c>
      <c r="S93" s="214" t="s">
        <v>55</v>
      </c>
      <c r="T93" s="222" t="s">
        <v>55</v>
      </c>
    </row>
    <row r="94" spans="2:20" ht="15" customHeight="1" x14ac:dyDescent="0.25">
      <c r="B94" s="545"/>
      <c r="C94" s="518" t="s">
        <v>1130</v>
      </c>
      <c r="D94" s="214" t="s">
        <v>55</v>
      </c>
      <c r="E94" s="214" t="s">
        <v>55</v>
      </c>
      <c r="F94" s="214" t="s">
        <v>55</v>
      </c>
      <c r="G94" s="214" t="s">
        <v>55</v>
      </c>
      <c r="H94" s="214" t="s">
        <v>55</v>
      </c>
      <c r="I94" s="214" t="s">
        <v>55</v>
      </c>
      <c r="J94" s="214" t="s">
        <v>55</v>
      </c>
      <c r="K94" s="214" t="s">
        <v>55</v>
      </c>
      <c r="L94" s="214" t="s">
        <v>55</v>
      </c>
      <c r="M94" s="214" t="s">
        <v>55</v>
      </c>
      <c r="N94" s="214" t="s">
        <v>55</v>
      </c>
      <c r="O94" s="214" t="s">
        <v>55</v>
      </c>
      <c r="P94" s="400" t="s">
        <v>55</v>
      </c>
      <c r="Q94" s="400" t="s">
        <v>55</v>
      </c>
      <c r="R94" s="214" t="s">
        <v>55</v>
      </c>
      <c r="S94" s="214" t="s">
        <v>55</v>
      </c>
      <c r="T94" s="222" t="s">
        <v>55</v>
      </c>
    </row>
    <row r="95" spans="2:20" ht="27" customHeight="1" x14ac:dyDescent="0.25">
      <c r="B95" s="545">
        <v>6.5</v>
      </c>
      <c r="C95" s="518" t="s">
        <v>1096</v>
      </c>
      <c r="D95" s="214" t="s">
        <v>55</v>
      </c>
      <c r="E95" s="214" t="s">
        <v>55</v>
      </c>
      <c r="F95" s="214">
        <v>4</v>
      </c>
      <c r="G95" s="218"/>
      <c r="H95" s="214">
        <v>30.7</v>
      </c>
      <c r="I95" s="214">
        <v>3.86</v>
      </c>
      <c r="J95" s="215">
        <f t="shared" ref="J95" si="73">H95*I95</f>
        <v>118.502</v>
      </c>
      <c r="K95" s="216" t="s">
        <v>729</v>
      </c>
      <c r="L95" s="214" t="s">
        <v>55</v>
      </c>
      <c r="M95" s="214" t="s">
        <v>55</v>
      </c>
      <c r="N95" s="214">
        <v>240</v>
      </c>
      <c r="O95" s="214">
        <v>240</v>
      </c>
      <c r="P95" s="400">
        <f t="shared" ref="P95" si="74">N95/J95</f>
        <v>2.0252822737168992</v>
      </c>
      <c r="Q95" s="400">
        <f t="shared" ref="Q95" si="75">O95/J95</f>
        <v>2.0252822737168992</v>
      </c>
      <c r="R95" s="224" t="s">
        <v>55</v>
      </c>
      <c r="S95" s="214" t="s">
        <v>237</v>
      </c>
      <c r="T95" s="222" t="s">
        <v>311</v>
      </c>
    </row>
    <row r="96" spans="2:20" ht="15" customHeight="1" x14ac:dyDescent="0.25">
      <c r="B96" s="545"/>
      <c r="C96" s="518" t="s">
        <v>1099</v>
      </c>
      <c r="D96" s="214" t="s">
        <v>55</v>
      </c>
      <c r="E96" s="214" t="s">
        <v>55</v>
      </c>
      <c r="F96" s="214" t="s">
        <v>55</v>
      </c>
      <c r="G96" s="214" t="s">
        <v>55</v>
      </c>
      <c r="H96" s="214" t="s">
        <v>55</v>
      </c>
      <c r="I96" s="214" t="s">
        <v>55</v>
      </c>
      <c r="J96" s="214" t="s">
        <v>55</v>
      </c>
      <c r="K96" s="214" t="s">
        <v>55</v>
      </c>
      <c r="L96" s="214" t="s">
        <v>55</v>
      </c>
      <c r="M96" s="214" t="s">
        <v>55</v>
      </c>
      <c r="N96" s="214" t="s">
        <v>55</v>
      </c>
      <c r="O96" s="214" t="s">
        <v>55</v>
      </c>
      <c r="P96" s="400" t="s">
        <v>55</v>
      </c>
      <c r="Q96" s="400" t="s">
        <v>55</v>
      </c>
      <c r="R96" s="214" t="s">
        <v>55</v>
      </c>
      <c r="S96" s="214" t="s">
        <v>55</v>
      </c>
      <c r="T96" s="222" t="s">
        <v>55</v>
      </c>
    </row>
    <row r="97" spans="2:23" ht="15" customHeight="1" x14ac:dyDescent="0.25">
      <c r="B97" s="545"/>
      <c r="C97" s="518" t="s">
        <v>1098</v>
      </c>
      <c r="D97" s="214" t="s">
        <v>55</v>
      </c>
      <c r="E97" s="214" t="s">
        <v>55</v>
      </c>
      <c r="F97" s="214" t="s">
        <v>55</v>
      </c>
      <c r="G97" s="214" t="s">
        <v>55</v>
      </c>
      <c r="H97" s="214" t="s">
        <v>55</v>
      </c>
      <c r="I97" s="214" t="s">
        <v>55</v>
      </c>
      <c r="J97" s="214" t="s">
        <v>55</v>
      </c>
      <c r="K97" s="214" t="s">
        <v>55</v>
      </c>
      <c r="L97" s="214" t="s">
        <v>55</v>
      </c>
      <c r="M97" s="214" t="s">
        <v>55</v>
      </c>
      <c r="N97" s="214" t="s">
        <v>55</v>
      </c>
      <c r="O97" s="214" t="s">
        <v>55</v>
      </c>
      <c r="P97" s="400" t="s">
        <v>55</v>
      </c>
      <c r="Q97" s="400" t="s">
        <v>55</v>
      </c>
      <c r="R97" s="214" t="s">
        <v>55</v>
      </c>
      <c r="S97" s="214" t="s">
        <v>55</v>
      </c>
      <c r="T97" s="222" t="s">
        <v>55</v>
      </c>
    </row>
    <row r="98" spans="2:23" ht="15" customHeight="1" x14ac:dyDescent="0.25">
      <c r="B98" s="545">
        <v>6.51</v>
      </c>
      <c r="C98" s="518" t="s">
        <v>1100</v>
      </c>
      <c r="D98" s="214" t="s">
        <v>55</v>
      </c>
      <c r="E98" s="214" t="s">
        <v>55</v>
      </c>
      <c r="F98" s="214" t="s">
        <v>55</v>
      </c>
      <c r="G98" s="214" t="s">
        <v>55</v>
      </c>
      <c r="H98" s="214">
        <v>23.8</v>
      </c>
      <c r="I98" s="214">
        <v>3.86</v>
      </c>
      <c r="J98" s="215">
        <f t="shared" ref="J98" si="76">H98*I98</f>
        <v>91.867999999999995</v>
      </c>
      <c r="K98" s="214" t="s">
        <v>55</v>
      </c>
      <c r="L98" s="214" t="s">
        <v>55</v>
      </c>
      <c r="M98" s="214" t="s">
        <v>55</v>
      </c>
      <c r="N98" s="214">
        <v>60</v>
      </c>
      <c r="O98" s="214">
        <v>60</v>
      </c>
      <c r="P98" s="400">
        <f t="shared" ref="P98" si="77">N98/J98</f>
        <v>0.65311098532677325</v>
      </c>
      <c r="Q98" s="400">
        <f t="shared" ref="Q98" si="78">O98/J98</f>
        <v>0.65311098532677325</v>
      </c>
      <c r="R98" s="224" t="s">
        <v>55</v>
      </c>
      <c r="S98" s="214" t="s">
        <v>237</v>
      </c>
      <c r="T98" s="222" t="s">
        <v>311</v>
      </c>
    </row>
    <row r="99" spans="2:23" ht="15" customHeight="1" x14ac:dyDescent="0.25">
      <c r="B99" s="545"/>
      <c r="C99" s="518" t="s">
        <v>1101</v>
      </c>
      <c r="D99" s="214" t="s">
        <v>55</v>
      </c>
      <c r="E99" s="214" t="s">
        <v>55</v>
      </c>
      <c r="F99" s="214" t="s">
        <v>55</v>
      </c>
      <c r="G99" s="214" t="s">
        <v>55</v>
      </c>
      <c r="H99" s="214" t="s">
        <v>55</v>
      </c>
      <c r="I99" s="214" t="s">
        <v>55</v>
      </c>
      <c r="J99" s="214" t="s">
        <v>55</v>
      </c>
      <c r="K99" s="214" t="s">
        <v>55</v>
      </c>
      <c r="L99" s="214" t="s">
        <v>55</v>
      </c>
      <c r="M99" s="214" t="s">
        <v>55</v>
      </c>
      <c r="N99" s="214" t="s">
        <v>55</v>
      </c>
      <c r="O99" s="214" t="s">
        <v>55</v>
      </c>
      <c r="P99" s="400" t="s">
        <v>55</v>
      </c>
      <c r="Q99" s="400" t="s">
        <v>55</v>
      </c>
      <c r="R99" s="214" t="s">
        <v>55</v>
      </c>
      <c r="S99" s="214" t="s">
        <v>55</v>
      </c>
      <c r="T99" s="222" t="s">
        <v>55</v>
      </c>
    </row>
    <row r="100" spans="2:23" ht="24" customHeight="1" x14ac:dyDescent="0.25">
      <c r="B100" s="545">
        <v>6.52</v>
      </c>
      <c r="C100" s="518" t="s">
        <v>1071</v>
      </c>
      <c r="D100" s="214" t="s">
        <v>55</v>
      </c>
      <c r="E100" s="214" t="s">
        <v>55</v>
      </c>
      <c r="F100" s="214">
        <v>1</v>
      </c>
      <c r="G100" s="214" t="s">
        <v>55</v>
      </c>
      <c r="H100" s="214">
        <v>15.8</v>
      </c>
      <c r="I100" s="214">
        <v>3.86</v>
      </c>
      <c r="J100" s="215">
        <f t="shared" ref="J100" si="79">H100*I100</f>
        <v>60.988</v>
      </c>
      <c r="K100" s="216" t="s">
        <v>729</v>
      </c>
      <c r="L100" s="214" t="s">
        <v>55</v>
      </c>
      <c r="M100" s="214" t="s">
        <v>55</v>
      </c>
      <c r="N100" s="214">
        <v>60</v>
      </c>
      <c r="O100" s="214">
        <v>60</v>
      </c>
      <c r="P100" s="400">
        <f t="shared" ref="P100" si="80">N100/J100</f>
        <v>0.98380009182134187</v>
      </c>
      <c r="Q100" s="400">
        <f t="shared" ref="Q100" si="81">O100/J100</f>
        <v>0.98380009182134187</v>
      </c>
      <c r="R100" s="224" t="s">
        <v>55</v>
      </c>
      <c r="S100" s="214" t="s">
        <v>237</v>
      </c>
      <c r="T100" s="222" t="s">
        <v>311</v>
      </c>
    </row>
    <row r="101" spans="2:23" ht="15" customHeight="1" x14ac:dyDescent="0.25">
      <c r="B101" s="545"/>
      <c r="C101" s="518" t="s">
        <v>1102</v>
      </c>
      <c r="D101" s="214" t="s">
        <v>55</v>
      </c>
      <c r="E101" s="214" t="s">
        <v>55</v>
      </c>
      <c r="F101" s="214" t="s">
        <v>55</v>
      </c>
      <c r="G101" s="214" t="s">
        <v>55</v>
      </c>
      <c r="H101" s="214" t="s">
        <v>55</v>
      </c>
      <c r="I101" s="214" t="s">
        <v>55</v>
      </c>
      <c r="J101" s="214" t="s">
        <v>55</v>
      </c>
      <c r="K101" s="214" t="s">
        <v>55</v>
      </c>
      <c r="L101" s="214" t="s">
        <v>55</v>
      </c>
      <c r="M101" s="214" t="s">
        <v>55</v>
      </c>
      <c r="N101" s="214" t="s">
        <v>55</v>
      </c>
      <c r="O101" s="214" t="s">
        <v>55</v>
      </c>
      <c r="P101" s="400" t="s">
        <v>55</v>
      </c>
      <c r="Q101" s="400" t="s">
        <v>55</v>
      </c>
      <c r="R101" s="214" t="s">
        <v>55</v>
      </c>
      <c r="S101" s="214" t="s">
        <v>55</v>
      </c>
      <c r="T101" s="222" t="s">
        <v>55</v>
      </c>
    </row>
    <row r="102" spans="2:23" ht="15" customHeight="1" x14ac:dyDescent="0.25">
      <c r="B102" s="545"/>
      <c r="C102" s="518" t="s">
        <v>1103</v>
      </c>
      <c r="D102" s="214" t="s">
        <v>55</v>
      </c>
      <c r="E102" s="214" t="s">
        <v>55</v>
      </c>
      <c r="F102" s="214" t="s">
        <v>55</v>
      </c>
      <c r="G102" s="214" t="s">
        <v>55</v>
      </c>
      <c r="H102" s="214" t="s">
        <v>55</v>
      </c>
      <c r="I102" s="214" t="s">
        <v>55</v>
      </c>
      <c r="J102" s="214" t="s">
        <v>55</v>
      </c>
      <c r="K102" s="214" t="s">
        <v>55</v>
      </c>
      <c r="L102" s="214" t="s">
        <v>55</v>
      </c>
      <c r="M102" s="214" t="s">
        <v>55</v>
      </c>
      <c r="N102" s="214" t="s">
        <v>55</v>
      </c>
      <c r="O102" s="214" t="s">
        <v>55</v>
      </c>
      <c r="P102" s="400" t="s">
        <v>55</v>
      </c>
      <c r="Q102" s="400" t="s">
        <v>55</v>
      </c>
      <c r="R102" s="214" t="s">
        <v>55</v>
      </c>
      <c r="S102" s="214" t="s">
        <v>55</v>
      </c>
      <c r="T102" s="222" t="s">
        <v>55</v>
      </c>
    </row>
    <row r="103" spans="2:23" ht="15" customHeight="1" x14ac:dyDescent="0.25">
      <c r="B103" s="545"/>
      <c r="C103" s="518" t="s">
        <v>1104</v>
      </c>
      <c r="D103" s="214" t="s">
        <v>55</v>
      </c>
      <c r="E103" s="214" t="s">
        <v>55</v>
      </c>
      <c r="F103" s="214" t="s">
        <v>55</v>
      </c>
      <c r="G103" s="214" t="s">
        <v>55</v>
      </c>
      <c r="H103" s="214" t="s">
        <v>55</v>
      </c>
      <c r="I103" s="214" t="s">
        <v>55</v>
      </c>
      <c r="J103" s="214" t="s">
        <v>55</v>
      </c>
      <c r="K103" s="214" t="s">
        <v>55</v>
      </c>
      <c r="L103" s="214" t="s">
        <v>55</v>
      </c>
      <c r="M103" s="214" t="s">
        <v>55</v>
      </c>
      <c r="N103" s="214" t="s">
        <v>55</v>
      </c>
      <c r="O103" s="214" t="s">
        <v>55</v>
      </c>
      <c r="P103" s="400" t="s">
        <v>55</v>
      </c>
      <c r="Q103" s="400" t="s">
        <v>55</v>
      </c>
      <c r="R103" s="214" t="s">
        <v>55</v>
      </c>
      <c r="S103" s="214" t="s">
        <v>55</v>
      </c>
      <c r="T103" s="222" t="s">
        <v>55</v>
      </c>
    </row>
    <row r="104" spans="2:23" ht="15" customHeight="1" x14ac:dyDescent="0.25">
      <c r="B104" s="545"/>
      <c r="C104" s="518" t="s">
        <v>1105</v>
      </c>
      <c r="D104" s="214" t="s">
        <v>55</v>
      </c>
      <c r="E104" s="214" t="s">
        <v>55</v>
      </c>
      <c r="F104" s="214" t="s">
        <v>55</v>
      </c>
      <c r="G104" s="214" t="s">
        <v>55</v>
      </c>
      <c r="H104" s="214" t="s">
        <v>55</v>
      </c>
      <c r="I104" s="214" t="s">
        <v>55</v>
      </c>
      <c r="J104" s="214" t="s">
        <v>55</v>
      </c>
      <c r="K104" s="214" t="s">
        <v>55</v>
      </c>
      <c r="L104" s="214" t="s">
        <v>55</v>
      </c>
      <c r="M104" s="214" t="s">
        <v>55</v>
      </c>
      <c r="N104" s="214" t="s">
        <v>55</v>
      </c>
      <c r="O104" s="214" t="s">
        <v>55</v>
      </c>
      <c r="P104" s="400" t="s">
        <v>55</v>
      </c>
      <c r="Q104" s="400" t="s">
        <v>55</v>
      </c>
      <c r="R104" s="214" t="s">
        <v>55</v>
      </c>
      <c r="S104" s="214" t="s">
        <v>55</v>
      </c>
      <c r="T104" s="222" t="s">
        <v>55</v>
      </c>
    </row>
    <row r="105" spans="2:23" ht="23.25" customHeight="1" x14ac:dyDescent="0.25">
      <c r="B105" s="545">
        <v>6.53</v>
      </c>
      <c r="C105" s="518" t="s">
        <v>1106</v>
      </c>
      <c r="D105" s="214" t="s">
        <v>55</v>
      </c>
      <c r="E105" s="214" t="s">
        <v>55</v>
      </c>
      <c r="F105" s="214">
        <v>1</v>
      </c>
      <c r="G105" s="218"/>
      <c r="H105" s="214">
        <v>17.399999999999999</v>
      </c>
      <c r="I105" s="214">
        <v>3.86</v>
      </c>
      <c r="J105" s="215">
        <f t="shared" ref="J105" si="82">H105*I105</f>
        <v>67.163999999999987</v>
      </c>
      <c r="K105" s="216" t="s">
        <v>729</v>
      </c>
      <c r="L105" s="558"/>
      <c r="M105" s="214"/>
      <c r="N105" s="214">
        <v>60</v>
      </c>
      <c r="O105" s="214">
        <v>60</v>
      </c>
      <c r="P105" s="400">
        <f t="shared" ref="P105" si="83">N105/J105</f>
        <v>0.89333571556190838</v>
      </c>
      <c r="Q105" s="400">
        <f t="shared" ref="Q105" si="84">O105/J105</f>
        <v>0.89333571556190838</v>
      </c>
      <c r="R105" s="224" t="s">
        <v>55</v>
      </c>
      <c r="S105" s="214" t="s">
        <v>237</v>
      </c>
      <c r="T105" s="222" t="s">
        <v>311</v>
      </c>
    </row>
    <row r="106" spans="2:23" ht="15" customHeight="1" x14ac:dyDescent="0.25">
      <c r="B106" s="545"/>
      <c r="C106" s="518" t="s">
        <v>1107</v>
      </c>
      <c r="D106" s="214" t="s">
        <v>55</v>
      </c>
      <c r="E106" s="214" t="s">
        <v>55</v>
      </c>
      <c r="F106" s="214" t="s">
        <v>55</v>
      </c>
      <c r="G106" s="214" t="s">
        <v>55</v>
      </c>
      <c r="H106" s="214" t="s">
        <v>55</v>
      </c>
      <c r="I106" s="214" t="s">
        <v>55</v>
      </c>
      <c r="J106" s="214" t="s">
        <v>55</v>
      </c>
      <c r="K106" s="214" t="s">
        <v>55</v>
      </c>
      <c r="L106" s="214" t="s">
        <v>55</v>
      </c>
      <c r="M106" s="214" t="s">
        <v>55</v>
      </c>
      <c r="N106" s="214" t="s">
        <v>55</v>
      </c>
      <c r="O106" s="214" t="s">
        <v>55</v>
      </c>
      <c r="P106" s="400" t="s">
        <v>55</v>
      </c>
      <c r="Q106" s="400" t="s">
        <v>55</v>
      </c>
      <c r="R106" s="214" t="s">
        <v>55</v>
      </c>
      <c r="S106" s="214" t="s">
        <v>55</v>
      </c>
      <c r="T106" s="222" t="s">
        <v>55</v>
      </c>
    </row>
    <row r="107" spans="2:23" ht="15" customHeight="1" x14ac:dyDescent="0.25">
      <c r="B107" s="545"/>
      <c r="C107" s="518" t="s">
        <v>1108</v>
      </c>
      <c r="D107" s="214" t="s">
        <v>55</v>
      </c>
      <c r="E107" s="214" t="s">
        <v>55</v>
      </c>
      <c r="F107" s="214" t="s">
        <v>55</v>
      </c>
      <c r="G107" s="214" t="s">
        <v>55</v>
      </c>
      <c r="H107" s="214" t="s">
        <v>55</v>
      </c>
      <c r="I107" s="214" t="s">
        <v>55</v>
      </c>
      <c r="J107" s="214" t="s">
        <v>55</v>
      </c>
      <c r="K107" s="214" t="s">
        <v>55</v>
      </c>
      <c r="L107" s="214" t="s">
        <v>55</v>
      </c>
      <c r="M107" s="214" t="s">
        <v>55</v>
      </c>
      <c r="N107" s="214" t="s">
        <v>55</v>
      </c>
      <c r="O107" s="214" t="s">
        <v>55</v>
      </c>
      <c r="P107" s="400" t="s">
        <v>55</v>
      </c>
      <c r="Q107" s="400" t="s">
        <v>55</v>
      </c>
      <c r="R107" s="214" t="s">
        <v>55</v>
      </c>
      <c r="S107" s="214" t="s">
        <v>55</v>
      </c>
      <c r="T107" s="222" t="s">
        <v>55</v>
      </c>
    </row>
    <row r="108" spans="2:23" ht="15" customHeight="1" x14ac:dyDescent="0.25">
      <c r="B108" s="545"/>
      <c r="C108" s="518" t="s">
        <v>976</v>
      </c>
      <c r="D108" s="214" t="s">
        <v>55</v>
      </c>
      <c r="E108" s="214" t="s">
        <v>55</v>
      </c>
      <c r="F108" s="214" t="s">
        <v>55</v>
      </c>
      <c r="G108" s="214" t="s">
        <v>55</v>
      </c>
      <c r="H108" s="214" t="s">
        <v>55</v>
      </c>
      <c r="I108" s="214" t="s">
        <v>55</v>
      </c>
      <c r="J108" s="214" t="s">
        <v>55</v>
      </c>
      <c r="K108" s="214" t="s">
        <v>55</v>
      </c>
      <c r="L108" s="214" t="s">
        <v>55</v>
      </c>
      <c r="M108" s="214" t="s">
        <v>55</v>
      </c>
      <c r="N108" s="214" t="s">
        <v>55</v>
      </c>
      <c r="O108" s="214" t="s">
        <v>55</v>
      </c>
      <c r="P108" s="400" t="s">
        <v>55</v>
      </c>
      <c r="Q108" s="400" t="s">
        <v>55</v>
      </c>
      <c r="R108" s="214" t="s">
        <v>55</v>
      </c>
      <c r="S108" s="214" t="s">
        <v>55</v>
      </c>
      <c r="T108" s="222" t="s">
        <v>55</v>
      </c>
      <c r="U108" s="298" t="s">
        <v>55</v>
      </c>
      <c r="V108" s="214" t="s">
        <v>55</v>
      </c>
      <c r="W108" s="214" t="s">
        <v>55</v>
      </c>
    </row>
    <row r="109" spans="2:23" ht="23.25" customHeight="1" x14ac:dyDescent="0.25">
      <c r="B109" s="545">
        <v>6.54</v>
      </c>
      <c r="C109" s="518" t="s">
        <v>1071</v>
      </c>
      <c r="D109" s="214" t="s">
        <v>55</v>
      </c>
      <c r="E109" s="214" t="s">
        <v>55</v>
      </c>
      <c r="F109" s="214">
        <v>5</v>
      </c>
      <c r="G109" s="214" t="s">
        <v>55</v>
      </c>
      <c r="H109" s="214">
        <v>43.3</v>
      </c>
      <c r="I109" s="214">
        <v>3.86</v>
      </c>
      <c r="J109" s="215">
        <f t="shared" ref="J109" si="85">H109*I109</f>
        <v>167.13799999999998</v>
      </c>
      <c r="K109" s="216" t="s">
        <v>729</v>
      </c>
      <c r="L109" s="214" t="s">
        <v>55</v>
      </c>
      <c r="M109" s="214" t="s">
        <v>55</v>
      </c>
      <c r="N109" s="214">
        <v>300</v>
      </c>
      <c r="O109" s="214">
        <v>300</v>
      </c>
      <c r="P109" s="400">
        <f t="shared" ref="P109" si="86">N109/J109</f>
        <v>1.7949239550551044</v>
      </c>
      <c r="Q109" s="400">
        <f t="shared" ref="Q109" si="87">O109/J109</f>
        <v>1.7949239550551044</v>
      </c>
      <c r="R109" s="224" t="s">
        <v>55</v>
      </c>
      <c r="S109" s="214" t="s">
        <v>237</v>
      </c>
      <c r="T109" s="222" t="s">
        <v>311</v>
      </c>
    </row>
    <row r="110" spans="2:23" ht="15" customHeight="1" x14ac:dyDescent="0.25">
      <c r="B110" s="545"/>
      <c r="C110" s="518" t="s">
        <v>1102</v>
      </c>
      <c r="D110" s="214" t="s">
        <v>55</v>
      </c>
      <c r="E110" s="214" t="s">
        <v>55</v>
      </c>
      <c r="F110" s="214" t="s">
        <v>55</v>
      </c>
      <c r="G110" s="214" t="s">
        <v>55</v>
      </c>
      <c r="H110" s="214" t="s">
        <v>55</v>
      </c>
      <c r="I110" s="214" t="s">
        <v>55</v>
      </c>
      <c r="J110" s="214" t="s">
        <v>55</v>
      </c>
      <c r="K110" s="214" t="s">
        <v>55</v>
      </c>
      <c r="L110" s="214" t="s">
        <v>55</v>
      </c>
      <c r="M110" s="214" t="s">
        <v>55</v>
      </c>
      <c r="N110" s="214" t="s">
        <v>55</v>
      </c>
      <c r="O110" s="214" t="s">
        <v>55</v>
      </c>
      <c r="P110" s="400" t="s">
        <v>55</v>
      </c>
      <c r="Q110" s="400" t="s">
        <v>55</v>
      </c>
      <c r="R110" s="214" t="s">
        <v>55</v>
      </c>
      <c r="S110" s="214" t="s">
        <v>55</v>
      </c>
      <c r="T110" s="222" t="s">
        <v>55</v>
      </c>
    </row>
    <row r="111" spans="2:23" ht="15" customHeight="1" x14ac:dyDescent="0.25">
      <c r="B111" s="545"/>
      <c r="C111" s="518" t="s">
        <v>1103</v>
      </c>
      <c r="D111" s="214" t="s">
        <v>55</v>
      </c>
      <c r="E111" s="214" t="s">
        <v>55</v>
      </c>
      <c r="F111" s="214" t="s">
        <v>55</v>
      </c>
      <c r="G111" s="214" t="s">
        <v>55</v>
      </c>
      <c r="H111" s="214" t="s">
        <v>55</v>
      </c>
      <c r="I111" s="214" t="s">
        <v>55</v>
      </c>
      <c r="J111" s="214" t="s">
        <v>55</v>
      </c>
      <c r="K111" s="214" t="s">
        <v>55</v>
      </c>
      <c r="L111" s="214" t="s">
        <v>55</v>
      </c>
      <c r="M111" s="214" t="s">
        <v>55</v>
      </c>
      <c r="N111" s="214" t="s">
        <v>55</v>
      </c>
      <c r="O111" s="214" t="s">
        <v>55</v>
      </c>
      <c r="P111" s="400" t="s">
        <v>55</v>
      </c>
      <c r="Q111" s="400" t="s">
        <v>55</v>
      </c>
      <c r="R111" s="214" t="s">
        <v>55</v>
      </c>
      <c r="S111" s="214" t="s">
        <v>55</v>
      </c>
      <c r="T111" s="222" t="s">
        <v>55</v>
      </c>
    </row>
    <row r="112" spans="2:23" ht="15" customHeight="1" x14ac:dyDescent="0.25">
      <c r="B112" s="545"/>
      <c r="C112" s="518" t="s">
        <v>1109</v>
      </c>
      <c r="D112" s="214" t="s">
        <v>55</v>
      </c>
      <c r="E112" s="214" t="s">
        <v>55</v>
      </c>
      <c r="F112" s="214" t="s">
        <v>55</v>
      </c>
      <c r="G112" s="214" t="s">
        <v>55</v>
      </c>
      <c r="H112" s="214" t="s">
        <v>55</v>
      </c>
      <c r="I112" s="214" t="s">
        <v>55</v>
      </c>
      <c r="J112" s="214" t="s">
        <v>55</v>
      </c>
      <c r="K112" s="214" t="s">
        <v>55</v>
      </c>
      <c r="L112" s="214" t="s">
        <v>55</v>
      </c>
      <c r="M112" s="214" t="s">
        <v>55</v>
      </c>
      <c r="N112" s="214" t="s">
        <v>55</v>
      </c>
      <c r="O112" s="214" t="s">
        <v>55</v>
      </c>
      <c r="P112" s="400" t="s">
        <v>55</v>
      </c>
      <c r="Q112" s="400" t="s">
        <v>55</v>
      </c>
      <c r="R112" s="214" t="s">
        <v>55</v>
      </c>
      <c r="S112" s="214" t="s">
        <v>55</v>
      </c>
      <c r="T112" s="222" t="s">
        <v>55</v>
      </c>
    </row>
    <row r="113" spans="2:30" ht="15" customHeight="1" x14ac:dyDescent="0.25">
      <c r="B113" s="545"/>
      <c r="C113" s="518" t="s">
        <v>1062</v>
      </c>
      <c r="D113" s="214" t="s">
        <v>55</v>
      </c>
      <c r="E113" s="214" t="s">
        <v>55</v>
      </c>
      <c r="F113" s="214" t="s">
        <v>55</v>
      </c>
      <c r="G113" s="214" t="s">
        <v>55</v>
      </c>
      <c r="H113" s="214" t="s">
        <v>55</v>
      </c>
      <c r="I113" s="214" t="s">
        <v>55</v>
      </c>
      <c r="J113" s="214" t="s">
        <v>55</v>
      </c>
      <c r="K113" s="214" t="s">
        <v>55</v>
      </c>
      <c r="L113" s="214" t="s">
        <v>55</v>
      </c>
      <c r="M113" s="214" t="s">
        <v>55</v>
      </c>
      <c r="N113" s="214" t="s">
        <v>55</v>
      </c>
      <c r="O113" s="214" t="s">
        <v>55</v>
      </c>
      <c r="P113" s="400" t="s">
        <v>55</v>
      </c>
      <c r="Q113" s="400" t="s">
        <v>55</v>
      </c>
      <c r="R113" s="214" t="s">
        <v>55</v>
      </c>
      <c r="S113" s="214" t="s">
        <v>55</v>
      </c>
      <c r="T113" s="222" t="s">
        <v>55</v>
      </c>
    </row>
    <row r="114" spans="2:30" ht="26.25" customHeight="1" x14ac:dyDescent="0.25">
      <c r="B114" s="545">
        <v>6.55</v>
      </c>
      <c r="C114" s="518" t="s">
        <v>1110</v>
      </c>
      <c r="D114" s="214" t="s">
        <v>55</v>
      </c>
      <c r="E114" s="214" t="s">
        <v>55</v>
      </c>
      <c r="F114" s="214">
        <v>3</v>
      </c>
      <c r="G114" s="218" t="s">
        <v>55</v>
      </c>
      <c r="H114" s="214">
        <v>23.1</v>
      </c>
      <c r="I114" s="214">
        <v>3.86</v>
      </c>
      <c r="J114" s="215">
        <f t="shared" ref="J114" si="88">H114*I114</f>
        <v>89.165999999999997</v>
      </c>
      <c r="K114" s="216" t="s">
        <v>729</v>
      </c>
      <c r="L114" s="558"/>
      <c r="M114" s="214"/>
      <c r="N114" s="214">
        <v>180</v>
      </c>
      <c r="O114" s="214">
        <v>180</v>
      </c>
      <c r="P114" s="400">
        <f t="shared" ref="P114" si="89">N114/J114</f>
        <v>2.0187066819191171</v>
      </c>
      <c r="Q114" s="400">
        <f t="shared" ref="Q114" si="90">O114/J114</f>
        <v>2.0187066819191171</v>
      </c>
      <c r="R114" s="224" t="s">
        <v>55</v>
      </c>
      <c r="S114" s="214" t="s">
        <v>237</v>
      </c>
      <c r="T114" s="222" t="s">
        <v>311</v>
      </c>
    </row>
    <row r="115" spans="2:30" ht="15" customHeight="1" x14ac:dyDescent="0.25">
      <c r="B115" s="545"/>
      <c r="C115" s="518" t="s">
        <v>1111</v>
      </c>
      <c r="D115" s="214" t="s">
        <v>55</v>
      </c>
      <c r="E115" s="214" t="s">
        <v>55</v>
      </c>
      <c r="F115" s="214" t="s">
        <v>55</v>
      </c>
      <c r="G115" s="214" t="s">
        <v>55</v>
      </c>
      <c r="H115" s="214" t="s">
        <v>55</v>
      </c>
      <c r="I115" s="214" t="s">
        <v>55</v>
      </c>
      <c r="J115" s="214" t="s">
        <v>55</v>
      </c>
      <c r="K115" s="214" t="s">
        <v>55</v>
      </c>
      <c r="L115" s="214" t="s">
        <v>55</v>
      </c>
      <c r="M115" s="214" t="s">
        <v>55</v>
      </c>
      <c r="N115" s="214" t="s">
        <v>55</v>
      </c>
      <c r="O115" s="214" t="s">
        <v>55</v>
      </c>
      <c r="P115" s="400" t="s">
        <v>55</v>
      </c>
      <c r="Q115" s="400" t="s">
        <v>55</v>
      </c>
      <c r="R115" s="214" t="s">
        <v>55</v>
      </c>
      <c r="S115" s="214" t="s">
        <v>55</v>
      </c>
      <c r="T115" s="222" t="s">
        <v>55</v>
      </c>
    </row>
    <row r="116" spans="2:30" ht="15" customHeight="1" x14ac:dyDescent="0.25">
      <c r="B116" s="545"/>
      <c r="C116" s="518" t="s">
        <v>1112</v>
      </c>
      <c r="D116" s="214" t="s">
        <v>55</v>
      </c>
      <c r="E116" s="214" t="s">
        <v>55</v>
      </c>
      <c r="F116" s="214" t="s">
        <v>55</v>
      </c>
      <c r="G116" s="214" t="s">
        <v>55</v>
      </c>
      <c r="H116" s="214" t="s">
        <v>55</v>
      </c>
      <c r="I116" s="214" t="s">
        <v>55</v>
      </c>
      <c r="J116" s="214" t="s">
        <v>55</v>
      </c>
      <c r="K116" s="214" t="s">
        <v>55</v>
      </c>
      <c r="L116" s="214" t="s">
        <v>55</v>
      </c>
      <c r="M116" s="214" t="s">
        <v>55</v>
      </c>
      <c r="N116" s="214" t="s">
        <v>55</v>
      </c>
      <c r="O116" s="214" t="s">
        <v>55</v>
      </c>
      <c r="P116" s="400" t="s">
        <v>55</v>
      </c>
      <c r="Q116" s="400" t="s">
        <v>55</v>
      </c>
      <c r="R116" s="214" t="s">
        <v>55</v>
      </c>
      <c r="S116" s="214" t="s">
        <v>55</v>
      </c>
      <c r="T116" s="222" t="s">
        <v>55</v>
      </c>
    </row>
    <row r="117" spans="2:30" ht="15" customHeight="1" x14ac:dyDescent="0.25">
      <c r="B117" s="545"/>
      <c r="C117" s="518" t="s">
        <v>1113</v>
      </c>
      <c r="D117" s="214" t="s">
        <v>55</v>
      </c>
      <c r="E117" s="214" t="s">
        <v>55</v>
      </c>
      <c r="F117" s="214" t="s">
        <v>55</v>
      </c>
      <c r="G117" s="214" t="s">
        <v>55</v>
      </c>
      <c r="H117" s="214" t="s">
        <v>55</v>
      </c>
      <c r="I117" s="214" t="s">
        <v>55</v>
      </c>
      <c r="J117" s="214" t="s">
        <v>55</v>
      </c>
      <c r="K117" s="214" t="s">
        <v>55</v>
      </c>
      <c r="L117" s="214" t="s">
        <v>55</v>
      </c>
      <c r="M117" s="214" t="s">
        <v>55</v>
      </c>
      <c r="N117" s="214" t="s">
        <v>55</v>
      </c>
      <c r="O117" s="214" t="s">
        <v>55</v>
      </c>
      <c r="P117" s="400" t="s">
        <v>55</v>
      </c>
      <c r="Q117" s="400" t="s">
        <v>55</v>
      </c>
      <c r="R117" s="214" t="s">
        <v>55</v>
      </c>
      <c r="S117" s="214" t="s">
        <v>55</v>
      </c>
      <c r="T117" s="222" t="s">
        <v>55</v>
      </c>
    </row>
    <row r="118" spans="2:30" ht="24" customHeight="1" x14ac:dyDescent="0.25">
      <c r="B118" s="545">
        <v>6.56</v>
      </c>
      <c r="C118" s="518" t="s">
        <v>1071</v>
      </c>
      <c r="D118" s="214" t="s">
        <v>55</v>
      </c>
      <c r="E118" s="214" t="s">
        <v>55</v>
      </c>
      <c r="F118" s="214">
        <v>3</v>
      </c>
      <c r="G118" s="218" t="s">
        <v>55</v>
      </c>
      <c r="H118" s="214">
        <v>21.8</v>
      </c>
      <c r="I118" s="214">
        <v>3.86</v>
      </c>
      <c r="J118" s="215">
        <f>H118*I118</f>
        <v>84.147999999999996</v>
      </c>
      <c r="K118" s="216" t="s">
        <v>729</v>
      </c>
      <c r="L118" s="214" t="s">
        <v>55</v>
      </c>
      <c r="M118" s="214" t="s">
        <v>55</v>
      </c>
      <c r="N118" s="214">
        <v>180</v>
      </c>
      <c r="O118" s="214">
        <v>180</v>
      </c>
      <c r="P118" s="400">
        <f t="shared" ref="P118" si="91">N118/J118</f>
        <v>2.1390882730427343</v>
      </c>
      <c r="Q118" s="400">
        <f t="shared" ref="Q118" si="92">O118/J118</f>
        <v>2.1390882730427343</v>
      </c>
      <c r="R118" s="224" t="s">
        <v>55</v>
      </c>
      <c r="S118" s="214" t="s">
        <v>237</v>
      </c>
      <c r="T118" s="222" t="s">
        <v>311</v>
      </c>
    </row>
    <row r="119" spans="2:30" ht="15" customHeight="1" x14ac:dyDescent="0.25">
      <c r="B119" s="545"/>
      <c r="C119" s="518" t="s">
        <v>1074</v>
      </c>
      <c r="D119" s="214" t="s">
        <v>55</v>
      </c>
      <c r="E119" s="214" t="s">
        <v>55</v>
      </c>
      <c r="F119" s="214" t="s">
        <v>55</v>
      </c>
      <c r="G119" s="214" t="s">
        <v>55</v>
      </c>
      <c r="H119" s="214" t="s">
        <v>55</v>
      </c>
      <c r="I119" s="214" t="s">
        <v>55</v>
      </c>
      <c r="J119" s="214" t="s">
        <v>55</v>
      </c>
      <c r="K119" s="214" t="s">
        <v>55</v>
      </c>
      <c r="L119" s="214" t="s">
        <v>55</v>
      </c>
      <c r="M119" s="214" t="s">
        <v>55</v>
      </c>
      <c r="N119" s="214" t="s">
        <v>55</v>
      </c>
      <c r="O119" s="214" t="s">
        <v>55</v>
      </c>
      <c r="P119" s="400" t="s">
        <v>55</v>
      </c>
      <c r="Q119" s="400" t="s">
        <v>55</v>
      </c>
      <c r="R119" s="214" t="s">
        <v>55</v>
      </c>
      <c r="S119" s="214" t="s">
        <v>55</v>
      </c>
      <c r="T119" s="222" t="s">
        <v>55</v>
      </c>
    </row>
    <row r="120" spans="2:30" ht="15" customHeight="1" x14ac:dyDescent="0.25">
      <c r="B120" s="545"/>
      <c r="C120" s="518" t="s">
        <v>653</v>
      </c>
      <c r="D120" s="214" t="s">
        <v>55</v>
      </c>
      <c r="E120" s="214" t="s">
        <v>55</v>
      </c>
      <c r="F120" s="214" t="s">
        <v>55</v>
      </c>
      <c r="G120" s="214" t="s">
        <v>55</v>
      </c>
      <c r="H120" s="214" t="s">
        <v>55</v>
      </c>
      <c r="I120" s="214" t="s">
        <v>55</v>
      </c>
      <c r="J120" s="214" t="s">
        <v>55</v>
      </c>
      <c r="K120" s="214" t="s">
        <v>55</v>
      </c>
      <c r="L120" s="214" t="s">
        <v>55</v>
      </c>
      <c r="M120" s="214" t="s">
        <v>55</v>
      </c>
      <c r="N120" s="214" t="s">
        <v>55</v>
      </c>
      <c r="O120" s="214" t="s">
        <v>55</v>
      </c>
      <c r="P120" s="400" t="s">
        <v>55</v>
      </c>
      <c r="Q120" s="400" t="s">
        <v>55</v>
      </c>
      <c r="R120" s="214" t="s">
        <v>55</v>
      </c>
      <c r="S120" s="214" t="s">
        <v>55</v>
      </c>
      <c r="T120" s="222" t="s">
        <v>55</v>
      </c>
    </row>
    <row r="121" spans="2:30" ht="26.25" customHeight="1" x14ac:dyDescent="0.25">
      <c r="B121" s="545">
        <v>6.57</v>
      </c>
      <c r="C121" s="518" t="s">
        <v>728</v>
      </c>
      <c r="D121" s="214" t="s">
        <v>55</v>
      </c>
      <c r="E121" s="214" t="s">
        <v>55</v>
      </c>
      <c r="F121" s="214">
        <v>45</v>
      </c>
      <c r="G121" s="555" t="s">
        <v>55</v>
      </c>
      <c r="H121" s="214">
        <v>281.3</v>
      </c>
      <c r="I121" s="214">
        <v>3.86</v>
      </c>
      <c r="J121" s="215">
        <f t="shared" ref="J121:J125" si="93">H121*I121</f>
        <v>1085.818</v>
      </c>
      <c r="K121" s="216" t="s">
        <v>729</v>
      </c>
      <c r="L121" s="214" t="s">
        <v>55</v>
      </c>
      <c r="M121" s="214" t="s">
        <v>55</v>
      </c>
      <c r="N121" s="214">
        <f>3660-60*16</f>
        <v>2700</v>
      </c>
      <c r="O121" s="214">
        <f>3660-60*16-300</f>
        <v>2400</v>
      </c>
      <c r="P121" s="400">
        <f t="shared" ref="P121:P125" si="94">N121/J121</f>
        <v>2.4866045690898475</v>
      </c>
      <c r="Q121" s="400">
        <f t="shared" ref="Q121:Q125" si="95">O121/J121</f>
        <v>2.2103151725243091</v>
      </c>
      <c r="R121" s="224" t="s">
        <v>55</v>
      </c>
      <c r="S121" s="214" t="s">
        <v>237</v>
      </c>
      <c r="T121" s="222" t="s">
        <v>311</v>
      </c>
      <c r="Z121" s="382" t="s">
        <v>1131</v>
      </c>
      <c r="AA121"/>
      <c r="AB121"/>
      <c r="AC121"/>
      <c r="AD121"/>
    </row>
    <row r="122" spans="2:30" ht="15" customHeight="1" x14ac:dyDescent="0.25">
      <c r="B122" s="545">
        <v>6.58</v>
      </c>
      <c r="C122" s="518" t="s">
        <v>54</v>
      </c>
      <c r="D122" s="214" t="s">
        <v>560</v>
      </c>
      <c r="E122" s="214" t="s">
        <v>55</v>
      </c>
      <c r="F122" s="214"/>
      <c r="G122" s="555"/>
      <c r="H122" s="214">
        <v>10.9</v>
      </c>
      <c r="I122" s="214">
        <v>3.86</v>
      </c>
      <c r="J122" s="215">
        <f t="shared" si="93"/>
        <v>42.073999999999998</v>
      </c>
      <c r="K122" s="557" t="s">
        <v>55</v>
      </c>
      <c r="L122" s="558">
        <v>1</v>
      </c>
      <c r="M122" s="214" t="s">
        <v>55</v>
      </c>
      <c r="N122" s="214" t="s">
        <v>55</v>
      </c>
      <c r="O122" s="214">
        <v>40</v>
      </c>
      <c r="P122" s="400" t="s">
        <v>55</v>
      </c>
      <c r="Q122" s="400">
        <f t="shared" si="95"/>
        <v>0.95070589913010417</v>
      </c>
      <c r="R122" s="224" t="s">
        <v>55</v>
      </c>
      <c r="S122" s="214" t="s">
        <v>55</v>
      </c>
      <c r="T122" s="222" t="s">
        <v>311</v>
      </c>
    </row>
    <row r="123" spans="2:30" ht="15" customHeight="1" x14ac:dyDescent="0.25">
      <c r="B123" s="545">
        <v>6.59</v>
      </c>
      <c r="C123" s="518" t="s">
        <v>1047</v>
      </c>
      <c r="D123" s="214" t="s">
        <v>55</v>
      </c>
      <c r="E123" s="214" t="s">
        <v>55</v>
      </c>
      <c r="F123" s="214" t="s">
        <v>55</v>
      </c>
      <c r="G123" s="555" t="s">
        <v>55</v>
      </c>
      <c r="H123" s="214">
        <v>7.3</v>
      </c>
      <c r="I123" s="214">
        <v>3.86</v>
      </c>
      <c r="J123" s="215">
        <f t="shared" si="93"/>
        <v>28.177999999999997</v>
      </c>
      <c r="K123" s="557" t="s">
        <v>55</v>
      </c>
      <c r="L123" s="557" t="s">
        <v>55</v>
      </c>
      <c r="M123" s="557" t="s">
        <v>55</v>
      </c>
      <c r="N123" s="557" t="s">
        <v>55</v>
      </c>
      <c r="O123" s="214">
        <v>30</v>
      </c>
      <c r="P123" s="400"/>
      <c r="Q123" s="400">
        <f t="shared" si="95"/>
        <v>1.0646603733409044</v>
      </c>
      <c r="R123" s="224" t="s">
        <v>55</v>
      </c>
      <c r="S123" s="214" t="s">
        <v>237</v>
      </c>
      <c r="T123" s="222" t="s">
        <v>311</v>
      </c>
    </row>
    <row r="124" spans="2:30" ht="35.25" customHeight="1" x14ac:dyDescent="0.25">
      <c r="B124" s="545">
        <v>6.6</v>
      </c>
      <c r="C124" s="518" t="s">
        <v>85</v>
      </c>
      <c r="D124" s="214" t="s">
        <v>55</v>
      </c>
      <c r="E124" s="214" t="s">
        <v>55</v>
      </c>
      <c r="F124" s="214">
        <v>1</v>
      </c>
      <c r="G124" s="555">
        <v>2</v>
      </c>
      <c r="H124" s="214">
        <v>27</v>
      </c>
      <c r="I124" s="214">
        <v>3.86</v>
      </c>
      <c r="J124" s="215">
        <f t="shared" si="93"/>
        <v>104.22</v>
      </c>
      <c r="K124" s="216" t="s">
        <v>670</v>
      </c>
      <c r="L124" s="558" t="s">
        <v>55</v>
      </c>
      <c r="M124" s="214" t="s">
        <v>55</v>
      </c>
      <c r="N124" s="214">
        <v>100</v>
      </c>
      <c r="O124" s="214">
        <v>100</v>
      </c>
      <c r="P124" s="400">
        <f t="shared" si="94"/>
        <v>0.95950873152945693</v>
      </c>
      <c r="Q124" s="400">
        <f t="shared" si="95"/>
        <v>0.95950873152945693</v>
      </c>
      <c r="R124" s="224" t="s">
        <v>55</v>
      </c>
      <c r="S124" s="214" t="s">
        <v>237</v>
      </c>
      <c r="T124" s="222" t="s">
        <v>311</v>
      </c>
    </row>
    <row r="125" spans="2:30" ht="35.25" customHeight="1" x14ac:dyDescent="0.25">
      <c r="B125" s="545">
        <v>6.61</v>
      </c>
      <c r="C125" s="518" t="s">
        <v>1076</v>
      </c>
      <c r="D125" s="214" t="s">
        <v>55</v>
      </c>
      <c r="E125" s="214" t="s">
        <v>55</v>
      </c>
      <c r="F125" s="554">
        <v>1</v>
      </c>
      <c r="G125" s="555">
        <v>2</v>
      </c>
      <c r="H125" s="214">
        <v>12.5</v>
      </c>
      <c r="I125" s="214">
        <v>3.86</v>
      </c>
      <c r="J125" s="215">
        <f t="shared" si="93"/>
        <v>48.25</v>
      </c>
      <c r="K125" s="216" t="s">
        <v>670</v>
      </c>
      <c r="L125" s="214" t="s">
        <v>55</v>
      </c>
      <c r="M125" s="214" t="s">
        <v>55</v>
      </c>
      <c r="N125" s="214">
        <v>100</v>
      </c>
      <c r="O125" s="214">
        <v>100</v>
      </c>
      <c r="P125" s="400">
        <f t="shared" si="94"/>
        <v>2.0725388601036268</v>
      </c>
      <c r="Q125" s="400">
        <f t="shared" si="95"/>
        <v>2.0725388601036268</v>
      </c>
      <c r="R125" s="224" t="s">
        <v>55</v>
      </c>
      <c r="S125" s="214" t="s">
        <v>237</v>
      </c>
      <c r="T125" s="222" t="s">
        <v>311</v>
      </c>
    </row>
    <row r="126" spans="2:30" ht="15" customHeight="1" x14ac:dyDescent="0.25">
      <c r="B126" s="545"/>
      <c r="C126" s="518" t="s">
        <v>1114</v>
      </c>
      <c r="D126" s="214" t="s">
        <v>55</v>
      </c>
      <c r="E126" s="214" t="s">
        <v>55</v>
      </c>
      <c r="F126" s="214" t="s">
        <v>55</v>
      </c>
      <c r="G126" s="214" t="s">
        <v>55</v>
      </c>
      <c r="H126" s="214" t="s">
        <v>55</v>
      </c>
      <c r="I126" s="214" t="s">
        <v>55</v>
      </c>
      <c r="J126" s="214" t="s">
        <v>55</v>
      </c>
      <c r="K126" s="214" t="s">
        <v>55</v>
      </c>
      <c r="L126" s="214" t="s">
        <v>55</v>
      </c>
      <c r="M126" s="214" t="s">
        <v>55</v>
      </c>
      <c r="N126" s="214" t="s">
        <v>55</v>
      </c>
      <c r="O126" s="214" t="s">
        <v>55</v>
      </c>
      <c r="P126" s="400" t="s">
        <v>55</v>
      </c>
      <c r="Q126" s="400" t="s">
        <v>55</v>
      </c>
      <c r="R126" s="214" t="s">
        <v>55</v>
      </c>
      <c r="S126" s="214" t="s">
        <v>55</v>
      </c>
      <c r="T126" s="222" t="s">
        <v>55</v>
      </c>
    </row>
    <row r="127" spans="2:30" ht="26.25" customHeight="1" x14ac:dyDescent="0.25">
      <c r="B127" s="545">
        <v>6.62</v>
      </c>
      <c r="C127" s="518" t="s">
        <v>553</v>
      </c>
      <c r="D127" s="214" t="s">
        <v>55</v>
      </c>
      <c r="E127" s="214" t="s">
        <v>55</v>
      </c>
      <c r="F127" s="554" t="s">
        <v>55</v>
      </c>
      <c r="G127" s="555">
        <v>8</v>
      </c>
      <c r="H127" s="214">
        <v>12.7</v>
      </c>
      <c r="I127" s="214">
        <v>3.86</v>
      </c>
      <c r="J127" s="215">
        <f t="shared" ref="J127:J128" si="96">H127*I127</f>
        <v>49.021999999999998</v>
      </c>
      <c r="K127" s="216" t="s">
        <v>1136</v>
      </c>
      <c r="L127" s="214" t="s">
        <v>55</v>
      </c>
      <c r="M127" s="214" t="s">
        <v>55</v>
      </c>
      <c r="N127" s="214">
        <v>80</v>
      </c>
      <c r="O127" s="214">
        <v>160</v>
      </c>
      <c r="P127" s="400">
        <f t="shared" ref="P127:P128" si="97">N127/J127</f>
        <v>1.6319203622863205</v>
      </c>
      <c r="Q127" s="400">
        <f t="shared" ref="Q127:Q128" si="98">O127/J127</f>
        <v>3.2638407245726411</v>
      </c>
      <c r="R127" s="224" t="s">
        <v>55</v>
      </c>
      <c r="S127" s="214" t="s">
        <v>237</v>
      </c>
      <c r="T127" s="222" t="s">
        <v>311</v>
      </c>
      <c r="Z127" s="382" t="s">
        <v>1139</v>
      </c>
      <c r="AA127"/>
      <c r="AB127"/>
    </row>
    <row r="128" spans="2:30" ht="24.75" customHeight="1" x14ac:dyDescent="0.25">
      <c r="B128" s="545">
        <v>6.64</v>
      </c>
      <c r="C128" s="518" t="s">
        <v>1100</v>
      </c>
      <c r="D128" s="214" t="s">
        <v>55</v>
      </c>
      <c r="E128" s="214" t="s">
        <v>55</v>
      </c>
      <c r="F128" s="554">
        <v>8</v>
      </c>
      <c r="G128" s="555" t="s">
        <v>55</v>
      </c>
      <c r="H128" s="214">
        <v>60</v>
      </c>
      <c r="I128" s="214">
        <v>3.86</v>
      </c>
      <c r="J128" s="215">
        <f t="shared" si="96"/>
        <v>231.6</v>
      </c>
      <c r="K128" s="216" t="s">
        <v>729</v>
      </c>
      <c r="L128" s="214" t="s">
        <v>55</v>
      </c>
      <c r="M128" s="214" t="s">
        <v>55</v>
      </c>
      <c r="N128" s="214">
        <f>600-60*2</f>
        <v>480</v>
      </c>
      <c r="O128" s="214">
        <f>600-60*2</f>
        <v>480</v>
      </c>
      <c r="P128" s="400">
        <f t="shared" si="97"/>
        <v>2.0725388601036272</v>
      </c>
      <c r="Q128" s="400">
        <f t="shared" si="98"/>
        <v>2.0725388601036272</v>
      </c>
      <c r="R128" s="224" t="s">
        <v>55</v>
      </c>
      <c r="S128" s="214" t="s">
        <v>237</v>
      </c>
      <c r="T128" s="222" t="s">
        <v>311</v>
      </c>
      <c r="Z128" s="382" t="s">
        <v>1137</v>
      </c>
      <c r="AA128"/>
    </row>
    <row r="129" spans="2:30" ht="15" customHeight="1" x14ac:dyDescent="0.25">
      <c r="B129" s="545"/>
      <c r="C129" s="518" t="s">
        <v>1115</v>
      </c>
      <c r="D129" s="214" t="s">
        <v>55</v>
      </c>
      <c r="E129" s="214" t="s">
        <v>55</v>
      </c>
      <c r="F129" s="214" t="s">
        <v>55</v>
      </c>
      <c r="G129" s="214" t="s">
        <v>55</v>
      </c>
      <c r="H129" s="214" t="s">
        <v>55</v>
      </c>
      <c r="I129" s="214" t="s">
        <v>55</v>
      </c>
      <c r="J129" s="214" t="s">
        <v>55</v>
      </c>
      <c r="K129" s="214" t="s">
        <v>55</v>
      </c>
      <c r="L129" s="214" t="s">
        <v>55</v>
      </c>
      <c r="M129" s="214" t="s">
        <v>55</v>
      </c>
      <c r="N129" s="214" t="s">
        <v>55</v>
      </c>
      <c r="O129" s="214" t="s">
        <v>55</v>
      </c>
      <c r="P129" s="400" t="s">
        <v>55</v>
      </c>
      <c r="Q129" s="400" t="s">
        <v>55</v>
      </c>
      <c r="R129" s="214" t="s">
        <v>55</v>
      </c>
      <c r="S129" s="214" t="s">
        <v>55</v>
      </c>
      <c r="T129" s="560"/>
    </row>
    <row r="130" spans="2:30" ht="15" customHeight="1" x14ac:dyDescent="0.25">
      <c r="B130" s="545"/>
      <c r="C130" s="518" t="s">
        <v>1116</v>
      </c>
      <c r="D130" s="214" t="s">
        <v>55</v>
      </c>
      <c r="E130" s="214" t="s">
        <v>55</v>
      </c>
      <c r="F130" s="214" t="s">
        <v>55</v>
      </c>
      <c r="G130" s="214" t="s">
        <v>55</v>
      </c>
      <c r="H130" s="214" t="s">
        <v>55</v>
      </c>
      <c r="I130" s="214" t="s">
        <v>55</v>
      </c>
      <c r="J130" s="214" t="s">
        <v>55</v>
      </c>
      <c r="K130" s="214" t="s">
        <v>55</v>
      </c>
      <c r="L130" s="214" t="s">
        <v>55</v>
      </c>
      <c r="M130" s="214" t="s">
        <v>55</v>
      </c>
      <c r="N130" s="214" t="s">
        <v>55</v>
      </c>
      <c r="O130" s="214" t="s">
        <v>55</v>
      </c>
      <c r="P130" s="400" t="s">
        <v>55</v>
      </c>
      <c r="Q130" s="400" t="s">
        <v>55</v>
      </c>
      <c r="R130" s="214" t="s">
        <v>55</v>
      </c>
      <c r="S130" s="214" t="s">
        <v>55</v>
      </c>
      <c r="T130" s="560"/>
    </row>
    <row r="131" spans="2:30" ht="26.25" customHeight="1" x14ac:dyDescent="0.25">
      <c r="B131" s="545">
        <v>6.65</v>
      </c>
      <c r="C131" s="518" t="s">
        <v>1106</v>
      </c>
      <c r="D131" s="214" t="s">
        <v>55</v>
      </c>
      <c r="E131" s="214" t="s">
        <v>55</v>
      </c>
      <c r="F131" s="554">
        <v>6</v>
      </c>
      <c r="G131" s="555"/>
      <c r="H131" s="214">
        <v>42.3</v>
      </c>
      <c r="I131" s="214">
        <v>3.86</v>
      </c>
      <c r="J131" s="215">
        <f t="shared" ref="J131" si="99">H131*I131</f>
        <v>163.27799999999999</v>
      </c>
      <c r="K131" s="216" t="s">
        <v>729</v>
      </c>
      <c r="L131" s="214" t="s">
        <v>55</v>
      </c>
      <c r="M131" s="214" t="s">
        <v>55</v>
      </c>
      <c r="N131" s="214">
        <v>360</v>
      </c>
      <c r="O131" s="214">
        <v>360</v>
      </c>
      <c r="P131" s="400">
        <f t="shared" ref="P131" si="100">N131/J131</f>
        <v>2.2048285745783267</v>
      </c>
      <c r="Q131" s="400">
        <f t="shared" ref="Q131" si="101">O131/J131</f>
        <v>2.2048285745783267</v>
      </c>
      <c r="R131" s="224" t="s">
        <v>55</v>
      </c>
      <c r="S131" s="214" t="s">
        <v>237</v>
      </c>
      <c r="T131" s="222" t="s">
        <v>311</v>
      </c>
    </row>
    <row r="132" spans="2:30" ht="15" customHeight="1" x14ac:dyDescent="0.25">
      <c r="B132" s="545"/>
      <c r="C132" s="518" t="s">
        <v>1107</v>
      </c>
      <c r="D132" s="214" t="s">
        <v>55</v>
      </c>
      <c r="E132" s="214" t="s">
        <v>55</v>
      </c>
      <c r="F132" s="214" t="s">
        <v>55</v>
      </c>
      <c r="G132" s="214" t="s">
        <v>55</v>
      </c>
      <c r="H132" s="214" t="s">
        <v>55</v>
      </c>
      <c r="I132" s="214" t="s">
        <v>55</v>
      </c>
      <c r="J132" s="214" t="s">
        <v>55</v>
      </c>
      <c r="K132" s="214" t="s">
        <v>55</v>
      </c>
      <c r="L132" s="214" t="s">
        <v>55</v>
      </c>
      <c r="M132" s="214" t="s">
        <v>55</v>
      </c>
      <c r="N132" s="214" t="s">
        <v>55</v>
      </c>
      <c r="O132" s="214" t="s">
        <v>55</v>
      </c>
      <c r="P132" s="400" t="s">
        <v>55</v>
      </c>
      <c r="Q132" s="400" t="s">
        <v>55</v>
      </c>
      <c r="R132" s="214" t="s">
        <v>55</v>
      </c>
      <c r="S132" s="214" t="s">
        <v>55</v>
      </c>
      <c r="T132" s="222" t="s">
        <v>55</v>
      </c>
    </row>
    <row r="133" spans="2:30" ht="15" customHeight="1" x14ac:dyDescent="0.25">
      <c r="B133" s="545"/>
      <c r="C133" s="518" t="s">
        <v>1117</v>
      </c>
      <c r="D133" s="214" t="s">
        <v>55</v>
      </c>
      <c r="E133" s="214" t="s">
        <v>55</v>
      </c>
      <c r="F133" s="214" t="s">
        <v>55</v>
      </c>
      <c r="G133" s="214" t="s">
        <v>55</v>
      </c>
      <c r="H133" s="214" t="s">
        <v>55</v>
      </c>
      <c r="I133" s="214" t="s">
        <v>55</v>
      </c>
      <c r="J133" s="214" t="s">
        <v>55</v>
      </c>
      <c r="K133" s="214" t="s">
        <v>55</v>
      </c>
      <c r="L133" s="214" t="s">
        <v>55</v>
      </c>
      <c r="M133" s="214" t="s">
        <v>55</v>
      </c>
      <c r="N133" s="214" t="s">
        <v>55</v>
      </c>
      <c r="O133" s="214" t="s">
        <v>55</v>
      </c>
      <c r="P133" s="400" t="s">
        <v>55</v>
      </c>
      <c r="Q133" s="400" t="s">
        <v>55</v>
      </c>
      <c r="R133" s="214" t="s">
        <v>55</v>
      </c>
      <c r="S133" s="214" t="s">
        <v>55</v>
      </c>
      <c r="T133" s="222" t="s">
        <v>55</v>
      </c>
    </row>
    <row r="134" spans="2:30" ht="15" customHeight="1" x14ac:dyDescent="0.25">
      <c r="B134" s="545"/>
      <c r="C134" s="518" t="s">
        <v>1118</v>
      </c>
      <c r="D134" s="214" t="s">
        <v>55</v>
      </c>
      <c r="E134" s="214" t="s">
        <v>55</v>
      </c>
      <c r="F134" s="214" t="s">
        <v>55</v>
      </c>
      <c r="G134" s="214" t="s">
        <v>55</v>
      </c>
      <c r="H134" s="214" t="s">
        <v>55</v>
      </c>
      <c r="I134" s="214" t="s">
        <v>55</v>
      </c>
      <c r="J134" s="214" t="s">
        <v>55</v>
      </c>
      <c r="K134" s="214" t="s">
        <v>55</v>
      </c>
      <c r="L134" s="214" t="s">
        <v>55</v>
      </c>
      <c r="M134" s="214" t="s">
        <v>55</v>
      </c>
      <c r="N134" s="214" t="s">
        <v>55</v>
      </c>
      <c r="O134" s="214" t="s">
        <v>55</v>
      </c>
      <c r="P134" s="400" t="s">
        <v>55</v>
      </c>
      <c r="Q134" s="400" t="s">
        <v>55</v>
      </c>
      <c r="R134" s="214" t="s">
        <v>55</v>
      </c>
      <c r="S134" s="214" t="s">
        <v>55</v>
      </c>
      <c r="T134" s="222" t="s">
        <v>55</v>
      </c>
    </row>
    <row r="135" spans="2:30" ht="25.5" customHeight="1" x14ac:dyDescent="0.25">
      <c r="B135" s="545">
        <v>6.66</v>
      </c>
      <c r="C135" s="518" t="s">
        <v>1122</v>
      </c>
      <c r="D135" s="214" t="s">
        <v>55</v>
      </c>
      <c r="E135" s="214" t="s">
        <v>55</v>
      </c>
      <c r="F135" s="554">
        <v>9</v>
      </c>
      <c r="G135" s="555"/>
      <c r="H135" s="214">
        <v>85.1</v>
      </c>
      <c r="I135" s="214">
        <v>3.86</v>
      </c>
      <c r="J135" s="215">
        <f t="shared" ref="J135" si="102">H135*I135</f>
        <v>328.48599999999999</v>
      </c>
      <c r="K135" s="216" t="s">
        <v>729</v>
      </c>
      <c r="L135" s="214" t="s">
        <v>55</v>
      </c>
      <c r="M135" s="214" t="s">
        <v>55</v>
      </c>
      <c r="N135" s="214">
        <f>720-60*3</f>
        <v>540</v>
      </c>
      <c r="O135" s="214">
        <f>720-60*3-90</f>
        <v>450</v>
      </c>
      <c r="P135" s="400">
        <f t="shared" ref="P135" si="103">N135/J135</f>
        <v>1.6439056763454152</v>
      </c>
      <c r="Q135" s="400">
        <f t="shared" ref="Q135" si="104">O135/J135</f>
        <v>1.3699213969545125</v>
      </c>
      <c r="R135" s="224" t="s">
        <v>55</v>
      </c>
      <c r="S135" s="214" t="s">
        <v>237</v>
      </c>
      <c r="T135" s="222" t="s">
        <v>311</v>
      </c>
      <c r="Z135" s="382" t="s">
        <v>1138</v>
      </c>
      <c r="AA135"/>
      <c r="AB135"/>
      <c r="AC135"/>
      <c r="AD135"/>
    </row>
    <row r="136" spans="2:30" ht="15" customHeight="1" x14ac:dyDescent="0.25">
      <c r="B136" s="545"/>
      <c r="C136" s="518" t="s">
        <v>1072</v>
      </c>
      <c r="D136" s="214" t="s">
        <v>55</v>
      </c>
      <c r="E136" s="214" t="s">
        <v>55</v>
      </c>
      <c r="F136" s="214" t="s">
        <v>55</v>
      </c>
      <c r="G136" s="214" t="s">
        <v>55</v>
      </c>
      <c r="H136" s="214" t="s">
        <v>55</v>
      </c>
      <c r="I136" s="214" t="s">
        <v>55</v>
      </c>
      <c r="J136" s="214" t="s">
        <v>55</v>
      </c>
      <c r="K136" s="214" t="s">
        <v>55</v>
      </c>
      <c r="L136" s="214" t="s">
        <v>55</v>
      </c>
      <c r="M136" s="214" t="s">
        <v>55</v>
      </c>
      <c r="N136" s="214" t="s">
        <v>55</v>
      </c>
      <c r="O136" s="214" t="s">
        <v>55</v>
      </c>
      <c r="P136" s="400" t="s">
        <v>55</v>
      </c>
      <c r="Q136" s="400" t="s">
        <v>55</v>
      </c>
      <c r="R136" s="214" t="s">
        <v>55</v>
      </c>
      <c r="S136" s="214" t="s">
        <v>55</v>
      </c>
      <c r="T136" s="222" t="s">
        <v>55</v>
      </c>
      <c r="U136" s="298" t="s">
        <v>55</v>
      </c>
      <c r="V136" s="214" t="s">
        <v>55</v>
      </c>
      <c r="W136" s="214" t="s">
        <v>55</v>
      </c>
      <c r="X136" s="214" t="s">
        <v>55</v>
      </c>
    </row>
    <row r="137" spans="2:30" ht="15" customHeight="1" x14ac:dyDescent="0.25">
      <c r="B137" s="545"/>
      <c r="C137" s="518" t="s">
        <v>1062</v>
      </c>
      <c r="D137" s="214" t="s">
        <v>55</v>
      </c>
      <c r="E137" s="214" t="s">
        <v>55</v>
      </c>
      <c r="F137" s="214" t="s">
        <v>55</v>
      </c>
      <c r="G137" s="214" t="s">
        <v>55</v>
      </c>
      <c r="H137" s="214" t="s">
        <v>55</v>
      </c>
      <c r="I137" s="214" t="s">
        <v>55</v>
      </c>
      <c r="J137" s="214" t="s">
        <v>55</v>
      </c>
      <c r="K137" s="214" t="s">
        <v>55</v>
      </c>
      <c r="L137" s="214" t="s">
        <v>55</v>
      </c>
      <c r="M137" s="214" t="s">
        <v>55</v>
      </c>
      <c r="N137" s="214" t="s">
        <v>55</v>
      </c>
      <c r="O137" s="214" t="s">
        <v>55</v>
      </c>
      <c r="P137" s="400" t="s">
        <v>55</v>
      </c>
      <c r="Q137" s="400" t="s">
        <v>55</v>
      </c>
      <c r="R137" s="214" t="s">
        <v>55</v>
      </c>
      <c r="S137" s="214" t="s">
        <v>55</v>
      </c>
      <c r="T137" s="222" t="s">
        <v>55</v>
      </c>
      <c r="U137" s="298" t="s">
        <v>55</v>
      </c>
      <c r="V137" s="214" t="s">
        <v>55</v>
      </c>
      <c r="W137" s="214" t="s">
        <v>55</v>
      </c>
      <c r="X137" s="214" t="s">
        <v>55</v>
      </c>
    </row>
    <row r="138" spans="2:30" ht="15" customHeight="1" x14ac:dyDescent="0.25">
      <c r="B138" s="545">
        <v>6.67</v>
      </c>
      <c r="C138" s="518" t="s">
        <v>1050</v>
      </c>
      <c r="D138" s="214" t="s">
        <v>560</v>
      </c>
      <c r="E138" s="214" t="s">
        <v>55</v>
      </c>
      <c r="F138" s="214" t="s">
        <v>55</v>
      </c>
      <c r="G138" s="214" t="s">
        <v>55</v>
      </c>
      <c r="H138" s="214">
        <v>18.600000000000001</v>
      </c>
      <c r="I138" s="214">
        <v>3.86</v>
      </c>
      <c r="J138" s="215">
        <f t="shared" ref="J138:J140" si="105">H138*I138</f>
        <v>71.796000000000006</v>
      </c>
      <c r="K138" s="557" t="s">
        <v>55</v>
      </c>
      <c r="L138" s="558">
        <v>1</v>
      </c>
      <c r="M138" s="214" t="s">
        <v>55</v>
      </c>
      <c r="N138" s="214" t="s">
        <v>55</v>
      </c>
      <c r="O138" s="214">
        <v>65</v>
      </c>
      <c r="P138" s="400" t="s">
        <v>55</v>
      </c>
      <c r="Q138" s="400">
        <f t="shared" ref="Q138:Q140" si="106">O138/J138</f>
        <v>0.9053429160398907</v>
      </c>
      <c r="R138" s="224" t="s">
        <v>55</v>
      </c>
      <c r="S138" s="214" t="s">
        <v>237</v>
      </c>
      <c r="T138" s="222" t="s">
        <v>311</v>
      </c>
    </row>
    <row r="139" spans="2:30" ht="22.5" customHeight="1" x14ac:dyDescent="0.25">
      <c r="B139" s="545">
        <v>6.68</v>
      </c>
      <c r="C139" s="518" t="s">
        <v>553</v>
      </c>
      <c r="D139" s="214" t="s">
        <v>55</v>
      </c>
      <c r="E139" s="214" t="s">
        <v>55</v>
      </c>
      <c r="F139" s="214" t="s">
        <v>55</v>
      </c>
      <c r="G139" s="555">
        <v>4</v>
      </c>
      <c r="H139" s="214">
        <v>9.1999999999999993</v>
      </c>
      <c r="I139" s="214">
        <v>3.86</v>
      </c>
      <c r="J139" s="215">
        <f t="shared" si="105"/>
        <v>35.511999999999993</v>
      </c>
      <c r="K139" s="216" t="s">
        <v>1136</v>
      </c>
      <c r="L139" s="214" t="s">
        <v>55</v>
      </c>
      <c r="M139" s="214" t="s">
        <v>55</v>
      </c>
      <c r="N139" s="214">
        <v>40</v>
      </c>
      <c r="O139" s="214">
        <v>80</v>
      </c>
      <c r="P139" s="400">
        <f t="shared" ref="P139:P140" si="107">N139/J139</f>
        <v>1.1263798152737106</v>
      </c>
      <c r="Q139" s="400">
        <f t="shared" si="106"/>
        <v>2.2527596305474211</v>
      </c>
      <c r="R139" s="224" t="s">
        <v>55</v>
      </c>
      <c r="S139" s="214" t="s">
        <v>237</v>
      </c>
      <c r="T139" s="222" t="s">
        <v>311</v>
      </c>
    </row>
    <row r="140" spans="2:30" ht="15" customHeight="1" x14ac:dyDescent="0.25">
      <c r="B140" s="545">
        <v>6.79</v>
      </c>
      <c r="C140" s="518" t="s">
        <v>1119</v>
      </c>
      <c r="D140" s="214" t="s">
        <v>55</v>
      </c>
      <c r="E140" s="214" t="s">
        <v>55</v>
      </c>
      <c r="F140" s="554">
        <v>1</v>
      </c>
      <c r="G140" s="555"/>
      <c r="H140" s="214">
        <v>18</v>
      </c>
      <c r="I140" s="214">
        <v>3.86</v>
      </c>
      <c r="J140" s="215">
        <f t="shared" si="105"/>
        <v>69.48</v>
      </c>
      <c r="K140" s="557"/>
      <c r="L140" s="214" t="s">
        <v>55</v>
      </c>
      <c r="M140" s="214" t="s">
        <v>55</v>
      </c>
      <c r="N140" s="214">
        <v>60</v>
      </c>
      <c r="O140" s="214">
        <v>60</v>
      </c>
      <c r="P140" s="400">
        <f t="shared" si="107"/>
        <v>0.86355785837651122</v>
      </c>
      <c r="Q140" s="400">
        <f t="shared" si="106"/>
        <v>0.86355785837651122</v>
      </c>
      <c r="R140" s="224" t="s">
        <v>55</v>
      </c>
      <c r="S140" s="214" t="s">
        <v>237</v>
      </c>
      <c r="T140" s="222" t="s">
        <v>311</v>
      </c>
    </row>
    <row r="141" spans="2:30" ht="15" customHeight="1" x14ac:dyDescent="0.25">
      <c r="B141" s="545"/>
      <c r="C141" s="518" t="s">
        <v>1120</v>
      </c>
      <c r="D141" s="214" t="s">
        <v>55</v>
      </c>
      <c r="E141" s="214" t="s">
        <v>55</v>
      </c>
      <c r="F141" s="214" t="s">
        <v>55</v>
      </c>
      <c r="G141" s="214" t="s">
        <v>55</v>
      </c>
      <c r="H141" s="214" t="s">
        <v>55</v>
      </c>
      <c r="I141" s="214" t="s">
        <v>55</v>
      </c>
      <c r="J141" s="214" t="s">
        <v>55</v>
      </c>
      <c r="K141" s="214" t="s">
        <v>55</v>
      </c>
      <c r="L141" s="214" t="s">
        <v>55</v>
      </c>
      <c r="M141" s="214" t="s">
        <v>55</v>
      </c>
      <c r="N141" s="214" t="s">
        <v>55</v>
      </c>
      <c r="O141" s="214" t="s">
        <v>55</v>
      </c>
      <c r="P141" s="400" t="s">
        <v>55</v>
      </c>
      <c r="Q141" s="400" t="s">
        <v>55</v>
      </c>
      <c r="R141" s="214" t="s">
        <v>55</v>
      </c>
      <c r="S141" s="214" t="s">
        <v>55</v>
      </c>
      <c r="T141" s="222" t="s">
        <v>55</v>
      </c>
    </row>
    <row r="142" spans="2:30" ht="15" customHeight="1" x14ac:dyDescent="0.25">
      <c r="B142" s="545"/>
      <c r="C142" s="518" t="s">
        <v>1121</v>
      </c>
      <c r="D142" s="214" t="s">
        <v>55</v>
      </c>
      <c r="E142" s="214" t="s">
        <v>55</v>
      </c>
      <c r="F142" s="214" t="s">
        <v>55</v>
      </c>
      <c r="G142" s="214" t="s">
        <v>55</v>
      </c>
      <c r="H142" s="214" t="s">
        <v>55</v>
      </c>
      <c r="I142" s="214" t="s">
        <v>55</v>
      </c>
      <c r="J142" s="214" t="s">
        <v>55</v>
      </c>
      <c r="K142" s="214" t="s">
        <v>55</v>
      </c>
      <c r="L142" s="214" t="s">
        <v>55</v>
      </c>
      <c r="M142" s="214" t="s">
        <v>55</v>
      </c>
      <c r="N142" s="214" t="s">
        <v>55</v>
      </c>
      <c r="O142" s="214" t="s">
        <v>55</v>
      </c>
      <c r="P142" s="400" t="s">
        <v>55</v>
      </c>
      <c r="Q142" s="400" t="s">
        <v>55</v>
      </c>
      <c r="R142" s="214" t="s">
        <v>55</v>
      </c>
      <c r="S142" s="214" t="s">
        <v>55</v>
      </c>
      <c r="T142" s="222" t="s">
        <v>55</v>
      </c>
    </row>
    <row r="143" spans="2:30" ht="33.75" customHeight="1" x14ac:dyDescent="0.25">
      <c r="B143" s="545">
        <v>6.8</v>
      </c>
      <c r="C143" s="518" t="s">
        <v>1123</v>
      </c>
      <c r="D143" s="214" t="s">
        <v>55</v>
      </c>
      <c r="E143" s="214" t="s">
        <v>55</v>
      </c>
      <c r="F143" s="554">
        <v>2</v>
      </c>
      <c r="G143" s="555">
        <v>1</v>
      </c>
      <c r="H143" s="214">
        <v>18.7</v>
      </c>
      <c r="I143" s="214">
        <v>3.86</v>
      </c>
      <c r="J143" s="215">
        <f t="shared" ref="J143:J148" si="108">H143*I143</f>
        <v>72.181999999999988</v>
      </c>
      <c r="K143" s="216" t="s">
        <v>670</v>
      </c>
      <c r="L143" s="214" t="s">
        <v>55</v>
      </c>
      <c r="M143" s="214" t="s">
        <v>55</v>
      </c>
      <c r="N143" s="214">
        <v>140</v>
      </c>
      <c r="O143" s="214">
        <v>140</v>
      </c>
      <c r="P143" s="400">
        <f t="shared" ref="P143" si="109">N143/J143</f>
        <v>1.9395417140007207</v>
      </c>
      <c r="Q143" s="400">
        <f t="shared" ref="Q143" si="110">O143/J143</f>
        <v>1.9395417140007207</v>
      </c>
      <c r="R143" s="224" t="s">
        <v>55</v>
      </c>
      <c r="S143" s="214" t="s">
        <v>237</v>
      </c>
      <c r="T143" s="222" t="s">
        <v>311</v>
      </c>
    </row>
    <row r="144" spans="2:30" ht="15" customHeight="1" x14ac:dyDescent="0.25">
      <c r="B144" s="545"/>
      <c r="C144" s="518" t="s">
        <v>1124</v>
      </c>
      <c r="D144" s="214" t="s">
        <v>55</v>
      </c>
      <c r="E144" s="214" t="s">
        <v>55</v>
      </c>
      <c r="F144" s="214" t="s">
        <v>55</v>
      </c>
      <c r="G144" s="214" t="s">
        <v>55</v>
      </c>
      <c r="H144" s="214" t="s">
        <v>55</v>
      </c>
      <c r="I144" s="214" t="s">
        <v>55</v>
      </c>
      <c r="J144" s="214" t="s">
        <v>55</v>
      </c>
      <c r="K144" s="214" t="s">
        <v>55</v>
      </c>
      <c r="L144" s="214" t="s">
        <v>55</v>
      </c>
      <c r="M144" s="214" t="s">
        <v>55</v>
      </c>
      <c r="N144" s="214" t="s">
        <v>55</v>
      </c>
      <c r="O144" s="214" t="s">
        <v>55</v>
      </c>
      <c r="P144" s="400" t="s">
        <v>55</v>
      </c>
      <c r="Q144" s="400" t="s">
        <v>55</v>
      </c>
      <c r="R144" s="214" t="s">
        <v>55</v>
      </c>
      <c r="S144" s="214" t="s">
        <v>55</v>
      </c>
      <c r="T144" s="222" t="s">
        <v>55</v>
      </c>
    </row>
    <row r="145" spans="2:27" ht="15" customHeight="1" x14ac:dyDescent="0.25">
      <c r="B145" s="545"/>
      <c r="C145" s="518" t="s">
        <v>1125</v>
      </c>
      <c r="D145" s="214" t="s">
        <v>55</v>
      </c>
      <c r="E145" s="214" t="s">
        <v>55</v>
      </c>
      <c r="F145" s="214" t="s">
        <v>55</v>
      </c>
      <c r="G145" s="214" t="s">
        <v>55</v>
      </c>
      <c r="H145" s="214" t="s">
        <v>55</v>
      </c>
      <c r="I145" s="214" t="s">
        <v>55</v>
      </c>
      <c r="J145" s="214" t="s">
        <v>55</v>
      </c>
      <c r="K145" s="214" t="s">
        <v>55</v>
      </c>
      <c r="L145" s="214" t="s">
        <v>55</v>
      </c>
      <c r="M145" s="214" t="s">
        <v>55</v>
      </c>
      <c r="N145" s="214" t="s">
        <v>55</v>
      </c>
      <c r="O145" s="214" t="s">
        <v>55</v>
      </c>
      <c r="P145" s="400" t="s">
        <v>55</v>
      </c>
      <c r="Q145" s="400" t="s">
        <v>55</v>
      </c>
      <c r="R145" s="214" t="s">
        <v>55</v>
      </c>
      <c r="S145" s="214" t="s">
        <v>55</v>
      </c>
      <c r="T145" s="222" t="s">
        <v>55</v>
      </c>
    </row>
    <row r="146" spans="2:27" ht="15" customHeight="1" x14ac:dyDescent="0.25">
      <c r="B146" s="545"/>
      <c r="C146" s="518" t="s">
        <v>1126</v>
      </c>
      <c r="D146" s="214" t="s">
        <v>55</v>
      </c>
      <c r="E146" s="214" t="s">
        <v>55</v>
      </c>
      <c r="F146" s="214" t="s">
        <v>55</v>
      </c>
      <c r="G146" s="214" t="s">
        <v>55</v>
      </c>
      <c r="H146" s="214" t="s">
        <v>55</v>
      </c>
      <c r="I146" s="214" t="s">
        <v>55</v>
      </c>
      <c r="J146" s="214" t="s">
        <v>55</v>
      </c>
      <c r="K146" s="214" t="s">
        <v>55</v>
      </c>
      <c r="L146" s="214" t="s">
        <v>55</v>
      </c>
      <c r="M146" s="214" t="s">
        <v>55</v>
      </c>
      <c r="N146" s="214" t="s">
        <v>55</v>
      </c>
      <c r="O146" s="214" t="s">
        <v>55</v>
      </c>
      <c r="P146" s="400" t="s">
        <v>55</v>
      </c>
      <c r="Q146" s="400" t="s">
        <v>55</v>
      </c>
      <c r="R146" s="214" t="s">
        <v>55</v>
      </c>
      <c r="S146" s="214" t="s">
        <v>55</v>
      </c>
      <c r="T146" s="222" t="s">
        <v>55</v>
      </c>
    </row>
    <row r="147" spans="2:27" ht="15" customHeight="1" x14ac:dyDescent="0.25">
      <c r="B147" s="545"/>
      <c r="C147" s="518" t="s">
        <v>1127</v>
      </c>
      <c r="D147" s="214" t="s">
        <v>55</v>
      </c>
      <c r="E147" s="214" t="s">
        <v>55</v>
      </c>
      <c r="F147" s="214" t="s">
        <v>55</v>
      </c>
      <c r="G147" s="214" t="s">
        <v>55</v>
      </c>
      <c r="H147" s="214" t="s">
        <v>55</v>
      </c>
      <c r="I147" s="214" t="s">
        <v>55</v>
      </c>
      <c r="J147" s="214" t="s">
        <v>55</v>
      </c>
      <c r="K147" s="214" t="s">
        <v>55</v>
      </c>
      <c r="L147" s="214" t="s">
        <v>55</v>
      </c>
      <c r="M147" s="214" t="s">
        <v>55</v>
      </c>
      <c r="N147" s="214" t="s">
        <v>55</v>
      </c>
      <c r="O147" s="214" t="s">
        <v>55</v>
      </c>
      <c r="P147" s="400" t="s">
        <v>55</v>
      </c>
      <c r="Q147" s="400" t="s">
        <v>55</v>
      </c>
      <c r="R147" s="214" t="s">
        <v>55</v>
      </c>
      <c r="S147" s="214" t="s">
        <v>55</v>
      </c>
      <c r="T147" s="222" t="s">
        <v>55</v>
      </c>
    </row>
    <row r="148" spans="2:27" ht="28.5" customHeight="1" x14ac:dyDescent="0.25">
      <c r="B148" s="545">
        <v>6.81</v>
      </c>
      <c r="C148" s="518" t="s">
        <v>1080</v>
      </c>
      <c r="D148" s="214" t="s">
        <v>55</v>
      </c>
      <c r="E148" s="214" t="s">
        <v>55</v>
      </c>
      <c r="F148" s="554">
        <v>1</v>
      </c>
      <c r="G148" s="214" t="s">
        <v>55</v>
      </c>
      <c r="H148" s="558">
        <v>11.8</v>
      </c>
      <c r="I148" s="214">
        <v>3.86</v>
      </c>
      <c r="J148" s="215">
        <f t="shared" si="108"/>
        <v>45.548000000000002</v>
      </c>
      <c r="K148" s="216" t="s">
        <v>729</v>
      </c>
      <c r="L148" s="214" t="s">
        <v>55</v>
      </c>
      <c r="M148" s="214" t="s">
        <v>55</v>
      </c>
      <c r="N148" s="214">
        <v>60</v>
      </c>
      <c r="O148" s="214">
        <v>60</v>
      </c>
      <c r="P148" s="400">
        <f t="shared" ref="P148" si="111">N148/J148</f>
        <v>1.3172916483709494</v>
      </c>
      <c r="Q148" s="400">
        <f t="shared" ref="Q148" si="112">O148/J148</f>
        <v>1.3172916483709494</v>
      </c>
      <c r="R148" s="224" t="s">
        <v>55</v>
      </c>
      <c r="S148" s="214" t="s">
        <v>237</v>
      </c>
      <c r="T148" s="222" t="s">
        <v>311</v>
      </c>
    </row>
    <row r="149" spans="2:27" ht="15" customHeight="1" x14ac:dyDescent="0.25">
      <c r="B149" s="545"/>
      <c r="C149" s="518" t="s">
        <v>1081</v>
      </c>
      <c r="D149" s="214" t="s">
        <v>55</v>
      </c>
      <c r="E149" s="214" t="s">
        <v>55</v>
      </c>
      <c r="F149" s="214" t="s">
        <v>55</v>
      </c>
      <c r="G149" s="214" t="s">
        <v>55</v>
      </c>
      <c r="H149" s="214" t="s">
        <v>55</v>
      </c>
      <c r="I149" s="214" t="s">
        <v>55</v>
      </c>
      <c r="J149" s="214" t="s">
        <v>55</v>
      </c>
      <c r="K149" s="214" t="s">
        <v>55</v>
      </c>
      <c r="L149" s="214" t="s">
        <v>55</v>
      </c>
      <c r="M149" s="214" t="s">
        <v>55</v>
      </c>
      <c r="N149" s="214" t="s">
        <v>55</v>
      </c>
      <c r="O149" s="214" t="s">
        <v>55</v>
      </c>
      <c r="P149" s="400" t="s">
        <v>55</v>
      </c>
      <c r="Q149" s="400" t="s">
        <v>55</v>
      </c>
      <c r="R149" s="214" t="s">
        <v>55</v>
      </c>
      <c r="S149" s="214" t="s">
        <v>55</v>
      </c>
      <c r="T149" s="222" t="s">
        <v>55</v>
      </c>
    </row>
    <row r="150" spans="2:27" ht="15" customHeight="1" x14ac:dyDescent="0.25">
      <c r="B150" s="545"/>
      <c r="C150" s="518" t="s">
        <v>1082</v>
      </c>
      <c r="D150" s="214" t="s">
        <v>55</v>
      </c>
      <c r="E150" s="214" t="s">
        <v>55</v>
      </c>
      <c r="F150" s="214" t="s">
        <v>55</v>
      </c>
      <c r="G150" s="214" t="s">
        <v>55</v>
      </c>
      <c r="H150" s="214" t="s">
        <v>55</v>
      </c>
      <c r="I150" s="214" t="s">
        <v>55</v>
      </c>
      <c r="J150" s="214" t="s">
        <v>55</v>
      </c>
      <c r="K150" s="214" t="s">
        <v>55</v>
      </c>
      <c r="L150" s="214" t="s">
        <v>55</v>
      </c>
      <c r="M150" s="214" t="s">
        <v>55</v>
      </c>
      <c r="N150" s="214" t="s">
        <v>55</v>
      </c>
      <c r="O150" s="214" t="s">
        <v>55</v>
      </c>
      <c r="P150" s="400" t="s">
        <v>55</v>
      </c>
      <c r="Q150" s="400" t="s">
        <v>55</v>
      </c>
      <c r="R150" s="214" t="s">
        <v>55</v>
      </c>
      <c r="S150" s="214" t="s">
        <v>55</v>
      </c>
      <c r="T150" s="222" t="s">
        <v>55</v>
      </c>
    </row>
    <row r="151" spans="2:27" ht="15" customHeight="1" x14ac:dyDescent="0.25">
      <c r="B151" s="545"/>
      <c r="C151" s="518" t="s">
        <v>1083</v>
      </c>
      <c r="D151" s="214" t="s">
        <v>55</v>
      </c>
      <c r="E151" s="214" t="s">
        <v>55</v>
      </c>
      <c r="F151" s="214" t="s">
        <v>55</v>
      </c>
      <c r="G151" s="214" t="s">
        <v>55</v>
      </c>
      <c r="H151" s="214" t="s">
        <v>55</v>
      </c>
      <c r="I151" s="214" t="s">
        <v>55</v>
      </c>
      <c r="J151" s="214" t="s">
        <v>55</v>
      </c>
      <c r="K151" s="214" t="s">
        <v>55</v>
      </c>
      <c r="L151" s="214" t="s">
        <v>55</v>
      </c>
      <c r="M151" s="214" t="s">
        <v>55</v>
      </c>
      <c r="N151" s="214" t="s">
        <v>55</v>
      </c>
      <c r="O151" s="214" t="s">
        <v>55</v>
      </c>
      <c r="P151" s="400" t="s">
        <v>55</v>
      </c>
      <c r="Q151" s="400" t="s">
        <v>55</v>
      </c>
      <c r="R151" s="214" t="s">
        <v>55</v>
      </c>
      <c r="S151" s="214" t="s">
        <v>55</v>
      </c>
      <c r="T151" s="222" t="s">
        <v>55</v>
      </c>
    </row>
    <row r="152" spans="2:27" ht="15" customHeight="1" x14ac:dyDescent="0.25">
      <c r="B152" s="545"/>
      <c r="C152" s="518" t="s">
        <v>1084</v>
      </c>
      <c r="D152" s="214" t="s">
        <v>55</v>
      </c>
      <c r="E152" s="214" t="s">
        <v>55</v>
      </c>
      <c r="F152" s="214" t="s">
        <v>55</v>
      </c>
      <c r="G152" s="214" t="s">
        <v>55</v>
      </c>
      <c r="H152" s="214" t="s">
        <v>55</v>
      </c>
      <c r="I152" s="214" t="s">
        <v>55</v>
      </c>
      <c r="J152" s="214" t="s">
        <v>55</v>
      </c>
      <c r="K152" s="214" t="s">
        <v>55</v>
      </c>
      <c r="L152" s="214" t="s">
        <v>55</v>
      </c>
      <c r="M152" s="214" t="s">
        <v>55</v>
      </c>
      <c r="N152" s="214" t="s">
        <v>55</v>
      </c>
      <c r="O152" s="214" t="s">
        <v>55</v>
      </c>
      <c r="P152" s="400" t="s">
        <v>55</v>
      </c>
      <c r="Q152" s="400" t="s">
        <v>55</v>
      </c>
      <c r="R152" s="214" t="s">
        <v>55</v>
      </c>
      <c r="S152" s="214" t="s">
        <v>55</v>
      </c>
      <c r="T152" s="222" t="s">
        <v>55</v>
      </c>
    </row>
    <row r="153" spans="2:27" ht="15" customHeight="1" x14ac:dyDescent="0.25">
      <c r="B153" s="545">
        <v>6.82</v>
      </c>
      <c r="C153" s="518" t="s">
        <v>85</v>
      </c>
      <c r="D153" s="214" t="s">
        <v>55</v>
      </c>
      <c r="E153" s="214" t="s">
        <v>55</v>
      </c>
      <c r="F153" s="554">
        <v>4</v>
      </c>
      <c r="G153" s="555"/>
      <c r="H153" s="558">
        <v>41</v>
      </c>
      <c r="I153" s="214">
        <v>3.86</v>
      </c>
      <c r="J153" s="215">
        <f t="shared" ref="J153:J154" si="113">H153*I153</f>
        <v>158.26</v>
      </c>
      <c r="K153" s="214" t="s">
        <v>55</v>
      </c>
      <c r="L153" s="214" t="s">
        <v>55</v>
      </c>
      <c r="M153" s="214" t="s">
        <v>55</v>
      </c>
      <c r="N153" s="214">
        <v>240</v>
      </c>
      <c r="O153" s="214">
        <v>240</v>
      </c>
      <c r="P153" s="400">
        <f t="shared" ref="P153:P154" si="114">N153/J153</f>
        <v>1.5164918488563124</v>
      </c>
      <c r="Q153" s="400">
        <f t="shared" ref="Q153:Q154" si="115">O153/J153</f>
        <v>1.5164918488563124</v>
      </c>
      <c r="R153" s="224" t="s">
        <v>55</v>
      </c>
      <c r="S153" s="214" t="s">
        <v>237</v>
      </c>
      <c r="T153" s="222" t="s">
        <v>311</v>
      </c>
    </row>
    <row r="154" spans="2:27" ht="15" customHeight="1" x14ac:dyDescent="0.25">
      <c r="B154" s="545">
        <v>6.85</v>
      </c>
      <c r="C154" s="518" t="s">
        <v>1076</v>
      </c>
      <c r="D154" s="214" t="s">
        <v>55</v>
      </c>
      <c r="E154" s="214" t="s">
        <v>55</v>
      </c>
      <c r="F154" s="554">
        <v>5</v>
      </c>
      <c r="G154" s="555"/>
      <c r="H154" s="558">
        <v>13.1</v>
      </c>
      <c r="I154" s="214">
        <v>3.86</v>
      </c>
      <c r="J154" s="215">
        <f t="shared" si="113"/>
        <v>50.565999999999995</v>
      </c>
      <c r="K154" s="214" t="s">
        <v>55</v>
      </c>
      <c r="L154" s="214" t="s">
        <v>55</v>
      </c>
      <c r="M154" s="214" t="s">
        <v>55</v>
      </c>
      <c r="N154" s="214">
        <v>120</v>
      </c>
      <c r="O154" s="214">
        <v>120</v>
      </c>
      <c r="P154" s="400">
        <f t="shared" si="114"/>
        <v>2.3731360993552983</v>
      </c>
      <c r="Q154" s="400">
        <f t="shared" si="115"/>
        <v>2.3731360993552983</v>
      </c>
      <c r="R154" s="224" t="s">
        <v>55</v>
      </c>
      <c r="S154" s="214" t="s">
        <v>237</v>
      </c>
      <c r="T154" s="222" t="s">
        <v>311</v>
      </c>
    </row>
    <row r="155" spans="2:27" ht="15" customHeight="1" x14ac:dyDescent="0.25">
      <c r="B155" s="545"/>
      <c r="C155" s="518" t="s">
        <v>1114</v>
      </c>
      <c r="D155" s="214" t="s">
        <v>55</v>
      </c>
      <c r="E155" s="214" t="s">
        <v>55</v>
      </c>
      <c r="F155" s="214" t="s">
        <v>55</v>
      </c>
      <c r="G155" s="214" t="s">
        <v>55</v>
      </c>
      <c r="H155" s="214" t="s">
        <v>55</v>
      </c>
      <c r="I155" s="214" t="s">
        <v>55</v>
      </c>
      <c r="J155" s="214" t="s">
        <v>55</v>
      </c>
      <c r="K155" s="214" t="s">
        <v>55</v>
      </c>
      <c r="L155" s="214" t="s">
        <v>55</v>
      </c>
      <c r="M155" s="214" t="s">
        <v>55</v>
      </c>
      <c r="N155" s="214" t="s">
        <v>55</v>
      </c>
      <c r="O155" s="214" t="s">
        <v>55</v>
      </c>
      <c r="P155" s="400" t="s">
        <v>55</v>
      </c>
      <c r="Q155" s="400" t="s">
        <v>55</v>
      </c>
      <c r="R155" s="214" t="s">
        <v>55</v>
      </c>
      <c r="S155" s="214" t="s">
        <v>55</v>
      </c>
      <c r="T155" s="222" t="s">
        <v>55</v>
      </c>
    </row>
    <row r="156" spans="2:27" ht="15" customHeight="1" x14ac:dyDescent="0.25">
      <c r="B156" s="545">
        <v>6.86</v>
      </c>
      <c r="C156" s="518" t="s">
        <v>85</v>
      </c>
      <c r="D156" s="214" t="s">
        <v>55</v>
      </c>
      <c r="E156" s="214" t="s">
        <v>55</v>
      </c>
      <c r="F156" s="554">
        <v>1</v>
      </c>
      <c r="G156" s="555">
        <v>2</v>
      </c>
      <c r="H156" s="558">
        <v>26.9</v>
      </c>
      <c r="I156" s="214">
        <v>3.86</v>
      </c>
      <c r="J156" s="215">
        <f t="shared" ref="J156:J157" si="116">H156*I156</f>
        <v>103.83399999999999</v>
      </c>
      <c r="K156" s="214" t="s">
        <v>55</v>
      </c>
      <c r="L156" s="214" t="s">
        <v>55</v>
      </c>
      <c r="M156" s="214" t="s">
        <v>55</v>
      </c>
      <c r="N156" s="214">
        <v>100</v>
      </c>
      <c r="O156" s="214">
        <v>100</v>
      </c>
      <c r="P156" s="400">
        <f t="shared" ref="P156:P157" si="117">N156/J156</f>
        <v>0.96307567848681563</v>
      </c>
      <c r="Q156" s="400">
        <f t="shared" ref="Q156:Q157" si="118">O156/J156</f>
        <v>0.96307567848681563</v>
      </c>
      <c r="R156" s="224" t="s">
        <v>55</v>
      </c>
      <c r="S156" s="214" t="s">
        <v>237</v>
      </c>
      <c r="T156" s="222" t="s">
        <v>311</v>
      </c>
    </row>
    <row r="157" spans="2:27" ht="15" customHeight="1" x14ac:dyDescent="0.25">
      <c r="B157" s="545">
        <v>6.87</v>
      </c>
      <c r="C157" s="518" t="s">
        <v>112</v>
      </c>
      <c r="D157" s="214" t="s">
        <v>55</v>
      </c>
      <c r="E157" s="214" t="s">
        <v>55</v>
      </c>
      <c r="F157" s="561">
        <v>5</v>
      </c>
      <c r="G157" s="555"/>
      <c r="H157" s="558">
        <v>32.200000000000003</v>
      </c>
      <c r="I157" s="214">
        <v>3.86</v>
      </c>
      <c r="J157" s="215">
        <f t="shared" si="116"/>
        <v>124.292</v>
      </c>
      <c r="K157" s="214" t="s">
        <v>55</v>
      </c>
      <c r="L157" s="214" t="s">
        <v>55</v>
      </c>
      <c r="M157" s="214" t="s">
        <v>55</v>
      </c>
      <c r="N157" s="214">
        <v>300</v>
      </c>
      <c r="O157" s="214">
        <v>300</v>
      </c>
      <c r="P157" s="400">
        <f t="shared" si="117"/>
        <v>2.4136710327293791</v>
      </c>
      <c r="Q157" s="400">
        <f t="shared" si="118"/>
        <v>2.4136710327293791</v>
      </c>
      <c r="R157" s="214" t="s">
        <v>55</v>
      </c>
      <c r="S157" s="214" t="s">
        <v>237</v>
      </c>
      <c r="T157" s="222" t="s">
        <v>311</v>
      </c>
    </row>
    <row r="158" spans="2:27" ht="15" customHeight="1" thickBot="1" x14ac:dyDescent="0.3">
      <c r="B158" s="562"/>
      <c r="C158" s="563"/>
      <c r="D158" s="564" t="s">
        <v>508</v>
      </c>
      <c r="E158" s="565"/>
      <c r="F158" s="566">
        <f>SUM(F24:F157)</f>
        <v>159</v>
      </c>
      <c r="G158" s="566">
        <f>SUM(G24:G157)</f>
        <v>64</v>
      </c>
      <c r="H158" s="567"/>
      <c r="I158" s="568"/>
      <c r="J158" s="568"/>
      <c r="K158" s="568"/>
      <c r="L158" s="569" t="s">
        <v>557</v>
      </c>
      <c r="M158" s="569"/>
      <c r="N158" s="367">
        <f>SUM(N24:N157)</f>
        <v>11610</v>
      </c>
      <c r="O158" s="367">
        <f>SUM(O24:O157)</f>
        <v>11610</v>
      </c>
      <c r="P158" s="367"/>
      <c r="Q158" s="563"/>
      <c r="R158" s="570"/>
      <c r="S158" s="568"/>
      <c r="T158" s="571"/>
    </row>
    <row r="159" spans="2:27" ht="15" customHeight="1" thickBot="1" x14ac:dyDescent="0.3">
      <c r="B159" s="535" t="s">
        <v>1156</v>
      </c>
      <c r="C159" s="536"/>
      <c r="D159" s="536"/>
      <c r="E159" s="536"/>
      <c r="F159" s="536"/>
      <c r="G159" s="536"/>
      <c r="H159" s="536"/>
      <c r="I159" s="536"/>
      <c r="J159" s="536"/>
      <c r="K159" s="536"/>
      <c r="L159" s="536"/>
      <c r="M159" s="536"/>
      <c r="N159" s="536"/>
      <c r="O159" s="536"/>
      <c r="P159" s="536"/>
      <c r="Q159" s="536"/>
      <c r="R159" s="536"/>
      <c r="S159" s="536"/>
      <c r="T159" s="537"/>
    </row>
    <row r="160" spans="2:27" ht="15" customHeight="1" x14ac:dyDescent="0.2">
      <c r="B160" s="538">
        <v>7.01</v>
      </c>
      <c r="C160" s="509" t="s">
        <v>16</v>
      </c>
      <c r="D160" s="209" t="s">
        <v>55</v>
      </c>
      <c r="E160" s="209" t="s">
        <v>55</v>
      </c>
      <c r="F160" s="209" t="s">
        <v>55</v>
      </c>
      <c r="G160" s="209" t="s">
        <v>55</v>
      </c>
      <c r="H160" s="572">
        <v>73.7</v>
      </c>
      <c r="I160" s="209">
        <v>3.86</v>
      </c>
      <c r="J160" s="210">
        <f t="shared" ref="J160" si="119">H160*I160</f>
        <v>284.48200000000003</v>
      </c>
      <c r="K160" s="209" t="s">
        <v>55</v>
      </c>
      <c r="L160" s="209" t="s">
        <v>55</v>
      </c>
      <c r="M160" s="209" t="s">
        <v>55</v>
      </c>
      <c r="N160" s="573">
        <f>70+705</f>
        <v>775</v>
      </c>
      <c r="O160" s="574"/>
      <c r="P160" s="401">
        <f t="shared" ref="P160" si="120">N160/J160</f>
        <v>2.724249688908261</v>
      </c>
      <c r="Q160" s="575" t="s">
        <v>55</v>
      </c>
      <c r="R160" s="575" t="s">
        <v>55</v>
      </c>
      <c r="S160" s="540" t="s">
        <v>17</v>
      </c>
      <c r="T160" s="576" t="s">
        <v>55</v>
      </c>
      <c r="AA160" s="344" t="e">
        <f>SUM(O162:O162,#REF!)</f>
        <v>#REF!</v>
      </c>
    </row>
    <row r="161" spans="2:52" ht="15" customHeight="1" x14ac:dyDescent="0.25">
      <c r="B161" s="542"/>
      <c r="C161" s="515" t="s">
        <v>589</v>
      </c>
      <c r="D161" s="214" t="s">
        <v>55</v>
      </c>
      <c r="E161" s="214" t="s">
        <v>55</v>
      </c>
      <c r="F161" s="214" t="s">
        <v>55</v>
      </c>
      <c r="G161" s="214" t="s">
        <v>55</v>
      </c>
      <c r="H161" s="214" t="s">
        <v>55</v>
      </c>
      <c r="I161" s="214" t="s">
        <v>55</v>
      </c>
      <c r="J161" s="214" t="s">
        <v>55</v>
      </c>
      <c r="K161" s="214" t="s">
        <v>55</v>
      </c>
      <c r="L161" s="214" t="s">
        <v>55</v>
      </c>
      <c r="M161" s="214" t="s">
        <v>55</v>
      </c>
      <c r="N161" s="214" t="s">
        <v>55</v>
      </c>
      <c r="O161" s="577">
        <v>1305</v>
      </c>
      <c r="P161" s="561" t="s">
        <v>55</v>
      </c>
      <c r="Q161" s="561" t="s">
        <v>55</v>
      </c>
      <c r="R161" s="561" t="s">
        <v>55</v>
      </c>
      <c r="S161" s="561" t="s">
        <v>55</v>
      </c>
      <c r="T161" s="222" t="s">
        <v>590</v>
      </c>
    </row>
    <row r="162" spans="2:52" ht="23.25" customHeight="1" x14ac:dyDescent="0.2">
      <c r="B162" s="545">
        <v>7.15</v>
      </c>
      <c r="C162" s="518" t="s">
        <v>20</v>
      </c>
      <c r="D162" s="214" t="s">
        <v>55</v>
      </c>
      <c r="E162" s="214" t="s">
        <v>55</v>
      </c>
      <c r="F162" s="214" t="s">
        <v>55</v>
      </c>
      <c r="G162" s="214">
        <v>16</v>
      </c>
      <c r="H162" s="578">
        <v>49.3</v>
      </c>
      <c r="I162" s="214">
        <v>3.86</v>
      </c>
      <c r="J162" s="215">
        <f t="shared" ref="J162:J209" si="121">H162*I162</f>
        <v>190.29799999999997</v>
      </c>
      <c r="K162" s="216" t="s">
        <v>1136</v>
      </c>
      <c r="L162" s="214" t="s">
        <v>55</v>
      </c>
      <c r="M162" s="214" t="s">
        <v>55</v>
      </c>
      <c r="N162" s="579">
        <v>320</v>
      </c>
      <c r="O162" s="580">
        <v>320</v>
      </c>
      <c r="P162" s="400">
        <f t="shared" ref="P162" si="122">N162/J162</f>
        <v>1.6815731116459449</v>
      </c>
      <c r="Q162" s="400">
        <f>O162/J162</f>
        <v>1.6815731116459449</v>
      </c>
      <c r="R162" s="561" t="s">
        <v>55</v>
      </c>
      <c r="S162" s="581" t="s">
        <v>17</v>
      </c>
      <c r="T162" s="582" t="s">
        <v>18</v>
      </c>
      <c r="Z162" s="397"/>
      <c r="AC162" s="391" t="s">
        <v>1141</v>
      </c>
      <c r="AD162" s="214" t="s">
        <v>55</v>
      </c>
      <c r="AE162" s="214" t="s">
        <v>55</v>
      </c>
      <c r="AF162" s="214" t="s">
        <v>55</v>
      </c>
      <c r="AG162" s="214" t="s">
        <v>55</v>
      </c>
      <c r="AH162" s="394">
        <v>29.6</v>
      </c>
      <c r="AI162" s="395">
        <v>3.86</v>
      </c>
      <c r="AJ162" s="396">
        <f t="shared" ref="AJ162:AJ168" si="123">AH162*AI162</f>
        <v>114.256</v>
      </c>
      <c r="AK162" s="214" t="s">
        <v>55</v>
      </c>
      <c r="AL162" s="214" t="s">
        <v>55</v>
      </c>
      <c r="AM162" s="214" t="s">
        <v>55</v>
      </c>
      <c r="AN162" s="399"/>
      <c r="AO162" s="399">
        <v>600</v>
      </c>
      <c r="AP162" s="322" t="s">
        <v>55</v>
      </c>
      <c r="AQ162" s="400">
        <f t="shared" ref="AQ162:AQ168" si="124">AO162/AJ162</f>
        <v>5.2513653549922976</v>
      </c>
      <c r="AR162" s="329" t="s">
        <v>55</v>
      </c>
      <c r="AS162" s="393"/>
      <c r="AT162" s="402" t="s">
        <v>351</v>
      </c>
      <c r="AU162" s="206"/>
      <c r="AV162" s="206"/>
      <c r="AZ162" s="397" t="s">
        <v>351</v>
      </c>
    </row>
    <row r="163" spans="2:52" ht="15" customHeight="1" x14ac:dyDescent="0.25">
      <c r="B163" s="545">
        <v>7.2</v>
      </c>
      <c r="C163" s="518" t="s">
        <v>16</v>
      </c>
      <c r="D163" s="214" t="s">
        <v>55</v>
      </c>
      <c r="E163" s="214" t="s">
        <v>55</v>
      </c>
      <c r="F163" s="214" t="s">
        <v>55</v>
      </c>
      <c r="G163" s="214" t="s">
        <v>55</v>
      </c>
      <c r="H163" s="578">
        <v>83.8</v>
      </c>
      <c r="I163" s="214">
        <v>3.86</v>
      </c>
      <c r="J163" s="215">
        <f t="shared" si="121"/>
        <v>323.46799999999996</v>
      </c>
      <c r="K163" s="214" t="s">
        <v>55</v>
      </c>
      <c r="L163" s="214" t="s">
        <v>55</v>
      </c>
      <c r="M163" s="214" t="s">
        <v>55</v>
      </c>
      <c r="N163" s="579">
        <v>30</v>
      </c>
      <c r="O163" s="580" t="s">
        <v>55</v>
      </c>
      <c r="P163" s="400">
        <f t="shared" ref="P163:P169" si="125">N163/J163</f>
        <v>9.2744877391272101E-2</v>
      </c>
      <c r="Q163" s="561" t="s">
        <v>55</v>
      </c>
      <c r="R163" s="561" t="s">
        <v>55</v>
      </c>
      <c r="S163" s="581" t="s">
        <v>17</v>
      </c>
      <c r="T163" s="583" t="s">
        <v>55</v>
      </c>
      <c r="Z163" s="382" t="s">
        <v>1148</v>
      </c>
      <c r="AA163"/>
      <c r="AC163" s="391" t="s">
        <v>1142</v>
      </c>
      <c r="AD163" s="214" t="s">
        <v>55</v>
      </c>
      <c r="AE163" s="214" t="s">
        <v>55</v>
      </c>
      <c r="AF163" s="214" t="s">
        <v>55</v>
      </c>
      <c r="AG163" s="214" t="s">
        <v>55</v>
      </c>
      <c r="AH163" s="394">
        <v>5.3</v>
      </c>
      <c r="AI163" s="395">
        <v>3.86</v>
      </c>
      <c r="AJ163" s="396">
        <f t="shared" si="123"/>
        <v>20.457999999999998</v>
      </c>
      <c r="AK163" s="214" t="s">
        <v>55</v>
      </c>
      <c r="AL163" s="214" t="s">
        <v>55</v>
      </c>
      <c r="AM163" s="214" t="s">
        <v>55</v>
      </c>
      <c r="AN163" s="399"/>
      <c r="AO163" s="399">
        <v>75</v>
      </c>
      <c r="AP163" s="322" t="s">
        <v>55</v>
      </c>
      <c r="AQ163" s="400">
        <f t="shared" si="124"/>
        <v>3.6660475119757554</v>
      </c>
      <c r="AR163" s="329" t="s">
        <v>55</v>
      </c>
      <c r="AS163" s="393"/>
      <c r="AT163" s="402" t="s">
        <v>349</v>
      </c>
      <c r="AU163" s="206"/>
      <c r="AV163" s="206"/>
      <c r="AZ163" s="397" t="s">
        <v>349</v>
      </c>
    </row>
    <row r="164" spans="2:52" ht="15" customHeight="1" x14ac:dyDescent="0.25">
      <c r="B164" s="545">
        <v>7.21</v>
      </c>
      <c r="C164" s="518" t="s">
        <v>16</v>
      </c>
      <c r="D164" s="214" t="s">
        <v>55</v>
      </c>
      <c r="E164" s="214" t="s">
        <v>55</v>
      </c>
      <c r="F164" s="214" t="s">
        <v>55</v>
      </c>
      <c r="G164" s="214" t="s">
        <v>55</v>
      </c>
      <c r="H164" s="578">
        <v>84.5</v>
      </c>
      <c r="I164" s="214">
        <v>3.86</v>
      </c>
      <c r="J164" s="215">
        <f t="shared" si="121"/>
        <v>326.17</v>
      </c>
      <c r="K164" s="214" t="s">
        <v>55</v>
      </c>
      <c r="L164" s="214" t="s">
        <v>55</v>
      </c>
      <c r="M164" s="214" t="s">
        <v>55</v>
      </c>
      <c r="N164" s="579">
        <f>100+600+135</f>
        <v>835</v>
      </c>
      <c r="O164" s="580" t="s">
        <v>55</v>
      </c>
      <c r="P164" s="400">
        <f t="shared" si="125"/>
        <v>2.5600147162522608</v>
      </c>
      <c r="Q164" s="561" t="s">
        <v>55</v>
      </c>
      <c r="R164" s="561" t="s">
        <v>55</v>
      </c>
      <c r="S164" s="581" t="s">
        <v>17</v>
      </c>
      <c r="T164" s="583" t="s">
        <v>55</v>
      </c>
      <c r="Z164" s="382" t="s">
        <v>1149</v>
      </c>
      <c r="AA164"/>
      <c r="AC164" s="391" t="s">
        <v>1143</v>
      </c>
      <c r="AD164" s="392" t="s">
        <v>305</v>
      </c>
      <c r="AE164" s="214" t="s">
        <v>55</v>
      </c>
      <c r="AF164" s="214" t="s">
        <v>55</v>
      </c>
      <c r="AG164" s="214" t="s">
        <v>55</v>
      </c>
      <c r="AH164" s="394">
        <v>8.9</v>
      </c>
      <c r="AI164" s="395">
        <v>3.86</v>
      </c>
      <c r="AJ164" s="396">
        <f t="shared" si="123"/>
        <v>34.353999999999999</v>
      </c>
      <c r="AK164" s="214" t="s">
        <v>55</v>
      </c>
      <c r="AL164" s="214" t="s">
        <v>55</v>
      </c>
      <c r="AM164" s="214" t="s">
        <v>55</v>
      </c>
      <c r="AN164" s="399"/>
      <c r="AO164" s="399">
        <v>50</v>
      </c>
      <c r="AP164" s="322" t="s">
        <v>55</v>
      </c>
      <c r="AQ164" s="400">
        <f t="shared" si="124"/>
        <v>1.455434592769401</v>
      </c>
      <c r="AR164" s="329" t="s">
        <v>55</v>
      </c>
      <c r="AS164" s="393"/>
      <c r="AT164" s="402" t="s">
        <v>349</v>
      </c>
      <c r="AU164" s="206"/>
      <c r="AV164" s="206"/>
      <c r="AZ164" s="397" t="s">
        <v>349</v>
      </c>
    </row>
    <row r="165" spans="2:52" ht="15" customHeight="1" x14ac:dyDescent="0.25">
      <c r="B165" s="545">
        <v>7.22</v>
      </c>
      <c r="C165" s="518" t="s">
        <v>16</v>
      </c>
      <c r="D165" s="214" t="s">
        <v>55</v>
      </c>
      <c r="E165" s="214" t="s">
        <v>55</v>
      </c>
      <c r="F165" s="214" t="s">
        <v>55</v>
      </c>
      <c r="G165" s="214" t="s">
        <v>55</v>
      </c>
      <c r="H165" s="558">
        <v>55.7</v>
      </c>
      <c r="I165" s="214">
        <v>3.86</v>
      </c>
      <c r="J165" s="215">
        <f t="shared" si="121"/>
        <v>215.00200000000001</v>
      </c>
      <c r="K165" s="214" t="s">
        <v>55</v>
      </c>
      <c r="L165" s="214" t="s">
        <v>55</v>
      </c>
      <c r="M165" s="214" t="s">
        <v>55</v>
      </c>
      <c r="N165" s="579">
        <v>70</v>
      </c>
      <c r="O165" s="580" t="s">
        <v>55</v>
      </c>
      <c r="P165" s="400">
        <f t="shared" si="125"/>
        <v>0.32557836671286777</v>
      </c>
      <c r="Q165" s="561" t="s">
        <v>55</v>
      </c>
      <c r="R165" s="561" t="s">
        <v>55</v>
      </c>
      <c r="S165" s="581" t="s">
        <v>17</v>
      </c>
      <c r="T165" s="583" t="s">
        <v>55</v>
      </c>
      <c r="Z165" s="382" t="s">
        <v>1150</v>
      </c>
      <c r="AA165"/>
      <c r="AC165" s="391" t="s">
        <v>1144</v>
      </c>
      <c r="AD165" s="214" t="s">
        <v>55</v>
      </c>
      <c r="AE165" s="214" t="s">
        <v>55</v>
      </c>
      <c r="AF165" s="214" t="s">
        <v>55</v>
      </c>
      <c r="AG165" s="214" t="s">
        <v>55</v>
      </c>
      <c r="AH165" s="394">
        <v>25.1</v>
      </c>
      <c r="AI165" s="395">
        <v>3.86</v>
      </c>
      <c r="AJ165" s="396">
        <f t="shared" si="123"/>
        <v>96.885999999999996</v>
      </c>
      <c r="AK165" s="214" t="s">
        <v>55</v>
      </c>
      <c r="AL165" s="214" t="s">
        <v>55</v>
      </c>
      <c r="AM165" s="214" t="s">
        <v>55</v>
      </c>
      <c r="AN165" s="399"/>
      <c r="AO165" s="399">
        <v>520</v>
      </c>
      <c r="AP165" s="322" t="s">
        <v>55</v>
      </c>
      <c r="AQ165" s="400">
        <f t="shared" si="124"/>
        <v>5.3671325062444524</v>
      </c>
      <c r="AR165" s="329" t="s">
        <v>55</v>
      </c>
      <c r="AS165" s="393"/>
      <c r="AT165" s="402" t="s">
        <v>349</v>
      </c>
      <c r="AU165" s="206"/>
      <c r="AV165" s="206"/>
      <c r="AZ165" s="397" t="s">
        <v>349</v>
      </c>
    </row>
    <row r="166" spans="2:52" ht="25.5" customHeight="1" x14ac:dyDescent="0.2">
      <c r="B166" s="545">
        <v>7.23</v>
      </c>
      <c r="C166" s="518" t="s">
        <v>1145</v>
      </c>
      <c r="D166" s="584" t="s">
        <v>305</v>
      </c>
      <c r="E166" s="214" t="s">
        <v>55</v>
      </c>
      <c r="F166" s="214" t="s">
        <v>55</v>
      </c>
      <c r="G166" s="214" t="s">
        <v>55</v>
      </c>
      <c r="H166" s="558">
        <v>8.9</v>
      </c>
      <c r="I166" s="214">
        <v>3.86</v>
      </c>
      <c r="J166" s="215">
        <f t="shared" si="121"/>
        <v>34.353999999999999</v>
      </c>
      <c r="K166" s="214" t="s">
        <v>55</v>
      </c>
      <c r="L166" s="214" t="s">
        <v>55</v>
      </c>
      <c r="M166" s="214" t="s">
        <v>55</v>
      </c>
      <c r="N166" s="214" t="s">
        <v>55</v>
      </c>
      <c r="O166" s="580">
        <v>50</v>
      </c>
      <c r="P166" s="400" t="s">
        <v>55</v>
      </c>
      <c r="Q166" s="400">
        <f t="shared" ref="Q166:Q169" si="126">O166/J166</f>
        <v>1.455434592769401</v>
      </c>
      <c r="R166" s="561" t="s">
        <v>55</v>
      </c>
      <c r="S166" s="581" t="s">
        <v>55</v>
      </c>
      <c r="T166" s="582" t="s">
        <v>355</v>
      </c>
      <c r="AC166" s="346" t="s">
        <v>20</v>
      </c>
      <c r="AD166" s="214" t="s">
        <v>55</v>
      </c>
      <c r="AE166" s="214" t="s">
        <v>55</v>
      </c>
      <c r="AF166" s="214" t="s">
        <v>55</v>
      </c>
      <c r="AG166" s="214">
        <v>16</v>
      </c>
      <c r="AH166" s="387">
        <v>49.3</v>
      </c>
      <c r="AI166" s="214">
        <v>3.86</v>
      </c>
      <c r="AJ166" s="215">
        <f t="shared" si="123"/>
        <v>190.29799999999997</v>
      </c>
      <c r="AK166" s="216" t="s">
        <v>1136</v>
      </c>
      <c r="AL166" s="214" t="s">
        <v>55</v>
      </c>
      <c r="AM166" s="214" t="s">
        <v>55</v>
      </c>
      <c r="AN166" s="288">
        <v>320</v>
      </c>
      <c r="AO166" s="288">
        <v>320</v>
      </c>
      <c r="AP166" s="400">
        <f t="shared" ref="AP166" si="127">AN166/AJ166</f>
        <v>1.6815731116459449</v>
      </c>
      <c r="AQ166" s="400">
        <f t="shared" si="124"/>
        <v>1.6815731116459449</v>
      </c>
      <c r="AR166" s="329" t="s">
        <v>55</v>
      </c>
      <c r="AS166" s="386" t="s">
        <v>17</v>
      </c>
      <c r="AT166" s="403" t="s">
        <v>18</v>
      </c>
      <c r="AU166" s="206"/>
      <c r="AV166" s="206"/>
    </row>
    <row r="167" spans="2:52" ht="15" customHeight="1" x14ac:dyDescent="0.2">
      <c r="B167" s="545">
        <v>7.24</v>
      </c>
      <c r="C167" s="518" t="s">
        <v>720</v>
      </c>
      <c r="D167" s="584" t="s">
        <v>305</v>
      </c>
      <c r="E167" s="214" t="s">
        <v>55</v>
      </c>
      <c r="F167" s="214" t="s">
        <v>55</v>
      </c>
      <c r="G167" s="214" t="s">
        <v>55</v>
      </c>
      <c r="H167" s="558">
        <v>6.2</v>
      </c>
      <c r="I167" s="214">
        <v>3.86</v>
      </c>
      <c r="J167" s="215">
        <f t="shared" si="121"/>
        <v>23.931999999999999</v>
      </c>
      <c r="K167" s="214" t="s">
        <v>55</v>
      </c>
      <c r="L167" s="214" t="s">
        <v>55</v>
      </c>
      <c r="M167" s="214" t="s">
        <v>55</v>
      </c>
      <c r="N167" s="214" t="s">
        <v>55</v>
      </c>
      <c r="O167" s="580">
        <v>30</v>
      </c>
      <c r="P167" s="400" t="s">
        <v>55</v>
      </c>
      <c r="Q167" s="400">
        <f t="shared" si="126"/>
        <v>1.2535517299013874</v>
      </c>
      <c r="R167" s="561" t="s">
        <v>55</v>
      </c>
      <c r="S167" s="550" t="s">
        <v>55</v>
      </c>
      <c r="T167" s="582" t="s">
        <v>330</v>
      </c>
      <c r="Z167" s="397"/>
      <c r="AC167" s="391" t="s">
        <v>1145</v>
      </c>
      <c r="AD167" s="392" t="s">
        <v>305</v>
      </c>
      <c r="AE167" s="214" t="s">
        <v>55</v>
      </c>
      <c r="AF167" s="214" t="s">
        <v>55</v>
      </c>
      <c r="AG167" s="214" t="s">
        <v>55</v>
      </c>
      <c r="AH167" s="394">
        <v>3.8</v>
      </c>
      <c r="AI167" s="395">
        <v>3.86</v>
      </c>
      <c r="AJ167" s="396">
        <f t="shared" si="123"/>
        <v>14.667999999999999</v>
      </c>
      <c r="AK167" s="214" t="s">
        <v>55</v>
      </c>
      <c r="AL167" s="214" t="s">
        <v>55</v>
      </c>
      <c r="AM167" s="214" t="s">
        <v>55</v>
      </c>
      <c r="AN167" s="399"/>
      <c r="AO167" s="399">
        <v>40</v>
      </c>
      <c r="AP167" s="322" t="s">
        <v>55</v>
      </c>
      <c r="AQ167" s="400">
        <f t="shared" si="124"/>
        <v>2.7270248159258252</v>
      </c>
      <c r="AR167" s="329" t="s">
        <v>55</v>
      </c>
      <c r="AS167" s="393"/>
      <c r="AT167" s="402" t="s">
        <v>345</v>
      </c>
      <c r="AU167" s="206"/>
      <c r="AV167" s="206"/>
      <c r="AZ167" s="397" t="s">
        <v>345</v>
      </c>
    </row>
    <row r="168" spans="2:52" ht="15" customHeight="1" x14ac:dyDescent="0.2">
      <c r="B168" s="545">
        <v>7.25</v>
      </c>
      <c r="C168" s="518" t="s">
        <v>1146</v>
      </c>
      <c r="D168" s="214" t="s">
        <v>55</v>
      </c>
      <c r="E168" s="214" t="s">
        <v>55</v>
      </c>
      <c r="F168" s="214" t="s">
        <v>55</v>
      </c>
      <c r="G168" s="214" t="s">
        <v>55</v>
      </c>
      <c r="H168" s="558">
        <v>25.2</v>
      </c>
      <c r="I168" s="214">
        <v>3.86</v>
      </c>
      <c r="J168" s="215">
        <f t="shared" si="121"/>
        <v>97.271999999999991</v>
      </c>
      <c r="K168" s="214" t="s">
        <v>55</v>
      </c>
      <c r="L168" s="214">
        <v>1</v>
      </c>
      <c r="M168" s="214" t="s">
        <v>55</v>
      </c>
      <c r="N168" s="214" t="s">
        <v>55</v>
      </c>
      <c r="O168" s="580">
        <v>80</v>
      </c>
      <c r="P168" s="400" t="s">
        <v>55</v>
      </c>
      <c r="Q168" s="400">
        <f t="shared" si="126"/>
        <v>0.82243605559667743</v>
      </c>
      <c r="R168" s="561" t="s">
        <v>55</v>
      </c>
      <c r="S168" s="581" t="s">
        <v>55</v>
      </c>
      <c r="T168" s="582" t="s">
        <v>348</v>
      </c>
      <c r="Z168" s="397"/>
      <c r="AC168" s="391" t="s">
        <v>304</v>
      </c>
      <c r="AD168" s="392" t="s">
        <v>305</v>
      </c>
      <c r="AE168" s="214" t="s">
        <v>55</v>
      </c>
      <c r="AF168" s="214" t="s">
        <v>55</v>
      </c>
      <c r="AG168" s="214" t="s">
        <v>55</v>
      </c>
      <c r="AH168" s="394">
        <v>4.5</v>
      </c>
      <c r="AI168" s="395">
        <v>3.86</v>
      </c>
      <c r="AJ168" s="396">
        <f t="shared" si="123"/>
        <v>17.37</v>
      </c>
      <c r="AK168" s="214" t="s">
        <v>55</v>
      </c>
      <c r="AL168" s="214" t="s">
        <v>55</v>
      </c>
      <c r="AM168" s="214" t="s">
        <v>55</v>
      </c>
      <c r="AN168" s="399"/>
      <c r="AO168" s="399">
        <v>20</v>
      </c>
      <c r="AP168" s="322" t="s">
        <v>55</v>
      </c>
      <c r="AQ168" s="400">
        <f t="shared" si="124"/>
        <v>1.1514104778353482</v>
      </c>
      <c r="AR168" s="329" t="s">
        <v>55</v>
      </c>
      <c r="AS168" s="398"/>
      <c r="AT168" s="402" t="s">
        <v>352</v>
      </c>
      <c r="AU168" s="206"/>
      <c r="AV168" s="206"/>
      <c r="AZ168" s="397" t="s">
        <v>352</v>
      </c>
    </row>
    <row r="169" spans="2:52" ht="24" customHeight="1" x14ac:dyDescent="0.25">
      <c r="B169" s="545">
        <v>7.26</v>
      </c>
      <c r="C169" s="518" t="s">
        <v>728</v>
      </c>
      <c r="D169" s="214" t="s">
        <v>55</v>
      </c>
      <c r="E169" s="214" t="s">
        <v>55</v>
      </c>
      <c r="F169" s="585">
        <v>10</v>
      </c>
      <c r="G169" s="586" t="s">
        <v>55</v>
      </c>
      <c r="H169" s="558">
        <v>173.3</v>
      </c>
      <c r="I169" s="214">
        <v>3.86</v>
      </c>
      <c r="J169" s="215">
        <f t="shared" si="121"/>
        <v>668.93799999999999</v>
      </c>
      <c r="K169" s="216" t="s">
        <v>729</v>
      </c>
      <c r="L169" s="214" t="s">
        <v>55</v>
      </c>
      <c r="M169" s="214" t="s">
        <v>55</v>
      </c>
      <c r="N169" s="579">
        <f>1080-60*8</f>
        <v>600</v>
      </c>
      <c r="O169" s="580">
        <f>1080-40-80-20-60*8</f>
        <v>460</v>
      </c>
      <c r="P169" s="400">
        <f t="shared" si="125"/>
        <v>0.89694411141241792</v>
      </c>
      <c r="Q169" s="400">
        <f t="shared" si="126"/>
        <v>0.68765715208285372</v>
      </c>
      <c r="R169" s="561" t="s">
        <v>55</v>
      </c>
      <c r="S169" s="581" t="s">
        <v>17</v>
      </c>
      <c r="T169" s="582" t="s">
        <v>18</v>
      </c>
      <c r="Z169" s="382" t="s">
        <v>1151</v>
      </c>
    </row>
    <row r="170" spans="2:52" ht="28.5" customHeight="1" x14ac:dyDescent="0.25">
      <c r="B170" s="545">
        <v>7.27</v>
      </c>
      <c r="C170" s="518" t="s">
        <v>136</v>
      </c>
      <c r="D170" s="214" t="s">
        <v>55</v>
      </c>
      <c r="E170" s="214" t="s">
        <v>55</v>
      </c>
      <c r="F170" s="585">
        <v>3</v>
      </c>
      <c r="G170" s="586" t="s">
        <v>55</v>
      </c>
      <c r="H170" s="558">
        <v>20</v>
      </c>
      <c r="I170" s="214">
        <v>3.86</v>
      </c>
      <c r="J170" s="215">
        <f t="shared" si="121"/>
        <v>77.2</v>
      </c>
      <c r="K170" s="216" t="s">
        <v>729</v>
      </c>
      <c r="L170" s="214" t="s">
        <v>55</v>
      </c>
      <c r="M170" s="214" t="s">
        <v>55</v>
      </c>
      <c r="N170" s="579">
        <v>180</v>
      </c>
      <c r="O170" s="580">
        <v>180</v>
      </c>
      <c r="P170" s="400">
        <f t="shared" ref="P170:P171" si="128">N170/J170</f>
        <v>2.3316062176165802</v>
      </c>
      <c r="Q170" s="400">
        <f t="shared" ref="Q170:Q171" si="129">O170/J170</f>
        <v>2.3316062176165802</v>
      </c>
      <c r="R170" s="561" t="s">
        <v>55</v>
      </c>
      <c r="S170" s="581" t="s">
        <v>17</v>
      </c>
      <c r="T170" s="582" t="s">
        <v>18</v>
      </c>
    </row>
    <row r="171" spans="2:52" ht="34.5" customHeight="1" x14ac:dyDescent="0.25">
      <c r="B171" s="545">
        <v>7.28</v>
      </c>
      <c r="C171" s="518" t="s">
        <v>136</v>
      </c>
      <c r="D171" s="214" t="s">
        <v>55</v>
      </c>
      <c r="E171" s="214" t="s">
        <v>55</v>
      </c>
      <c r="F171" s="585">
        <v>1</v>
      </c>
      <c r="G171" s="579">
        <v>2</v>
      </c>
      <c r="H171" s="558">
        <v>12.1</v>
      </c>
      <c r="I171" s="214">
        <v>3.86</v>
      </c>
      <c r="J171" s="215">
        <f t="shared" si="121"/>
        <v>46.705999999999996</v>
      </c>
      <c r="K171" s="216" t="s">
        <v>670</v>
      </c>
      <c r="L171" s="214" t="s">
        <v>55</v>
      </c>
      <c r="M171" s="214" t="s">
        <v>55</v>
      </c>
      <c r="N171" s="579">
        <v>100</v>
      </c>
      <c r="O171" s="580">
        <v>100</v>
      </c>
      <c r="P171" s="400">
        <f t="shared" si="128"/>
        <v>2.1410525414293669</v>
      </c>
      <c r="Q171" s="400">
        <f t="shared" si="129"/>
        <v>2.1410525414293669</v>
      </c>
      <c r="R171" s="561" t="s">
        <v>55</v>
      </c>
      <c r="S171" s="581" t="s">
        <v>17</v>
      </c>
      <c r="T171" s="582" t="s">
        <v>18</v>
      </c>
    </row>
    <row r="172" spans="2:52" ht="42" customHeight="1" x14ac:dyDescent="0.25">
      <c r="B172" s="545">
        <v>7.29</v>
      </c>
      <c r="C172" s="518" t="s">
        <v>136</v>
      </c>
      <c r="D172" s="214" t="s">
        <v>55</v>
      </c>
      <c r="E172" s="214" t="s">
        <v>55</v>
      </c>
      <c r="F172" s="585">
        <v>1</v>
      </c>
      <c r="G172" s="579">
        <v>2</v>
      </c>
      <c r="H172" s="558">
        <v>14.4</v>
      </c>
      <c r="I172" s="214">
        <v>3.86</v>
      </c>
      <c r="J172" s="215">
        <f t="shared" si="121"/>
        <v>55.583999999999996</v>
      </c>
      <c r="K172" s="216" t="s">
        <v>670</v>
      </c>
      <c r="L172" s="214" t="s">
        <v>55</v>
      </c>
      <c r="M172" s="214" t="s">
        <v>55</v>
      </c>
      <c r="N172" s="579">
        <v>100</v>
      </c>
      <c r="O172" s="580">
        <v>100</v>
      </c>
      <c r="P172" s="400">
        <f t="shared" ref="P172:P187" si="130">N172/J172</f>
        <v>1.7990788716177319</v>
      </c>
      <c r="Q172" s="400">
        <f t="shared" ref="Q172:Q187" si="131">O172/J172</f>
        <v>1.7990788716177319</v>
      </c>
      <c r="R172" s="561" t="s">
        <v>55</v>
      </c>
      <c r="S172" s="581" t="s">
        <v>17</v>
      </c>
      <c r="T172" s="582" t="s">
        <v>18</v>
      </c>
    </row>
    <row r="173" spans="2:52" ht="30" customHeight="1" x14ac:dyDescent="0.25">
      <c r="B173" s="545">
        <v>7.3</v>
      </c>
      <c r="C173" s="518" t="s">
        <v>136</v>
      </c>
      <c r="D173" s="214" t="s">
        <v>55</v>
      </c>
      <c r="E173" s="214" t="s">
        <v>55</v>
      </c>
      <c r="F173" s="585">
        <v>4</v>
      </c>
      <c r="G173" s="586" t="s">
        <v>55</v>
      </c>
      <c r="H173" s="558">
        <v>24.9</v>
      </c>
      <c r="I173" s="214">
        <v>3.86</v>
      </c>
      <c r="J173" s="215">
        <f t="shared" si="121"/>
        <v>96.11399999999999</v>
      </c>
      <c r="K173" s="216" t="s">
        <v>729</v>
      </c>
      <c r="L173" s="214" t="s">
        <v>55</v>
      </c>
      <c r="M173" s="214" t="s">
        <v>55</v>
      </c>
      <c r="N173" s="579">
        <v>240</v>
      </c>
      <c r="O173" s="580">
        <v>240</v>
      </c>
      <c r="P173" s="400">
        <f t="shared" si="130"/>
        <v>2.4970347712091892</v>
      </c>
      <c r="Q173" s="400">
        <f t="shared" si="131"/>
        <v>2.4970347712091892</v>
      </c>
      <c r="R173" s="561" t="s">
        <v>55</v>
      </c>
      <c r="S173" s="581" t="s">
        <v>17</v>
      </c>
      <c r="T173" s="582" t="s">
        <v>18</v>
      </c>
    </row>
    <row r="174" spans="2:52" ht="28.5" customHeight="1" x14ac:dyDescent="0.25">
      <c r="B174" s="545">
        <v>7.31</v>
      </c>
      <c r="C174" s="518" t="s">
        <v>136</v>
      </c>
      <c r="D174" s="214" t="s">
        <v>55</v>
      </c>
      <c r="E174" s="214" t="s">
        <v>55</v>
      </c>
      <c r="F174" s="585">
        <v>4</v>
      </c>
      <c r="G174" s="586" t="s">
        <v>55</v>
      </c>
      <c r="H174" s="558">
        <v>25.3</v>
      </c>
      <c r="I174" s="214">
        <v>3.86</v>
      </c>
      <c r="J174" s="215">
        <f t="shared" si="121"/>
        <v>97.658000000000001</v>
      </c>
      <c r="K174" s="216" t="s">
        <v>729</v>
      </c>
      <c r="L174" s="214" t="s">
        <v>55</v>
      </c>
      <c r="M174" s="214" t="s">
        <v>55</v>
      </c>
      <c r="N174" s="579">
        <v>240</v>
      </c>
      <c r="O174" s="580">
        <v>240</v>
      </c>
      <c r="P174" s="400">
        <f t="shared" si="130"/>
        <v>2.457555960597186</v>
      </c>
      <c r="Q174" s="400">
        <f t="shared" si="131"/>
        <v>2.457555960597186</v>
      </c>
      <c r="R174" s="561" t="s">
        <v>55</v>
      </c>
      <c r="S174" s="581" t="s">
        <v>17</v>
      </c>
      <c r="T174" s="582" t="s">
        <v>18</v>
      </c>
    </row>
    <row r="175" spans="2:52" ht="22.5" customHeight="1" x14ac:dyDescent="0.25">
      <c r="B175" s="545">
        <v>7.32</v>
      </c>
      <c r="C175" s="518" t="s">
        <v>136</v>
      </c>
      <c r="D175" s="214" t="s">
        <v>55</v>
      </c>
      <c r="E175" s="214" t="s">
        <v>55</v>
      </c>
      <c r="F175" s="585">
        <v>3</v>
      </c>
      <c r="G175" s="586" t="s">
        <v>55</v>
      </c>
      <c r="H175" s="587">
        <v>20</v>
      </c>
      <c r="I175" s="214">
        <v>3.86</v>
      </c>
      <c r="J175" s="215">
        <f t="shared" si="121"/>
        <v>77.2</v>
      </c>
      <c r="K175" s="216" t="s">
        <v>729</v>
      </c>
      <c r="L175" s="214" t="s">
        <v>55</v>
      </c>
      <c r="M175" s="214" t="s">
        <v>55</v>
      </c>
      <c r="N175" s="579">
        <v>180</v>
      </c>
      <c r="O175" s="580">
        <v>180</v>
      </c>
      <c r="P175" s="400">
        <f t="shared" si="130"/>
        <v>2.3316062176165802</v>
      </c>
      <c r="Q175" s="400">
        <f t="shared" si="131"/>
        <v>2.3316062176165802</v>
      </c>
      <c r="R175" s="561" t="s">
        <v>55</v>
      </c>
      <c r="S175" s="581" t="s">
        <v>17</v>
      </c>
      <c r="T175" s="582" t="s">
        <v>18</v>
      </c>
    </row>
    <row r="176" spans="2:52" ht="24.75" customHeight="1" x14ac:dyDescent="0.25">
      <c r="B176" s="545">
        <v>7.33</v>
      </c>
      <c r="C176" s="518" t="s">
        <v>136</v>
      </c>
      <c r="D176" s="214" t="s">
        <v>55</v>
      </c>
      <c r="E176" s="214" t="s">
        <v>55</v>
      </c>
      <c r="F176" s="585">
        <v>3</v>
      </c>
      <c r="G176" s="586" t="s">
        <v>55</v>
      </c>
      <c r="H176" s="587">
        <v>20.100000000000001</v>
      </c>
      <c r="I176" s="214">
        <v>3.86</v>
      </c>
      <c r="J176" s="215">
        <f t="shared" si="121"/>
        <v>77.585999999999999</v>
      </c>
      <c r="K176" s="216" t="s">
        <v>729</v>
      </c>
      <c r="L176" s="214" t="s">
        <v>55</v>
      </c>
      <c r="M176" s="214" t="s">
        <v>55</v>
      </c>
      <c r="N176" s="579">
        <v>180</v>
      </c>
      <c r="O176" s="580">
        <v>180</v>
      </c>
      <c r="P176" s="400">
        <f t="shared" si="130"/>
        <v>2.3200061866831647</v>
      </c>
      <c r="Q176" s="400">
        <f t="shared" si="131"/>
        <v>2.3200061866831647</v>
      </c>
      <c r="R176" s="561" t="s">
        <v>55</v>
      </c>
      <c r="S176" s="581" t="s">
        <v>17</v>
      </c>
      <c r="T176" s="582" t="s">
        <v>18</v>
      </c>
    </row>
    <row r="177" spans="2:20" ht="36" customHeight="1" x14ac:dyDescent="0.25">
      <c r="B177" s="545">
        <v>7.34</v>
      </c>
      <c r="C177" s="518" t="s">
        <v>136</v>
      </c>
      <c r="D177" s="214" t="s">
        <v>55</v>
      </c>
      <c r="E177" s="214" t="s">
        <v>55</v>
      </c>
      <c r="F177" s="585">
        <v>1</v>
      </c>
      <c r="G177" s="579">
        <v>2</v>
      </c>
      <c r="H177" s="587">
        <v>14.4</v>
      </c>
      <c r="I177" s="214">
        <v>3.86</v>
      </c>
      <c r="J177" s="215">
        <f t="shared" si="121"/>
        <v>55.583999999999996</v>
      </c>
      <c r="K177" s="216" t="s">
        <v>670</v>
      </c>
      <c r="L177" s="214" t="s">
        <v>55</v>
      </c>
      <c r="M177" s="214" t="s">
        <v>55</v>
      </c>
      <c r="N177" s="579">
        <v>100</v>
      </c>
      <c r="O177" s="580">
        <v>100</v>
      </c>
      <c r="P177" s="400">
        <f t="shared" si="130"/>
        <v>1.7990788716177319</v>
      </c>
      <c r="Q177" s="400">
        <f t="shared" si="131"/>
        <v>1.7990788716177319</v>
      </c>
      <c r="R177" s="561" t="s">
        <v>55</v>
      </c>
      <c r="S177" s="581" t="s">
        <v>17</v>
      </c>
      <c r="T177" s="582" t="s">
        <v>18</v>
      </c>
    </row>
    <row r="178" spans="2:20" ht="38.25" customHeight="1" x14ac:dyDescent="0.25">
      <c r="B178" s="545">
        <v>7.35</v>
      </c>
      <c r="C178" s="518" t="s">
        <v>136</v>
      </c>
      <c r="D178" s="214" t="s">
        <v>55</v>
      </c>
      <c r="E178" s="214" t="s">
        <v>55</v>
      </c>
      <c r="F178" s="585">
        <v>1</v>
      </c>
      <c r="G178" s="579">
        <v>2</v>
      </c>
      <c r="H178" s="587">
        <v>14.3</v>
      </c>
      <c r="I178" s="214">
        <v>3.86</v>
      </c>
      <c r="J178" s="215">
        <f t="shared" si="121"/>
        <v>55.198</v>
      </c>
      <c r="K178" s="216" t="s">
        <v>670</v>
      </c>
      <c r="L178" s="214" t="s">
        <v>55</v>
      </c>
      <c r="M178" s="214" t="s">
        <v>55</v>
      </c>
      <c r="N178" s="579">
        <v>100</v>
      </c>
      <c r="O178" s="580">
        <v>100</v>
      </c>
      <c r="P178" s="400">
        <f t="shared" si="130"/>
        <v>1.8116598427479256</v>
      </c>
      <c r="Q178" s="400">
        <f t="shared" si="131"/>
        <v>1.8116598427479256</v>
      </c>
      <c r="R178" s="561" t="s">
        <v>55</v>
      </c>
      <c r="S178" s="581" t="s">
        <v>17</v>
      </c>
      <c r="T178" s="582" t="s">
        <v>18</v>
      </c>
    </row>
    <row r="179" spans="2:20" ht="23.25" customHeight="1" x14ac:dyDescent="0.25">
      <c r="B179" s="545">
        <v>7.36</v>
      </c>
      <c r="C179" s="518" t="s">
        <v>136</v>
      </c>
      <c r="D179" s="214" t="s">
        <v>55</v>
      </c>
      <c r="E179" s="214" t="s">
        <v>55</v>
      </c>
      <c r="F179" s="585">
        <v>4</v>
      </c>
      <c r="G179" s="586" t="s">
        <v>55</v>
      </c>
      <c r="H179" s="587">
        <v>29.3</v>
      </c>
      <c r="I179" s="214">
        <v>3.86</v>
      </c>
      <c r="J179" s="215">
        <f t="shared" si="121"/>
        <v>113.098</v>
      </c>
      <c r="K179" s="216" t="s">
        <v>729</v>
      </c>
      <c r="L179" s="214" t="s">
        <v>55</v>
      </c>
      <c r="M179" s="214" t="s">
        <v>55</v>
      </c>
      <c r="N179" s="579">
        <v>240</v>
      </c>
      <c r="O179" s="580">
        <v>240</v>
      </c>
      <c r="P179" s="400">
        <f t="shared" si="130"/>
        <v>2.1220534403791405</v>
      </c>
      <c r="Q179" s="400">
        <f t="shared" si="131"/>
        <v>2.1220534403791405</v>
      </c>
      <c r="R179" s="561" t="s">
        <v>55</v>
      </c>
      <c r="S179" s="581" t="s">
        <v>17</v>
      </c>
      <c r="T179" s="582" t="s">
        <v>18</v>
      </c>
    </row>
    <row r="180" spans="2:20" ht="23.25" customHeight="1" x14ac:dyDescent="0.25">
      <c r="B180" s="545">
        <v>7.37</v>
      </c>
      <c r="C180" s="518" t="s">
        <v>136</v>
      </c>
      <c r="D180" s="214" t="s">
        <v>55</v>
      </c>
      <c r="E180" s="214" t="s">
        <v>55</v>
      </c>
      <c r="F180" s="585">
        <v>4</v>
      </c>
      <c r="G180" s="586" t="s">
        <v>55</v>
      </c>
      <c r="H180" s="587">
        <v>29.3</v>
      </c>
      <c r="I180" s="214">
        <v>3.86</v>
      </c>
      <c r="J180" s="215">
        <f t="shared" si="121"/>
        <v>113.098</v>
      </c>
      <c r="K180" s="216" t="s">
        <v>729</v>
      </c>
      <c r="L180" s="214" t="s">
        <v>55</v>
      </c>
      <c r="M180" s="214" t="s">
        <v>55</v>
      </c>
      <c r="N180" s="579">
        <v>240</v>
      </c>
      <c r="O180" s="580">
        <v>240</v>
      </c>
      <c r="P180" s="400">
        <f t="shared" si="130"/>
        <v>2.1220534403791405</v>
      </c>
      <c r="Q180" s="400">
        <f t="shared" si="131"/>
        <v>2.1220534403791405</v>
      </c>
      <c r="R180" s="561" t="s">
        <v>55</v>
      </c>
      <c r="S180" s="581" t="s">
        <v>17</v>
      </c>
      <c r="T180" s="582" t="s">
        <v>18</v>
      </c>
    </row>
    <row r="181" spans="2:20" ht="38.25" customHeight="1" x14ac:dyDescent="0.25">
      <c r="B181" s="545">
        <v>7.38</v>
      </c>
      <c r="C181" s="518" t="s">
        <v>136</v>
      </c>
      <c r="D181" s="214" t="s">
        <v>55</v>
      </c>
      <c r="E181" s="214" t="s">
        <v>55</v>
      </c>
      <c r="F181" s="585">
        <v>1</v>
      </c>
      <c r="G181" s="579">
        <v>2</v>
      </c>
      <c r="H181" s="587">
        <v>14.3</v>
      </c>
      <c r="I181" s="214">
        <v>3.86</v>
      </c>
      <c r="J181" s="215">
        <f t="shared" si="121"/>
        <v>55.198</v>
      </c>
      <c r="K181" s="216" t="s">
        <v>670</v>
      </c>
      <c r="L181" s="214" t="s">
        <v>55</v>
      </c>
      <c r="M181" s="214" t="s">
        <v>55</v>
      </c>
      <c r="N181" s="579">
        <v>100</v>
      </c>
      <c r="O181" s="580">
        <v>100</v>
      </c>
      <c r="P181" s="400">
        <f t="shared" si="130"/>
        <v>1.8116598427479256</v>
      </c>
      <c r="Q181" s="400">
        <f t="shared" si="131"/>
        <v>1.8116598427479256</v>
      </c>
      <c r="R181" s="561" t="s">
        <v>55</v>
      </c>
      <c r="S181" s="581" t="s">
        <v>17</v>
      </c>
      <c r="T181" s="582" t="s">
        <v>18</v>
      </c>
    </row>
    <row r="182" spans="2:20" ht="36.75" customHeight="1" x14ac:dyDescent="0.25">
      <c r="B182" s="545">
        <v>7.39</v>
      </c>
      <c r="C182" s="518" t="s">
        <v>136</v>
      </c>
      <c r="D182" s="214" t="s">
        <v>55</v>
      </c>
      <c r="E182" s="214" t="s">
        <v>55</v>
      </c>
      <c r="F182" s="585">
        <v>1</v>
      </c>
      <c r="G182" s="579">
        <v>2</v>
      </c>
      <c r="H182" s="587">
        <v>14.4</v>
      </c>
      <c r="I182" s="214">
        <v>3.86</v>
      </c>
      <c r="J182" s="215">
        <f t="shared" si="121"/>
        <v>55.583999999999996</v>
      </c>
      <c r="K182" s="216" t="s">
        <v>670</v>
      </c>
      <c r="L182" s="214" t="s">
        <v>55</v>
      </c>
      <c r="M182" s="214" t="s">
        <v>55</v>
      </c>
      <c r="N182" s="579">
        <v>100</v>
      </c>
      <c r="O182" s="580">
        <v>100</v>
      </c>
      <c r="P182" s="400">
        <f t="shared" si="130"/>
        <v>1.7990788716177319</v>
      </c>
      <c r="Q182" s="400">
        <f t="shared" si="131"/>
        <v>1.7990788716177319</v>
      </c>
      <c r="R182" s="561" t="s">
        <v>55</v>
      </c>
      <c r="S182" s="581" t="s">
        <v>17</v>
      </c>
      <c r="T182" s="582" t="s">
        <v>18</v>
      </c>
    </row>
    <row r="183" spans="2:20" ht="36" customHeight="1" x14ac:dyDescent="0.25">
      <c r="B183" s="545">
        <v>7.4</v>
      </c>
      <c r="C183" s="518" t="s">
        <v>136</v>
      </c>
      <c r="D183" s="214" t="s">
        <v>55</v>
      </c>
      <c r="E183" s="214" t="s">
        <v>55</v>
      </c>
      <c r="F183" s="585">
        <v>3</v>
      </c>
      <c r="G183" s="579" t="s">
        <v>55</v>
      </c>
      <c r="H183" s="587">
        <v>20.100000000000001</v>
      </c>
      <c r="I183" s="214">
        <v>3.86</v>
      </c>
      <c r="J183" s="215">
        <f t="shared" si="121"/>
        <v>77.585999999999999</v>
      </c>
      <c r="K183" s="216" t="s">
        <v>729</v>
      </c>
      <c r="L183" s="214" t="s">
        <v>55</v>
      </c>
      <c r="M183" s="214" t="s">
        <v>55</v>
      </c>
      <c r="N183" s="579">
        <v>180</v>
      </c>
      <c r="O183" s="580">
        <v>180</v>
      </c>
      <c r="P183" s="400">
        <f t="shared" si="130"/>
        <v>2.3200061866831647</v>
      </c>
      <c r="Q183" s="400">
        <f t="shared" si="131"/>
        <v>2.3200061866831647</v>
      </c>
      <c r="R183" s="561" t="s">
        <v>55</v>
      </c>
      <c r="S183" s="581" t="s">
        <v>17</v>
      </c>
      <c r="T183" s="582" t="s">
        <v>18</v>
      </c>
    </row>
    <row r="184" spans="2:20" ht="37.5" customHeight="1" x14ac:dyDescent="0.25">
      <c r="B184" s="545">
        <v>7.41</v>
      </c>
      <c r="C184" s="518" t="s">
        <v>136</v>
      </c>
      <c r="D184" s="214" t="s">
        <v>55</v>
      </c>
      <c r="E184" s="214" t="s">
        <v>55</v>
      </c>
      <c r="F184" s="585">
        <v>6</v>
      </c>
      <c r="G184" s="579" t="s">
        <v>55</v>
      </c>
      <c r="H184" s="587">
        <v>41.1</v>
      </c>
      <c r="I184" s="214">
        <v>3.86</v>
      </c>
      <c r="J184" s="215">
        <f t="shared" si="121"/>
        <v>158.64599999999999</v>
      </c>
      <c r="K184" s="216" t="s">
        <v>729</v>
      </c>
      <c r="L184" s="214" t="s">
        <v>55</v>
      </c>
      <c r="M184" s="214" t="s">
        <v>55</v>
      </c>
      <c r="N184" s="579">
        <v>360</v>
      </c>
      <c r="O184" s="580">
        <v>360</v>
      </c>
      <c r="P184" s="400">
        <f t="shared" si="130"/>
        <v>2.2692031315003218</v>
      </c>
      <c r="Q184" s="400">
        <f t="shared" si="131"/>
        <v>2.2692031315003218</v>
      </c>
      <c r="R184" s="561" t="s">
        <v>55</v>
      </c>
      <c r="S184" s="581" t="s">
        <v>17</v>
      </c>
      <c r="T184" s="582" t="s">
        <v>18</v>
      </c>
    </row>
    <row r="185" spans="2:20" ht="21.75" customHeight="1" x14ac:dyDescent="0.25">
      <c r="B185" s="545">
        <v>7.42</v>
      </c>
      <c r="C185" s="518" t="s">
        <v>136</v>
      </c>
      <c r="D185" s="214" t="s">
        <v>55</v>
      </c>
      <c r="E185" s="214" t="s">
        <v>55</v>
      </c>
      <c r="F185" s="585">
        <v>4</v>
      </c>
      <c r="G185" s="579" t="s">
        <v>55</v>
      </c>
      <c r="H185" s="587">
        <v>23.1</v>
      </c>
      <c r="I185" s="214">
        <v>3.86</v>
      </c>
      <c r="J185" s="215">
        <f t="shared" si="121"/>
        <v>89.165999999999997</v>
      </c>
      <c r="K185" s="216" t="s">
        <v>729</v>
      </c>
      <c r="L185" s="214" t="s">
        <v>55</v>
      </c>
      <c r="M185" s="214" t="s">
        <v>55</v>
      </c>
      <c r="N185" s="579">
        <v>240</v>
      </c>
      <c r="O185" s="580">
        <v>240</v>
      </c>
      <c r="P185" s="400">
        <f t="shared" si="130"/>
        <v>2.6916089092254896</v>
      </c>
      <c r="Q185" s="400">
        <f t="shared" si="131"/>
        <v>2.6916089092254896</v>
      </c>
      <c r="R185" s="561" t="s">
        <v>55</v>
      </c>
      <c r="S185" s="581" t="s">
        <v>17</v>
      </c>
      <c r="T185" s="582" t="s">
        <v>18</v>
      </c>
    </row>
    <row r="186" spans="2:20" ht="15.75" customHeight="1" x14ac:dyDescent="0.25">
      <c r="B186" s="545">
        <v>7.43</v>
      </c>
      <c r="C186" s="518" t="s">
        <v>95</v>
      </c>
      <c r="D186" s="214" t="s">
        <v>55</v>
      </c>
      <c r="E186" s="214" t="s">
        <v>55</v>
      </c>
      <c r="F186" s="585"/>
      <c r="G186" s="579" t="s">
        <v>55</v>
      </c>
      <c r="H186" s="587">
        <v>14</v>
      </c>
      <c r="I186" s="214">
        <v>3.86</v>
      </c>
      <c r="J186" s="215">
        <f t="shared" si="121"/>
        <v>54.04</v>
      </c>
      <c r="K186" s="588" t="s">
        <v>55</v>
      </c>
      <c r="L186" s="558">
        <v>1</v>
      </c>
      <c r="M186" s="589" t="s">
        <v>55</v>
      </c>
      <c r="N186" s="579" t="s">
        <v>55</v>
      </c>
      <c r="O186" s="580">
        <v>50</v>
      </c>
      <c r="P186" s="590" t="s">
        <v>55</v>
      </c>
      <c r="Q186" s="400">
        <f t="shared" si="131"/>
        <v>0.92524056254626208</v>
      </c>
      <c r="R186" s="561" t="s">
        <v>55</v>
      </c>
      <c r="S186" s="581"/>
      <c r="T186" s="582" t="s">
        <v>18</v>
      </c>
    </row>
    <row r="187" spans="2:20" ht="37.5" customHeight="1" x14ac:dyDescent="0.25">
      <c r="B187" s="545">
        <v>7.44</v>
      </c>
      <c r="C187" s="518" t="s">
        <v>20</v>
      </c>
      <c r="D187" s="214" t="s">
        <v>55</v>
      </c>
      <c r="E187" s="214" t="s">
        <v>55</v>
      </c>
      <c r="F187" s="585" t="s">
        <v>55</v>
      </c>
      <c r="G187" s="579">
        <v>6</v>
      </c>
      <c r="H187" s="587">
        <v>17.2</v>
      </c>
      <c r="I187" s="214">
        <v>3.86</v>
      </c>
      <c r="J187" s="215">
        <f t="shared" si="121"/>
        <v>66.391999999999996</v>
      </c>
      <c r="K187" s="216" t="s">
        <v>1136</v>
      </c>
      <c r="L187" s="214" t="s">
        <v>55</v>
      </c>
      <c r="M187" s="214" t="s">
        <v>55</v>
      </c>
      <c r="N187" s="579">
        <v>120</v>
      </c>
      <c r="O187" s="580">
        <v>120</v>
      </c>
      <c r="P187" s="400">
        <f t="shared" si="130"/>
        <v>1.8074466803229305</v>
      </c>
      <c r="Q187" s="400">
        <f t="shared" si="131"/>
        <v>1.8074466803229305</v>
      </c>
      <c r="R187" s="561" t="s">
        <v>55</v>
      </c>
      <c r="S187" s="581" t="s">
        <v>17</v>
      </c>
      <c r="T187" s="582" t="s">
        <v>18</v>
      </c>
    </row>
    <row r="188" spans="2:20" ht="36.75" customHeight="1" x14ac:dyDescent="0.25">
      <c r="B188" s="545">
        <v>7.45</v>
      </c>
      <c r="C188" s="518" t="s">
        <v>136</v>
      </c>
      <c r="D188" s="214" t="s">
        <v>55</v>
      </c>
      <c r="E188" s="214" t="s">
        <v>55</v>
      </c>
      <c r="F188" s="585">
        <v>1</v>
      </c>
      <c r="G188" s="579">
        <v>2</v>
      </c>
      <c r="H188" s="587">
        <v>13.2</v>
      </c>
      <c r="I188" s="214">
        <v>3.86</v>
      </c>
      <c r="J188" s="215">
        <f t="shared" si="121"/>
        <v>50.951999999999998</v>
      </c>
      <c r="K188" s="216" t="s">
        <v>670</v>
      </c>
      <c r="L188" s="214" t="s">
        <v>55</v>
      </c>
      <c r="M188" s="214" t="s">
        <v>55</v>
      </c>
      <c r="N188" s="579">
        <v>100</v>
      </c>
      <c r="O188" s="580">
        <v>100</v>
      </c>
      <c r="P188" s="400">
        <f t="shared" ref="P188:P190" si="132">N188/J188</f>
        <v>1.9626314963102529</v>
      </c>
      <c r="Q188" s="400">
        <f t="shared" ref="Q188:Q191" si="133">O188/J188</f>
        <v>1.9626314963102529</v>
      </c>
      <c r="R188" s="561" t="s">
        <v>55</v>
      </c>
      <c r="S188" s="581" t="s">
        <v>17</v>
      </c>
      <c r="T188" s="582" t="s">
        <v>18</v>
      </c>
    </row>
    <row r="189" spans="2:20" ht="24.75" customHeight="1" x14ac:dyDescent="0.25">
      <c r="B189" s="545">
        <v>7.46</v>
      </c>
      <c r="C189" s="518" t="s">
        <v>136</v>
      </c>
      <c r="D189" s="214" t="s">
        <v>55</v>
      </c>
      <c r="E189" s="214" t="s">
        <v>55</v>
      </c>
      <c r="F189" s="585">
        <v>6</v>
      </c>
      <c r="G189" s="586" t="s">
        <v>55</v>
      </c>
      <c r="H189" s="587">
        <v>43</v>
      </c>
      <c r="I189" s="214">
        <v>3.86</v>
      </c>
      <c r="J189" s="215">
        <f t="shared" si="121"/>
        <v>165.98</v>
      </c>
      <c r="K189" s="216" t="s">
        <v>729</v>
      </c>
      <c r="L189" s="214" t="s">
        <v>55</v>
      </c>
      <c r="M189" s="214" t="s">
        <v>55</v>
      </c>
      <c r="N189" s="579">
        <v>360</v>
      </c>
      <c r="O189" s="580">
        <v>360</v>
      </c>
      <c r="P189" s="400">
        <f t="shared" si="132"/>
        <v>2.1689360163875167</v>
      </c>
      <c r="Q189" s="400">
        <f t="shared" si="133"/>
        <v>2.1689360163875167</v>
      </c>
      <c r="R189" s="561" t="s">
        <v>55</v>
      </c>
      <c r="S189" s="581" t="s">
        <v>17</v>
      </c>
      <c r="T189" s="582" t="s">
        <v>18</v>
      </c>
    </row>
    <row r="190" spans="2:20" ht="21.75" customHeight="1" x14ac:dyDescent="0.25">
      <c r="B190" s="545">
        <v>7.47</v>
      </c>
      <c r="C190" s="518" t="s">
        <v>136</v>
      </c>
      <c r="D190" s="214" t="s">
        <v>55</v>
      </c>
      <c r="E190" s="214" t="s">
        <v>55</v>
      </c>
      <c r="F190" s="585">
        <v>4</v>
      </c>
      <c r="G190" s="586" t="s">
        <v>55</v>
      </c>
      <c r="H190" s="587">
        <v>25.3</v>
      </c>
      <c r="I190" s="214">
        <v>3.86</v>
      </c>
      <c r="J190" s="215">
        <f t="shared" si="121"/>
        <v>97.658000000000001</v>
      </c>
      <c r="K190" s="216" t="s">
        <v>729</v>
      </c>
      <c r="L190" s="214" t="s">
        <v>55</v>
      </c>
      <c r="M190" s="214" t="s">
        <v>55</v>
      </c>
      <c r="N190" s="579">
        <v>240</v>
      </c>
      <c r="O190" s="580">
        <v>240</v>
      </c>
      <c r="P190" s="400">
        <f t="shared" si="132"/>
        <v>2.457555960597186</v>
      </c>
      <c r="Q190" s="400">
        <f t="shared" si="133"/>
        <v>2.457555960597186</v>
      </c>
      <c r="R190" s="561" t="s">
        <v>55</v>
      </c>
      <c r="S190" s="581" t="s">
        <v>17</v>
      </c>
      <c r="T190" s="582" t="s">
        <v>18</v>
      </c>
    </row>
    <row r="191" spans="2:20" ht="15.75" customHeight="1" x14ac:dyDescent="0.2">
      <c r="B191" s="545">
        <v>7.48</v>
      </c>
      <c r="C191" s="518" t="s">
        <v>95</v>
      </c>
      <c r="D191" s="214" t="s">
        <v>55</v>
      </c>
      <c r="E191" s="214" t="s">
        <v>55</v>
      </c>
      <c r="F191" s="591"/>
      <c r="G191" s="586" t="s">
        <v>55</v>
      </c>
      <c r="H191" s="587">
        <v>6.5</v>
      </c>
      <c r="I191" s="214">
        <v>3.86</v>
      </c>
      <c r="J191" s="215">
        <f t="shared" si="121"/>
        <v>25.09</v>
      </c>
      <c r="K191" s="588" t="s">
        <v>55</v>
      </c>
      <c r="L191" s="558">
        <v>1</v>
      </c>
      <c r="M191" s="589"/>
      <c r="N191" s="579"/>
      <c r="O191" s="580">
        <v>30</v>
      </c>
      <c r="P191" s="592"/>
      <c r="Q191" s="400">
        <f t="shared" si="133"/>
        <v>1.195695496213631</v>
      </c>
      <c r="R191" s="561" t="s">
        <v>55</v>
      </c>
      <c r="S191" s="581"/>
      <c r="T191" s="582" t="s">
        <v>18</v>
      </c>
    </row>
    <row r="192" spans="2:20" ht="33" customHeight="1" x14ac:dyDescent="0.25">
      <c r="B192" s="545">
        <v>7.49</v>
      </c>
      <c r="C192" s="518" t="s">
        <v>553</v>
      </c>
      <c r="D192" s="214" t="s">
        <v>55</v>
      </c>
      <c r="E192" s="214" t="s">
        <v>55</v>
      </c>
      <c r="F192" s="585"/>
      <c r="G192" s="579">
        <v>2</v>
      </c>
      <c r="H192" s="587">
        <v>7.7</v>
      </c>
      <c r="I192" s="214">
        <v>3.86</v>
      </c>
      <c r="J192" s="215">
        <f t="shared" si="121"/>
        <v>29.722000000000001</v>
      </c>
      <c r="K192" s="216" t="s">
        <v>1136</v>
      </c>
      <c r="L192" s="214" t="s">
        <v>55</v>
      </c>
      <c r="M192" s="214" t="s">
        <v>55</v>
      </c>
      <c r="N192" s="579">
        <v>30</v>
      </c>
      <c r="O192" s="580">
        <v>50</v>
      </c>
      <c r="P192" s="400">
        <f t="shared" ref="P192:P196" si="134">N192/J192</f>
        <v>1.0093533409595585</v>
      </c>
      <c r="Q192" s="400">
        <f t="shared" ref="Q192:Q198" si="135">O192/J192</f>
        <v>1.6822555682659308</v>
      </c>
      <c r="R192" s="561" t="s">
        <v>55</v>
      </c>
      <c r="S192" s="581" t="s">
        <v>17</v>
      </c>
      <c r="T192" s="582" t="s">
        <v>18</v>
      </c>
    </row>
    <row r="193" spans="2:30" ht="15" customHeight="1" x14ac:dyDescent="0.25">
      <c r="B193" s="545">
        <v>7.5</v>
      </c>
      <c r="C193" s="518" t="s">
        <v>136</v>
      </c>
      <c r="D193" s="214" t="s">
        <v>55</v>
      </c>
      <c r="E193" s="214" t="s">
        <v>55</v>
      </c>
      <c r="F193" s="585">
        <v>1</v>
      </c>
      <c r="G193" s="579">
        <v>2</v>
      </c>
      <c r="H193" s="587">
        <v>13.3</v>
      </c>
      <c r="I193" s="214">
        <v>3.86</v>
      </c>
      <c r="J193" s="215">
        <f t="shared" si="121"/>
        <v>51.338000000000001</v>
      </c>
      <c r="K193" s="588" t="s">
        <v>55</v>
      </c>
      <c r="L193" s="214" t="s">
        <v>55</v>
      </c>
      <c r="M193" s="214" t="s">
        <v>55</v>
      </c>
      <c r="N193" s="579">
        <v>100</v>
      </c>
      <c r="O193" s="580">
        <v>100</v>
      </c>
      <c r="P193" s="400">
        <f t="shared" si="134"/>
        <v>1.9478748685184464</v>
      </c>
      <c r="Q193" s="400">
        <f t="shared" si="135"/>
        <v>1.9478748685184464</v>
      </c>
      <c r="R193" s="561" t="s">
        <v>55</v>
      </c>
      <c r="S193" s="581" t="s">
        <v>17</v>
      </c>
      <c r="T193" s="582" t="s">
        <v>18</v>
      </c>
    </row>
    <row r="194" spans="2:30" ht="37.5" customHeight="1" x14ac:dyDescent="0.25">
      <c r="B194" s="545">
        <v>7.51</v>
      </c>
      <c r="C194" s="518" t="s">
        <v>728</v>
      </c>
      <c r="D194" s="214" t="s">
        <v>55</v>
      </c>
      <c r="E194" s="214" t="s">
        <v>55</v>
      </c>
      <c r="F194" s="585">
        <v>35</v>
      </c>
      <c r="G194" s="579"/>
      <c r="H194" s="587">
        <v>332.8</v>
      </c>
      <c r="I194" s="214">
        <v>3.86</v>
      </c>
      <c r="J194" s="215">
        <f t="shared" si="121"/>
        <v>1284.6079999999999</v>
      </c>
      <c r="K194" s="588" t="s">
        <v>55</v>
      </c>
      <c r="L194" s="214" t="s">
        <v>55</v>
      </c>
      <c r="M194" s="214" t="s">
        <v>55</v>
      </c>
      <c r="N194" s="579">
        <f>3540-60*24</f>
        <v>2100</v>
      </c>
      <c r="O194" s="580">
        <f>3540-24*60</f>
        <v>2100</v>
      </c>
      <c r="P194" s="400">
        <f t="shared" si="134"/>
        <v>1.6347399362295736</v>
      </c>
      <c r="Q194" s="400">
        <f t="shared" si="135"/>
        <v>1.6347399362295736</v>
      </c>
      <c r="R194" s="561" t="s">
        <v>55</v>
      </c>
      <c r="S194" s="581" t="s">
        <v>17</v>
      </c>
      <c r="T194" s="582" t="s">
        <v>18</v>
      </c>
      <c r="Z194" s="382" t="s">
        <v>1152</v>
      </c>
      <c r="AA194"/>
      <c r="AB194"/>
    </row>
    <row r="195" spans="2:30" ht="24.75" customHeight="1" x14ac:dyDescent="0.25">
      <c r="B195" s="545">
        <v>7.52</v>
      </c>
      <c r="C195" s="518" t="s">
        <v>1147</v>
      </c>
      <c r="D195" s="214" t="s">
        <v>55</v>
      </c>
      <c r="E195" s="214" t="s">
        <v>55</v>
      </c>
      <c r="F195" s="585">
        <v>1</v>
      </c>
      <c r="G195" s="579">
        <v>4</v>
      </c>
      <c r="H195" s="587">
        <v>29.5</v>
      </c>
      <c r="I195" s="214">
        <v>3.86</v>
      </c>
      <c r="J195" s="215">
        <f t="shared" si="121"/>
        <v>113.86999999999999</v>
      </c>
      <c r="K195" s="588" t="s">
        <v>55</v>
      </c>
      <c r="L195" s="214" t="s">
        <v>55</v>
      </c>
      <c r="M195" s="214" t="s">
        <v>55</v>
      </c>
      <c r="N195" s="579">
        <v>140</v>
      </c>
      <c r="O195" s="580">
        <v>140</v>
      </c>
      <c r="P195" s="400">
        <f t="shared" si="134"/>
        <v>1.2294722051462195</v>
      </c>
      <c r="Q195" s="400">
        <f t="shared" si="135"/>
        <v>1.2294722051462195</v>
      </c>
      <c r="R195" s="561" t="s">
        <v>55</v>
      </c>
      <c r="S195" s="581" t="s">
        <v>17</v>
      </c>
      <c r="T195" s="582" t="s">
        <v>18</v>
      </c>
      <c r="Z195"/>
      <c r="AA195"/>
      <c r="AB195"/>
    </row>
    <row r="196" spans="2:30" ht="27" customHeight="1" x14ac:dyDescent="0.25">
      <c r="B196" s="545">
        <v>7.53</v>
      </c>
      <c r="C196" s="518" t="s">
        <v>136</v>
      </c>
      <c r="D196" s="214" t="s">
        <v>55</v>
      </c>
      <c r="E196" s="214" t="s">
        <v>55</v>
      </c>
      <c r="F196" s="585">
        <v>3</v>
      </c>
      <c r="G196" s="579" t="s">
        <v>55</v>
      </c>
      <c r="H196" s="587">
        <v>20</v>
      </c>
      <c r="I196" s="214">
        <v>3.86</v>
      </c>
      <c r="J196" s="215">
        <f t="shared" si="121"/>
        <v>77.2</v>
      </c>
      <c r="K196" s="588" t="s">
        <v>55</v>
      </c>
      <c r="L196" s="214" t="s">
        <v>55</v>
      </c>
      <c r="M196" s="214" t="s">
        <v>55</v>
      </c>
      <c r="N196" s="579">
        <v>180</v>
      </c>
      <c r="O196" s="580">
        <v>180</v>
      </c>
      <c r="P196" s="400">
        <f t="shared" si="134"/>
        <v>2.3316062176165802</v>
      </c>
      <c r="Q196" s="400">
        <f t="shared" si="135"/>
        <v>2.3316062176165802</v>
      </c>
      <c r="R196" s="561" t="s">
        <v>55</v>
      </c>
      <c r="S196" s="581" t="s">
        <v>17</v>
      </c>
      <c r="T196" s="582" t="s">
        <v>18</v>
      </c>
      <c r="Z196"/>
      <c r="AA196"/>
      <c r="AB196"/>
    </row>
    <row r="197" spans="2:30" ht="15" customHeight="1" x14ac:dyDescent="0.25">
      <c r="B197" s="545">
        <v>7.54</v>
      </c>
      <c r="C197" s="518" t="s">
        <v>54</v>
      </c>
      <c r="D197" s="584" t="s">
        <v>303</v>
      </c>
      <c r="E197" s="593"/>
      <c r="F197" s="585"/>
      <c r="G197" s="579" t="s">
        <v>55</v>
      </c>
      <c r="H197" s="587">
        <v>10</v>
      </c>
      <c r="I197" s="214">
        <v>3.86</v>
      </c>
      <c r="J197" s="215">
        <f t="shared" si="121"/>
        <v>38.6</v>
      </c>
      <c r="K197" s="588" t="s">
        <v>55</v>
      </c>
      <c r="L197" s="558">
        <v>1</v>
      </c>
      <c r="M197" s="214" t="s">
        <v>55</v>
      </c>
      <c r="N197" s="579" t="s">
        <v>55</v>
      </c>
      <c r="O197" s="580">
        <v>40</v>
      </c>
      <c r="P197" s="590" t="s">
        <v>55</v>
      </c>
      <c r="Q197" s="400">
        <f t="shared" si="135"/>
        <v>1.0362694300518134</v>
      </c>
      <c r="R197" s="561" t="s">
        <v>55</v>
      </c>
      <c r="S197" s="581" t="s">
        <v>55</v>
      </c>
      <c r="T197" s="582" t="s">
        <v>18</v>
      </c>
      <c r="Z197"/>
      <c r="AA197"/>
      <c r="AB197"/>
    </row>
    <row r="198" spans="2:30" ht="26.25" customHeight="1" x14ac:dyDescent="0.25">
      <c r="B198" s="545">
        <v>7.55</v>
      </c>
      <c r="C198" s="518" t="s">
        <v>553</v>
      </c>
      <c r="D198" s="214" t="s">
        <v>55</v>
      </c>
      <c r="E198" s="214" t="s">
        <v>55</v>
      </c>
      <c r="F198" s="585"/>
      <c r="G198" s="579" t="s">
        <v>55</v>
      </c>
      <c r="H198" s="587">
        <v>3.7</v>
      </c>
      <c r="I198" s="214">
        <v>3.86</v>
      </c>
      <c r="J198" s="215">
        <f t="shared" si="121"/>
        <v>14.282</v>
      </c>
      <c r="K198" s="588" t="s">
        <v>55</v>
      </c>
      <c r="L198" s="558">
        <v>1</v>
      </c>
      <c r="M198" s="214" t="s">
        <v>55</v>
      </c>
      <c r="N198" s="579"/>
      <c r="O198" s="580">
        <v>20</v>
      </c>
      <c r="P198" s="590" t="s">
        <v>55</v>
      </c>
      <c r="Q198" s="400">
        <f t="shared" si="135"/>
        <v>1.4003640946646128</v>
      </c>
      <c r="R198" s="561" t="s">
        <v>55</v>
      </c>
      <c r="S198" s="581" t="s">
        <v>55</v>
      </c>
      <c r="T198" s="582" t="s">
        <v>18</v>
      </c>
      <c r="Z198"/>
      <c r="AA198"/>
      <c r="AB198"/>
    </row>
    <row r="199" spans="2:30" ht="15" customHeight="1" x14ac:dyDescent="0.25">
      <c r="B199" s="545">
        <v>7.56</v>
      </c>
      <c r="C199" s="518" t="s">
        <v>136</v>
      </c>
      <c r="D199" s="214" t="s">
        <v>55</v>
      </c>
      <c r="E199" s="214" t="s">
        <v>55</v>
      </c>
      <c r="F199" s="585">
        <v>1</v>
      </c>
      <c r="G199" s="579">
        <v>2</v>
      </c>
      <c r="H199" s="587">
        <v>15.2</v>
      </c>
      <c r="I199" s="214">
        <v>3.86</v>
      </c>
      <c r="J199" s="215">
        <f t="shared" si="121"/>
        <v>58.671999999999997</v>
      </c>
      <c r="K199" s="588" t="s">
        <v>55</v>
      </c>
      <c r="L199" s="214" t="s">
        <v>55</v>
      </c>
      <c r="M199" s="214" t="s">
        <v>55</v>
      </c>
      <c r="N199" s="579">
        <v>100</v>
      </c>
      <c r="O199" s="580">
        <v>100</v>
      </c>
      <c r="P199" s="400">
        <f t="shared" ref="P199" si="136">N199/J199</f>
        <v>1.7043905099536407</v>
      </c>
      <c r="Q199" s="400">
        <f t="shared" ref="Q199:Q202" si="137">O199/J199</f>
        <v>1.7043905099536407</v>
      </c>
      <c r="R199" s="561" t="s">
        <v>55</v>
      </c>
      <c r="S199" s="581" t="s">
        <v>17</v>
      </c>
      <c r="T199" s="582" t="s">
        <v>18</v>
      </c>
      <c r="Z199" s="382"/>
      <c r="AA199"/>
      <c r="AB199"/>
    </row>
    <row r="200" spans="2:30" ht="15" customHeight="1" x14ac:dyDescent="0.25">
      <c r="B200" s="545">
        <v>7.57</v>
      </c>
      <c r="C200" s="518" t="s">
        <v>551</v>
      </c>
      <c r="D200" s="214" t="s">
        <v>55</v>
      </c>
      <c r="E200" s="214" t="s">
        <v>55</v>
      </c>
      <c r="F200" s="594"/>
      <c r="G200" s="595" t="s">
        <v>55</v>
      </c>
      <c r="H200" s="587">
        <v>7.2</v>
      </c>
      <c r="I200" s="214">
        <v>3.86</v>
      </c>
      <c r="J200" s="215">
        <f t="shared" si="121"/>
        <v>27.791999999999998</v>
      </c>
      <c r="K200" s="588" t="s">
        <v>55</v>
      </c>
      <c r="L200" s="558">
        <v>1</v>
      </c>
      <c r="M200" s="214" t="s">
        <v>55</v>
      </c>
      <c r="N200" s="579"/>
      <c r="O200" s="580">
        <v>30</v>
      </c>
      <c r="P200" s="590" t="s">
        <v>55</v>
      </c>
      <c r="Q200" s="400">
        <f t="shared" si="137"/>
        <v>1.0794473229706392</v>
      </c>
      <c r="R200" s="561" t="s">
        <v>55</v>
      </c>
      <c r="S200" s="550" t="s">
        <v>55</v>
      </c>
      <c r="T200" s="582" t="s">
        <v>18</v>
      </c>
      <c r="Z200"/>
      <c r="AA200"/>
      <c r="AB200"/>
      <c r="AC200"/>
      <c r="AD200"/>
    </row>
    <row r="201" spans="2:30" ht="15" customHeight="1" x14ac:dyDescent="0.25">
      <c r="B201" s="545">
        <v>7.58</v>
      </c>
      <c r="C201" s="518" t="s">
        <v>553</v>
      </c>
      <c r="D201" s="214" t="s">
        <v>55</v>
      </c>
      <c r="E201" s="214" t="s">
        <v>55</v>
      </c>
      <c r="F201" s="594"/>
      <c r="G201" s="595" t="s">
        <v>55</v>
      </c>
      <c r="H201" s="587">
        <v>4.4000000000000004</v>
      </c>
      <c r="I201" s="214">
        <v>3.86</v>
      </c>
      <c r="J201" s="215">
        <f t="shared" si="121"/>
        <v>16.984000000000002</v>
      </c>
      <c r="K201" s="588" t="s">
        <v>55</v>
      </c>
      <c r="L201" s="558">
        <v>1</v>
      </c>
      <c r="M201" s="214" t="s">
        <v>55</v>
      </c>
      <c r="N201" s="579"/>
      <c r="O201" s="580">
        <v>20</v>
      </c>
      <c r="P201" s="590" t="s">
        <v>55</v>
      </c>
      <c r="Q201" s="400">
        <f t="shared" si="137"/>
        <v>1.1775788977861517</v>
      </c>
      <c r="R201" s="561" t="s">
        <v>55</v>
      </c>
      <c r="S201" s="550" t="s">
        <v>55</v>
      </c>
      <c r="T201" s="582" t="s">
        <v>18</v>
      </c>
      <c r="Z201"/>
      <c r="AA201"/>
      <c r="AB201"/>
      <c r="AC201"/>
      <c r="AD201"/>
    </row>
    <row r="202" spans="2:30" ht="15" customHeight="1" x14ac:dyDescent="0.25">
      <c r="B202" s="545">
        <v>7.59</v>
      </c>
      <c r="C202" s="518" t="s">
        <v>95</v>
      </c>
      <c r="D202" s="214" t="s">
        <v>55</v>
      </c>
      <c r="E202" s="214" t="s">
        <v>55</v>
      </c>
      <c r="F202" s="579"/>
      <c r="G202" s="595" t="s">
        <v>55</v>
      </c>
      <c r="H202" s="587">
        <v>10.1</v>
      </c>
      <c r="I202" s="214">
        <v>3.86</v>
      </c>
      <c r="J202" s="215">
        <f t="shared" si="121"/>
        <v>38.985999999999997</v>
      </c>
      <c r="K202" s="588" t="s">
        <v>55</v>
      </c>
      <c r="L202" s="558">
        <v>1</v>
      </c>
      <c r="M202" s="214" t="s">
        <v>55</v>
      </c>
      <c r="N202" s="579"/>
      <c r="O202" s="580">
        <v>40</v>
      </c>
      <c r="P202" s="590" t="s">
        <v>55</v>
      </c>
      <c r="Q202" s="400">
        <f t="shared" si="137"/>
        <v>1.0260093366849639</v>
      </c>
      <c r="R202" s="561" t="s">
        <v>55</v>
      </c>
      <c r="S202" s="581" t="s">
        <v>55</v>
      </c>
      <c r="T202" s="582" t="s">
        <v>18</v>
      </c>
      <c r="Z202"/>
      <c r="AA202"/>
      <c r="AB202"/>
      <c r="AC202"/>
      <c r="AD202"/>
    </row>
    <row r="203" spans="2:30" ht="22.5" customHeight="1" x14ac:dyDescent="0.25">
      <c r="B203" s="545">
        <v>7.6</v>
      </c>
      <c r="C203" s="518" t="s">
        <v>20</v>
      </c>
      <c r="D203" s="214" t="s">
        <v>55</v>
      </c>
      <c r="E203" s="214" t="s">
        <v>55</v>
      </c>
      <c r="F203" s="579"/>
      <c r="G203" s="579">
        <v>13</v>
      </c>
      <c r="H203" s="587">
        <v>21.1</v>
      </c>
      <c r="I203" s="214">
        <v>3.86</v>
      </c>
      <c r="J203" s="215">
        <f t="shared" si="121"/>
        <v>81.445999999999998</v>
      </c>
      <c r="K203" s="216" t="s">
        <v>1136</v>
      </c>
      <c r="L203" s="214" t="s">
        <v>55</v>
      </c>
      <c r="M203" s="214" t="s">
        <v>55</v>
      </c>
      <c r="N203" s="579">
        <v>260</v>
      </c>
      <c r="O203" s="580">
        <v>260</v>
      </c>
      <c r="P203" s="400">
        <f t="shared" ref="P203:P204" si="138">N203/J203</f>
        <v>3.1922991921027428</v>
      </c>
      <c r="Q203" s="400">
        <f t="shared" ref="Q203:Q204" si="139">O203/J203</f>
        <v>3.1922991921027428</v>
      </c>
      <c r="R203" s="561" t="s">
        <v>55</v>
      </c>
      <c r="S203" s="581" t="s">
        <v>17</v>
      </c>
      <c r="T203" s="582" t="s">
        <v>18</v>
      </c>
      <c r="Z203"/>
      <c r="AA203"/>
      <c r="AB203"/>
      <c r="AC203"/>
      <c r="AD203"/>
    </row>
    <row r="204" spans="2:30" ht="23.25" customHeight="1" x14ac:dyDescent="0.25">
      <c r="B204" s="545">
        <v>7.61</v>
      </c>
      <c r="C204" s="518" t="s">
        <v>553</v>
      </c>
      <c r="D204" s="214" t="s">
        <v>55</v>
      </c>
      <c r="E204" s="214" t="s">
        <v>55</v>
      </c>
      <c r="F204" s="579"/>
      <c r="G204" s="579">
        <v>8</v>
      </c>
      <c r="H204" s="587">
        <v>13.6</v>
      </c>
      <c r="I204" s="214">
        <v>3.86</v>
      </c>
      <c r="J204" s="215">
        <f t="shared" si="121"/>
        <v>52.495999999999995</v>
      </c>
      <c r="K204" s="216" t="s">
        <v>1136</v>
      </c>
      <c r="L204" s="214" t="s">
        <v>55</v>
      </c>
      <c r="M204" s="214" t="s">
        <v>55</v>
      </c>
      <c r="N204" s="579">
        <v>80</v>
      </c>
      <c r="O204" s="580">
        <v>160</v>
      </c>
      <c r="P204" s="400">
        <f t="shared" si="138"/>
        <v>1.5239256324291377</v>
      </c>
      <c r="Q204" s="400">
        <f t="shared" si="139"/>
        <v>3.0478512648582754</v>
      </c>
      <c r="R204" s="561" t="s">
        <v>55</v>
      </c>
      <c r="S204" s="581" t="s">
        <v>17</v>
      </c>
      <c r="T204" s="582" t="s">
        <v>18</v>
      </c>
      <c r="Z204" s="382"/>
      <c r="AA204"/>
      <c r="AB204"/>
      <c r="AC204"/>
      <c r="AD204"/>
    </row>
    <row r="205" spans="2:30" ht="15" customHeight="1" x14ac:dyDescent="0.25">
      <c r="B205" s="545">
        <v>7.62</v>
      </c>
      <c r="C205" s="518" t="s">
        <v>551</v>
      </c>
      <c r="D205" s="214" t="s">
        <v>55</v>
      </c>
      <c r="E205" s="214" t="s">
        <v>55</v>
      </c>
      <c r="F205" s="579"/>
      <c r="G205" s="579" t="s">
        <v>55</v>
      </c>
      <c r="H205" s="587">
        <v>7.6</v>
      </c>
      <c r="I205" s="214">
        <v>3.86</v>
      </c>
      <c r="J205" s="215">
        <f t="shared" si="121"/>
        <v>29.335999999999999</v>
      </c>
      <c r="K205" s="558">
        <v>1</v>
      </c>
      <c r="L205" s="558">
        <v>2</v>
      </c>
      <c r="M205" s="589"/>
      <c r="N205" s="579">
        <v>40</v>
      </c>
      <c r="O205" s="580">
        <v>80</v>
      </c>
      <c r="P205" s="400">
        <f t="shared" ref="P205:P215" si="140">N205/J205</f>
        <v>1.3635124079629126</v>
      </c>
      <c r="Q205" s="400">
        <f t="shared" ref="Q205:Q214" si="141">O205/J205</f>
        <v>2.7270248159258252</v>
      </c>
      <c r="R205" s="561" t="s">
        <v>55</v>
      </c>
      <c r="S205" s="581" t="s">
        <v>17</v>
      </c>
      <c r="T205" s="582" t="s">
        <v>18</v>
      </c>
      <c r="Z205" s="382"/>
      <c r="AA205"/>
      <c r="AB205"/>
      <c r="AC205"/>
      <c r="AD205"/>
    </row>
    <row r="206" spans="2:30" ht="15" customHeight="1" x14ac:dyDescent="0.25">
      <c r="B206" s="545">
        <v>7.63</v>
      </c>
      <c r="C206" s="518" t="s">
        <v>728</v>
      </c>
      <c r="D206" s="214" t="s">
        <v>55</v>
      </c>
      <c r="E206" s="214" t="s">
        <v>55</v>
      </c>
      <c r="F206" s="579">
        <v>21</v>
      </c>
      <c r="G206" s="579" t="s">
        <v>55</v>
      </c>
      <c r="H206" s="587">
        <v>281.10000000000002</v>
      </c>
      <c r="I206" s="214">
        <v>3.86</v>
      </c>
      <c r="J206" s="215">
        <f t="shared" si="121"/>
        <v>1085.046</v>
      </c>
      <c r="K206" s="588" t="s">
        <v>55</v>
      </c>
      <c r="L206" s="588" t="s">
        <v>55</v>
      </c>
      <c r="M206" s="588" t="s">
        <v>55</v>
      </c>
      <c r="N206" s="579">
        <f>1800-60*9</f>
        <v>1260</v>
      </c>
      <c r="O206" s="580">
        <f>1800-30-40-40-60*9</f>
        <v>1150</v>
      </c>
      <c r="P206" s="400">
        <f t="shared" si="140"/>
        <v>1.1612410902394921</v>
      </c>
      <c r="Q206" s="400">
        <f t="shared" si="141"/>
        <v>1.0598628998217587</v>
      </c>
      <c r="R206" s="561" t="s">
        <v>55</v>
      </c>
      <c r="S206" s="581" t="s">
        <v>17</v>
      </c>
      <c r="T206" s="582" t="s">
        <v>18</v>
      </c>
      <c r="Z206" s="382" t="s">
        <v>1153</v>
      </c>
      <c r="AA206"/>
      <c r="AB206"/>
      <c r="AC206"/>
      <c r="AD206"/>
    </row>
    <row r="207" spans="2:30" ht="15" customHeight="1" x14ac:dyDescent="0.25">
      <c r="B207" s="545">
        <v>7.64</v>
      </c>
      <c r="C207" s="518" t="s">
        <v>95</v>
      </c>
      <c r="D207" s="214" t="s">
        <v>55</v>
      </c>
      <c r="E207" s="214" t="s">
        <v>55</v>
      </c>
      <c r="F207" s="579"/>
      <c r="G207" s="579" t="s">
        <v>55</v>
      </c>
      <c r="H207" s="587">
        <v>7.9</v>
      </c>
      <c r="I207" s="214">
        <v>3.86</v>
      </c>
      <c r="J207" s="215">
        <f t="shared" si="121"/>
        <v>30.494</v>
      </c>
      <c r="K207" s="588" t="s">
        <v>55</v>
      </c>
      <c r="L207" s="558">
        <v>1</v>
      </c>
      <c r="M207" s="588" t="s">
        <v>55</v>
      </c>
      <c r="N207" s="579"/>
      <c r="O207" s="580">
        <v>30</v>
      </c>
      <c r="P207" s="400">
        <f t="shared" si="140"/>
        <v>0</v>
      </c>
      <c r="Q207" s="400">
        <f t="shared" si="141"/>
        <v>0.98380009182134187</v>
      </c>
      <c r="R207" s="561" t="s">
        <v>55</v>
      </c>
      <c r="S207" s="581" t="s">
        <v>55</v>
      </c>
      <c r="T207" s="582" t="s">
        <v>18</v>
      </c>
      <c r="Z207" s="382"/>
      <c r="AA207"/>
      <c r="AB207"/>
      <c r="AC207"/>
      <c r="AD207"/>
    </row>
    <row r="208" spans="2:30" ht="15" customHeight="1" x14ac:dyDescent="0.25">
      <c r="B208" s="545">
        <v>7.65</v>
      </c>
      <c r="C208" s="518" t="s">
        <v>551</v>
      </c>
      <c r="D208" s="214" t="s">
        <v>55</v>
      </c>
      <c r="E208" s="214" t="s">
        <v>55</v>
      </c>
      <c r="F208" s="579"/>
      <c r="G208" s="579" t="s">
        <v>55</v>
      </c>
      <c r="H208" s="587">
        <v>5.7</v>
      </c>
      <c r="I208" s="214">
        <v>3.86</v>
      </c>
      <c r="J208" s="215">
        <f t="shared" si="121"/>
        <v>22.001999999999999</v>
      </c>
      <c r="K208" s="588" t="s">
        <v>55</v>
      </c>
      <c r="L208" s="558">
        <v>1</v>
      </c>
      <c r="M208" s="588" t="s">
        <v>55</v>
      </c>
      <c r="N208" s="579"/>
      <c r="O208" s="580">
        <v>30</v>
      </c>
      <c r="P208" s="400">
        <f t="shared" si="140"/>
        <v>0</v>
      </c>
      <c r="Q208" s="400">
        <f t="shared" si="141"/>
        <v>1.3635124079629126</v>
      </c>
      <c r="R208" s="561" t="s">
        <v>55</v>
      </c>
      <c r="S208" s="550" t="s">
        <v>55</v>
      </c>
      <c r="T208" s="582" t="s">
        <v>18</v>
      </c>
      <c r="Z208"/>
      <c r="AA208"/>
      <c r="AB208"/>
      <c r="AC208"/>
      <c r="AD208"/>
    </row>
    <row r="209" spans="1:102" ht="24" customHeight="1" x14ac:dyDescent="0.25">
      <c r="B209" s="545">
        <v>7.66</v>
      </c>
      <c r="C209" s="518" t="s">
        <v>553</v>
      </c>
      <c r="D209" s="214" t="s">
        <v>55</v>
      </c>
      <c r="E209" s="214" t="s">
        <v>55</v>
      </c>
      <c r="F209" s="579"/>
      <c r="G209" s="579">
        <v>4</v>
      </c>
      <c r="H209" s="587">
        <v>8.8000000000000007</v>
      </c>
      <c r="I209" s="214">
        <v>3.86</v>
      </c>
      <c r="J209" s="215">
        <f t="shared" si="121"/>
        <v>33.968000000000004</v>
      </c>
      <c r="K209" s="216" t="s">
        <v>1136</v>
      </c>
      <c r="L209" s="558"/>
      <c r="M209" s="588" t="s">
        <v>55</v>
      </c>
      <c r="N209" s="579">
        <v>40</v>
      </c>
      <c r="O209" s="580">
        <v>80</v>
      </c>
      <c r="P209" s="400">
        <f t="shared" si="140"/>
        <v>1.1775788977861517</v>
      </c>
      <c r="Q209" s="400">
        <f t="shared" si="141"/>
        <v>2.3551577955723033</v>
      </c>
      <c r="R209" s="561" t="s">
        <v>55</v>
      </c>
      <c r="S209" s="581" t="s">
        <v>17</v>
      </c>
      <c r="T209" s="582" t="s">
        <v>18</v>
      </c>
      <c r="Z209"/>
      <c r="AA209"/>
      <c r="AB209"/>
      <c r="AC209"/>
      <c r="AD209"/>
    </row>
    <row r="210" spans="1:102" ht="36" customHeight="1" x14ac:dyDescent="0.25">
      <c r="B210" s="545">
        <v>7.67</v>
      </c>
      <c r="C210" s="518" t="s">
        <v>97</v>
      </c>
      <c r="D210" s="214" t="s">
        <v>55</v>
      </c>
      <c r="E210" s="214" t="s">
        <v>55</v>
      </c>
      <c r="F210" s="579">
        <v>1</v>
      </c>
      <c r="G210" s="579">
        <v>2</v>
      </c>
      <c r="H210" s="587">
        <v>24</v>
      </c>
      <c r="I210" s="214">
        <v>3.86</v>
      </c>
      <c r="J210" s="215">
        <f t="shared" ref="J210:J215" si="142">H210*I210</f>
        <v>92.64</v>
      </c>
      <c r="K210" s="216" t="s">
        <v>670</v>
      </c>
      <c r="L210" s="558"/>
      <c r="M210" s="588" t="s">
        <v>55</v>
      </c>
      <c r="N210" s="579">
        <v>100</v>
      </c>
      <c r="O210" s="580">
        <v>70</v>
      </c>
      <c r="P210" s="400">
        <f t="shared" si="140"/>
        <v>1.0794473229706389</v>
      </c>
      <c r="Q210" s="400">
        <f t="shared" si="141"/>
        <v>0.75561312607944731</v>
      </c>
      <c r="R210" s="561" t="s">
        <v>55</v>
      </c>
      <c r="S210" s="581" t="s">
        <v>17</v>
      </c>
      <c r="T210" s="582" t="s">
        <v>18</v>
      </c>
      <c r="Z210" s="382" t="s">
        <v>1154</v>
      </c>
      <c r="AA210"/>
      <c r="AB210"/>
      <c r="AC210"/>
      <c r="AD210"/>
    </row>
    <row r="211" spans="1:102" ht="15" customHeight="1" x14ac:dyDescent="0.25">
      <c r="B211" s="545">
        <v>7.68</v>
      </c>
      <c r="C211" s="518" t="s">
        <v>95</v>
      </c>
      <c r="D211" s="214" t="s">
        <v>55</v>
      </c>
      <c r="E211" s="214" t="s">
        <v>55</v>
      </c>
      <c r="F211" s="579"/>
      <c r="G211" s="579" t="s">
        <v>55</v>
      </c>
      <c r="H211" s="587">
        <v>3.7</v>
      </c>
      <c r="I211" s="214">
        <v>3.86</v>
      </c>
      <c r="J211" s="215">
        <f t="shared" si="142"/>
        <v>14.282</v>
      </c>
      <c r="K211" s="588" t="s">
        <v>55</v>
      </c>
      <c r="L211" s="558">
        <v>1</v>
      </c>
      <c r="M211" s="588" t="s">
        <v>55</v>
      </c>
      <c r="N211" s="579"/>
      <c r="O211" s="580">
        <v>20</v>
      </c>
      <c r="P211" s="400">
        <f t="shared" si="140"/>
        <v>0</v>
      </c>
      <c r="Q211" s="400">
        <f t="shared" si="141"/>
        <v>1.4003640946646128</v>
      </c>
      <c r="R211" s="561" t="s">
        <v>55</v>
      </c>
      <c r="S211" s="581"/>
      <c r="T211" s="582" t="s">
        <v>18</v>
      </c>
      <c r="Z211"/>
      <c r="AA211"/>
      <c r="AB211"/>
      <c r="AC211"/>
      <c r="AD211"/>
    </row>
    <row r="212" spans="1:102" ht="25.5" customHeight="1" x14ac:dyDescent="0.25">
      <c r="B212" s="545">
        <v>7.69</v>
      </c>
      <c r="C212" s="518" t="s">
        <v>728</v>
      </c>
      <c r="D212" s="214" t="s">
        <v>55</v>
      </c>
      <c r="E212" s="214" t="s">
        <v>55</v>
      </c>
      <c r="F212" s="579">
        <v>8</v>
      </c>
      <c r="G212" s="579" t="s">
        <v>55</v>
      </c>
      <c r="H212" s="587">
        <v>108.6</v>
      </c>
      <c r="I212" s="214">
        <v>3.86</v>
      </c>
      <c r="J212" s="215">
        <f t="shared" si="142"/>
        <v>419.19599999999997</v>
      </c>
      <c r="K212" s="216" t="s">
        <v>729</v>
      </c>
      <c r="L212" s="588" t="s">
        <v>55</v>
      </c>
      <c r="M212" s="588" t="s">
        <v>55</v>
      </c>
      <c r="N212" s="579">
        <f>780-60*5</f>
        <v>480</v>
      </c>
      <c r="O212" s="580">
        <f>780-60*5</f>
        <v>480</v>
      </c>
      <c r="P212" s="400">
        <f t="shared" si="140"/>
        <v>1.1450490939799045</v>
      </c>
      <c r="Q212" s="400">
        <f t="shared" si="141"/>
        <v>1.1450490939799045</v>
      </c>
      <c r="R212" s="561" t="s">
        <v>55</v>
      </c>
      <c r="S212" s="581" t="s">
        <v>17</v>
      </c>
      <c r="T212" s="582" t="s">
        <v>18</v>
      </c>
      <c r="Z212" s="382" t="s">
        <v>1155</v>
      </c>
      <c r="AA212"/>
      <c r="AB212"/>
      <c r="AC212"/>
      <c r="AD212"/>
    </row>
    <row r="213" spans="1:102" ht="24" customHeight="1" x14ac:dyDescent="0.25">
      <c r="B213" s="545">
        <v>7.7</v>
      </c>
      <c r="C213" s="518" t="s">
        <v>136</v>
      </c>
      <c r="D213" s="214" t="s">
        <v>55</v>
      </c>
      <c r="E213" s="214" t="s">
        <v>55</v>
      </c>
      <c r="F213" s="579">
        <v>1</v>
      </c>
      <c r="G213" s="579">
        <v>2</v>
      </c>
      <c r="H213" s="587">
        <v>16.2</v>
      </c>
      <c r="I213" s="214">
        <v>3.86</v>
      </c>
      <c r="J213" s="215">
        <f t="shared" si="142"/>
        <v>62.531999999999996</v>
      </c>
      <c r="K213" s="216" t="s">
        <v>670</v>
      </c>
      <c r="L213" s="588" t="s">
        <v>55</v>
      </c>
      <c r="M213" s="588" t="s">
        <v>55</v>
      </c>
      <c r="N213" s="579">
        <v>100</v>
      </c>
      <c r="O213" s="580">
        <v>100</v>
      </c>
      <c r="P213" s="400">
        <f t="shared" si="140"/>
        <v>1.5991812192157617</v>
      </c>
      <c r="Q213" s="400">
        <f t="shared" si="141"/>
        <v>1.5991812192157617</v>
      </c>
      <c r="R213" s="561" t="s">
        <v>55</v>
      </c>
      <c r="S213" s="581" t="s">
        <v>17</v>
      </c>
      <c r="T213" s="582" t="s">
        <v>18</v>
      </c>
      <c r="AC213"/>
      <c r="AD213"/>
    </row>
    <row r="214" spans="1:102" ht="25.5" customHeight="1" x14ac:dyDescent="0.25">
      <c r="B214" s="545">
        <v>7.71</v>
      </c>
      <c r="C214" s="518" t="s">
        <v>136</v>
      </c>
      <c r="D214" s="214" t="s">
        <v>55</v>
      </c>
      <c r="E214" s="214" t="s">
        <v>55</v>
      </c>
      <c r="F214" s="579">
        <v>3</v>
      </c>
      <c r="G214" s="579" t="s">
        <v>55</v>
      </c>
      <c r="H214" s="587">
        <v>19.399999999999999</v>
      </c>
      <c r="I214" s="214">
        <v>3.86</v>
      </c>
      <c r="J214" s="215">
        <f t="shared" si="142"/>
        <v>74.883999999999986</v>
      </c>
      <c r="K214" s="216" t="s">
        <v>729</v>
      </c>
      <c r="L214" s="588" t="s">
        <v>55</v>
      </c>
      <c r="M214" s="588" t="s">
        <v>55</v>
      </c>
      <c r="N214" s="579">
        <v>180</v>
      </c>
      <c r="O214" s="580">
        <v>180</v>
      </c>
      <c r="P214" s="400">
        <f t="shared" si="140"/>
        <v>2.4037177501201863</v>
      </c>
      <c r="Q214" s="400">
        <f t="shared" si="141"/>
        <v>2.4037177501201863</v>
      </c>
      <c r="R214" s="561" t="s">
        <v>55</v>
      </c>
      <c r="S214" s="581" t="s">
        <v>17</v>
      </c>
      <c r="T214" s="582" t="s">
        <v>18</v>
      </c>
      <c r="AC214"/>
      <c r="AD214"/>
    </row>
    <row r="215" spans="1:102" ht="24.75" customHeight="1" x14ac:dyDescent="0.25">
      <c r="B215" s="545">
        <v>7.72</v>
      </c>
      <c r="C215" s="518" t="s">
        <v>1145</v>
      </c>
      <c r="D215" s="584" t="s">
        <v>305</v>
      </c>
      <c r="E215" s="579"/>
      <c r="F215" s="579"/>
      <c r="G215" s="579" t="s">
        <v>55</v>
      </c>
      <c r="H215" s="587">
        <v>6.2</v>
      </c>
      <c r="I215" s="214">
        <v>3.86</v>
      </c>
      <c r="J215" s="215">
        <f t="shared" si="142"/>
        <v>23.931999999999999</v>
      </c>
      <c r="K215" s="588" t="s">
        <v>55</v>
      </c>
      <c r="L215" s="588" t="s">
        <v>55</v>
      </c>
      <c r="M215" s="588" t="s">
        <v>55</v>
      </c>
      <c r="N215" s="579">
        <v>100</v>
      </c>
      <c r="O215" s="561"/>
      <c r="P215" s="400">
        <f t="shared" si="140"/>
        <v>4.1785057663379579</v>
      </c>
      <c r="Q215" s="400" t="s">
        <v>55</v>
      </c>
      <c r="R215" s="561" t="s">
        <v>55</v>
      </c>
      <c r="S215" s="581" t="s">
        <v>17</v>
      </c>
      <c r="T215" s="582" t="s">
        <v>55</v>
      </c>
      <c r="AC215"/>
      <c r="AD215"/>
    </row>
    <row r="216" spans="1:102" ht="12.75" customHeight="1" thickBot="1" x14ac:dyDescent="0.3">
      <c r="B216" s="596"/>
      <c r="C216" s="597"/>
      <c r="D216" s="526" t="s">
        <v>508</v>
      </c>
      <c r="E216" s="598"/>
      <c r="F216" s="599">
        <f>SUM(F160:F215)</f>
        <v>140</v>
      </c>
      <c r="G216" s="599">
        <f>SUM(G160:G215)</f>
        <v>75</v>
      </c>
      <c r="H216" s="597"/>
      <c r="I216" s="597"/>
      <c r="J216" s="597"/>
      <c r="K216" s="597"/>
      <c r="L216" s="531" t="s">
        <v>557</v>
      </c>
      <c r="M216" s="531"/>
      <c r="N216" s="599">
        <f>SUM(N160:N215)</f>
        <v>11620</v>
      </c>
      <c r="O216" s="599">
        <f>SUM(O160:O215)</f>
        <v>11485</v>
      </c>
      <c r="P216" s="597"/>
      <c r="Q216" s="597"/>
      <c r="R216" s="597"/>
      <c r="S216" s="597"/>
      <c r="T216" s="600"/>
      <c r="AC216"/>
      <c r="AD216"/>
    </row>
    <row r="217" spans="1:102" ht="15" customHeight="1" thickBot="1" x14ac:dyDescent="0.3">
      <c r="B217" s="601" t="s">
        <v>669</v>
      </c>
      <c r="C217" s="602"/>
      <c r="D217" s="602"/>
      <c r="E217" s="602"/>
      <c r="F217" s="602"/>
      <c r="G217" s="602"/>
      <c r="H217" s="602"/>
      <c r="I217" s="602"/>
      <c r="J217" s="602"/>
      <c r="K217" s="602"/>
      <c r="L217" s="602"/>
      <c r="M217" s="602"/>
      <c r="N217" s="602"/>
      <c r="O217" s="602"/>
      <c r="P217" s="602"/>
      <c r="Q217" s="602"/>
      <c r="R217" s="602"/>
      <c r="S217" s="602"/>
      <c r="T217" s="603"/>
    </row>
    <row r="218" spans="1:102" s="232" customFormat="1" ht="14.25" outlineLevel="1" x14ac:dyDescent="0.25">
      <c r="A218" s="207"/>
      <c r="B218" s="604" t="s">
        <v>15</v>
      </c>
      <c r="C218" s="509" t="s">
        <v>16</v>
      </c>
      <c r="D218" s="284" t="s">
        <v>55</v>
      </c>
      <c r="E218" s="284" t="s">
        <v>55</v>
      </c>
      <c r="F218" s="209" t="s">
        <v>55</v>
      </c>
      <c r="G218" s="209" t="s">
        <v>55</v>
      </c>
      <c r="H218" s="294">
        <v>361.4</v>
      </c>
      <c r="I218" s="285">
        <v>3.855</v>
      </c>
      <c r="J218" s="210">
        <f t="shared" ref="J218:J243" si="143">H218*I218</f>
        <v>1393.1969999999999</v>
      </c>
      <c r="K218" s="216" t="s">
        <v>55</v>
      </c>
      <c r="L218" s="361" t="s">
        <v>55</v>
      </c>
      <c r="M218" s="312" t="s">
        <v>55</v>
      </c>
      <c r="N218" s="210">
        <f>1590+O270-N222</f>
        <v>1550</v>
      </c>
      <c r="O218" s="213" t="s">
        <v>55</v>
      </c>
      <c r="P218" s="388">
        <f t="shared" ref="P218:P226" si="144">N218/J218</f>
        <v>1.112549050852105</v>
      </c>
      <c r="Q218" s="388" t="s">
        <v>55</v>
      </c>
      <c r="R218" s="212" t="s">
        <v>55</v>
      </c>
      <c r="S218" s="605" t="s">
        <v>17</v>
      </c>
      <c r="T218" s="606" t="s">
        <v>55</v>
      </c>
      <c r="U218" s="230"/>
      <c r="V218" s="231"/>
      <c r="W218" s="207"/>
      <c r="X218" s="207"/>
      <c r="Y218" s="206"/>
      <c r="Z218" s="230">
        <f>N218-1590</f>
        <v>-40</v>
      </c>
      <c r="AA218" s="207"/>
      <c r="AB218" s="207"/>
      <c r="AC218" s="207"/>
      <c r="AD218" s="207"/>
      <c r="AE218" s="207"/>
      <c r="AF218" s="207"/>
      <c r="AG218" s="207"/>
      <c r="AH218" s="207"/>
      <c r="AI218" s="207"/>
      <c r="AJ218" s="207"/>
      <c r="AK218" s="207"/>
      <c r="AL218" s="207"/>
      <c r="AM218" s="207"/>
      <c r="AN218" s="207"/>
      <c r="AO218" s="207"/>
      <c r="AP218" s="207"/>
      <c r="AQ218" s="207"/>
      <c r="AR218" s="207"/>
      <c r="AS218" s="207"/>
      <c r="AT218" s="207"/>
      <c r="AU218" s="207"/>
      <c r="AV218" s="207"/>
      <c r="AW218" s="207"/>
      <c r="AX218" s="207"/>
      <c r="AY218" s="207"/>
      <c r="AZ218" s="207"/>
      <c r="BA218" s="207"/>
      <c r="BB218" s="207"/>
      <c r="BC218" s="207"/>
      <c r="BD218" s="207"/>
      <c r="BE218" s="207"/>
      <c r="BF218" s="207"/>
      <c r="BG218" s="207"/>
      <c r="BH218" s="207"/>
      <c r="BI218" s="207"/>
      <c r="BJ218" s="207"/>
      <c r="BK218" s="207"/>
      <c r="BL218" s="207"/>
      <c r="BM218" s="207"/>
      <c r="BN218" s="207"/>
      <c r="BO218" s="207"/>
      <c r="BP218" s="207"/>
      <c r="BQ218" s="207"/>
      <c r="BR218" s="207"/>
      <c r="BS218" s="207"/>
      <c r="BT218" s="207"/>
      <c r="BU218" s="207"/>
      <c r="BV218" s="207"/>
      <c r="BW218" s="207"/>
      <c r="BX218" s="207"/>
      <c r="BY218" s="207"/>
      <c r="BZ218" s="207"/>
      <c r="CA218" s="207"/>
      <c r="CB218" s="207"/>
      <c r="CC218" s="207"/>
      <c r="CD218" s="207"/>
      <c r="CE218" s="207"/>
      <c r="CF218" s="207"/>
    </row>
    <row r="219" spans="1:102" s="232" customFormat="1" ht="24" outlineLevel="1" x14ac:dyDescent="0.25">
      <c r="A219" s="207"/>
      <c r="B219" s="607" t="s">
        <v>19</v>
      </c>
      <c r="C219" s="518" t="s">
        <v>20</v>
      </c>
      <c r="D219" s="233" t="s">
        <v>55</v>
      </c>
      <c r="E219" s="233" t="s">
        <v>55</v>
      </c>
      <c r="F219" s="214" t="s">
        <v>55</v>
      </c>
      <c r="G219" s="214">
        <v>13</v>
      </c>
      <c r="H219" s="234">
        <v>8.4700000000000006</v>
      </c>
      <c r="I219" s="235">
        <v>3.855</v>
      </c>
      <c r="J219" s="215">
        <f t="shared" si="143"/>
        <v>32.651850000000003</v>
      </c>
      <c r="K219" s="216" t="s">
        <v>558</v>
      </c>
      <c r="L219" s="237" t="s">
        <v>55</v>
      </c>
      <c r="M219" s="238" t="s">
        <v>55</v>
      </c>
      <c r="N219" s="215">
        <f>20*G219</f>
        <v>260</v>
      </c>
      <c r="O219" s="220">
        <f>20*G219</f>
        <v>260</v>
      </c>
      <c r="P219" s="356">
        <f t="shared" si="144"/>
        <v>7.9627953699407525</v>
      </c>
      <c r="Q219" s="356">
        <f t="shared" ref="Q219:Q226" si="145">O219/J219</f>
        <v>7.9627953699407525</v>
      </c>
      <c r="R219" s="217" t="s">
        <v>55</v>
      </c>
      <c r="S219" s="608" t="s">
        <v>17</v>
      </c>
      <c r="T219" s="609" t="s">
        <v>18</v>
      </c>
      <c r="U219" s="230"/>
      <c r="V219" s="231"/>
      <c r="W219" s="207"/>
      <c r="X219" s="207"/>
      <c r="Y219" s="206"/>
      <c r="Z219" s="206"/>
      <c r="AA219" s="207"/>
      <c r="AB219" s="207"/>
      <c r="AC219" s="207"/>
      <c r="AD219" s="207"/>
      <c r="AE219" s="207"/>
      <c r="AF219" s="207"/>
      <c r="AG219" s="207"/>
      <c r="AH219" s="207"/>
      <c r="AI219" s="207"/>
      <c r="AJ219" s="207"/>
      <c r="AK219" s="207"/>
      <c r="AL219" s="207"/>
      <c r="AM219" s="207"/>
      <c r="AN219" s="207"/>
      <c r="AO219" s="207"/>
      <c r="AP219" s="207"/>
      <c r="AQ219" s="207"/>
      <c r="AR219" s="207"/>
      <c r="AS219" s="207"/>
      <c r="AT219" s="207"/>
      <c r="AU219" s="207"/>
      <c r="AV219" s="207"/>
      <c r="AW219" s="207"/>
      <c r="AX219" s="207"/>
      <c r="AY219" s="207"/>
      <c r="AZ219" s="207"/>
      <c r="BA219" s="207"/>
      <c r="BB219" s="207"/>
      <c r="BC219" s="207"/>
      <c r="BD219" s="207"/>
      <c r="BE219" s="207"/>
      <c r="BF219" s="207"/>
      <c r="BG219" s="207"/>
      <c r="BH219" s="207"/>
      <c r="BI219" s="207"/>
      <c r="BJ219" s="207"/>
      <c r="BK219" s="207"/>
      <c r="BL219" s="207"/>
      <c r="BM219" s="207"/>
      <c r="BN219" s="207"/>
      <c r="BO219" s="207"/>
      <c r="BP219" s="207"/>
      <c r="BQ219" s="207"/>
      <c r="BR219" s="207"/>
      <c r="BS219" s="207"/>
      <c r="BT219" s="207"/>
      <c r="BU219" s="207"/>
      <c r="BV219" s="207"/>
      <c r="BW219" s="207"/>
      <c r="BX219" s="207"/>
      <c r="BY219" s="207"/>
      <c r="BZ219" s="207"/>
      <c r="CA219" s="207"/>
      <c r="CB219" s="207"/>
      <c r="CC219" s="207"/>
      <c r="CD219" s="207"/>
      <c r="CE219" s="207"/>
      <c r="CF219" s="207"/>
    </row>
    <row r="220" spans="1:102" s="232" customFormat="1" ht="14.25" outlineLevel="1" x14ac:dyDescent="0.25">
      <c r="A220" s="207"/>
      <c r="B220" s="607"/>
      <c r="C220" s="515" t="s">
        <v>589</v>
      </c>
      <c r="D220" s="233" t="s">
        <v>55</v>
      </c>
      <c r="E220" s="233" t="s">
        <v>55</v>
      </c>
      <c r="F220" s="224" t="s">
        <v>55</v>
      </c>
      <c r="G220" s="224" t="s">
        <v>55</v>
      </c>
      <c r="H220" s="224" t="s">
        <v>55</v>
      </c>
      <c r="I220" s="224" t="s">
        <v>55</v>
      </c>
      <c r="J220" s="224" t="s">
        <v>55</v>
      </c>
      <c r="K220" s="224" t="s">
        <v>55</v>
      </c>
      <c r="L220" s="224" t="s">
        <v>55</v>
      </c>
      <c r="M220" s="224" t="s">
        <v>55</v>
      </c>
      <c r="N220" s="240" t="s">
        <v>55</v>
      </c>
      <c r="O220" s="241">
        <f>1590</f>
        <v>1590</v>
      </c>
      <c r="P220" s="406" t="s">
        <v>55</v>
      </c>
      <c r="Q220" s="406" t="s">
        <v>55</v>
      </c>
      <c r="R220" s="240" t="s">
        <v>55</v>
      </c>
      <c r="S220" s="543" t="s">
        <v>55</v>
      </c>
      <c r="T220" s="544" t="s">
        <v>590</v>
      </c>
      <c r="U220" s="230"/>
      <c r="V220" s="231"/>
      <c r="W220" s="207"/>
      <c r="X220" s="207"/>
      <c r="Y220" s="206"/>
      <c r="Z220" s="206"/>
      <c r="AA220" s="207"/>
      <c r="AB220" s="207"/>
      <c r="AC220" s="207"/>
      <c r="AD220" s="207"/>
      <c r="AE220" s="207"/>
      <c r="AF220" s="207"/>
      <c r="AG220" s="207"/>
      <c r="AH220" s="207"/>
      <c r="AI220" s="207"/>
      <c r="AJ220" s="207"/>
      <c r="AK220" s="207"/>
      <c r="AL220" s="207"/>
      <c r="AM220" s="207"/>
      <c r="AN220" s="207"/>
      <c r="AO220" s="207"/>
      <c r="AP220" s="207"/>
      <c r="AQ220" s="207"/>
      <c r="AR220" s="207"/>
      <c r="AS220" s="207"/>
      <c r="AT220" s="207"/>
      <c r="AU220" s="207"/>
      <c r="AV220" s="207"/>
      <c r="AW220" s="207"/>
      <c r="AX220" s="207"/>
      <c r="AY220" s="207"/>
      <c r="AZ220" s="207"/>
      <c r="BA220" s="207"/>
      <c r="BB220" s="207"/>
      <c r="BC220" s="207"/>
      <c r="BD220" s="207"/>
      <c r="BE220" s="207"/>
      <c r="BF220" s="207"/>
      <c r="BG220" s="207"/>
      <c r="BH220" s="207"/>
      <c r="BI220" s="207"/>
      <c r="BJ220" s="207"/>
      <c r="BK220" s="207"/>
      <c r="BL220" s="207"/>
      <c r="BM220" s="207"/>
      <c r="BN220" s="207"/>
      <c r="BO220" s="207"/>
      <c r="BP220" s="207"/>
      <c r="BQ220" s="207"/>
      <c r="BR220" s="207"/>
      <c r="BS220" s="207"/>
      <c r="BT220" s="207"/>
      <c r="BU220" s="207"/>
      <c r="BV220" s="207"/>
      <c r="BW220" s="207"/>
      <c r="BX220" s="207"/>
      <c r="BY220" s="207"/>
      <c r="BZ220" s="207"/>
      <c r="CA220" s="207"/>
      <c r="CB220" s="207"/>
      <c r="CC220" s="207"/>
      <c r="CD220" s="207"/>
      <c r="CE220" s="207"/>
      <c r="CF220" s="207"/>
    </row>
    <row r="221" spans="1:102" s="232" customFormat="1" ht="25.5" customHeight="1" outlineLevel="1" x14ac:dyDescent="0.25">
      <c r="A221" s="207"/>
      <c r="B221" s="607">
        <v>8.19</v>
      </c>
      <c r="C221" s="518" t="s">
        <v>720</v>
      </c>
      <c r="D221" s="233" t="s">
        <v>55</v>
      </c>
      <c r="E221" s="233" t="s">
        <v>55</v>
      </c>
      <c r="F221" s="233" t="s">
        <v>55</v>
      </c>
      <c r="G221" s="233" t="s">
        <v>55</v>
      </c>
      <c r="H221" s="234">
        <v>6.03</v>
      </c>
      <c r="I221" s="235">
        <v>3.86</v>
      </c>
      <c r="J221" s="215">
        <f t="shared" ref="J221" si="146">H221*I221</f>
        <v>23.2758</v>
      </c>
      <c r="K221" s="236" t="s">
        <v>55</v>
      </c>
      <c r="L221" s="237">
        <v>1</v>
      </c>
      <c r="M221" s="238" t="s">
        <v>55</v>
      </c>
      <c r="N221" s="217" t="s">
        <v>55</v>
      </c>
      <c r="O221" s="220">
        <f>CEILING((J221*L221),10)</f>
        <v>30</v>
      </c>
      <c r="P221" s="400" t="s">
        <v>55</v>
      </c>
      <c r="Q221" s="356">
        <f t="shared" ref="Q221" si="147">O221/J221</f>
        <v>1.2888923259350913</v>
      </c>
      <c r="R221" s="217" t="s">
        <v>55</v>
      </c>
      <c r="S221" s="543" t="s">
        <v>55</v>
      </c>
      <c r="T221" s="544" t="s">
        <v>590</v>
      </c>
      <c r="U221" s="230"/>
      <c r="V221" s="231"/>
      <c r="W221" s="207"/>
      <c r="X221" s="207"/>
      <c r="Y221" s="206"/>
      <c r="Z221" s="242" t="s">
        <v>721</v>
      </c>
      <c r="AA221" s="207"/>
      <c r="AB221" s="207"/>
      <c r="AC221" s="207"/>
      <c r="AD221" s="207"/>
      <c r="AE221" s="207"/>
      <c r="AF221" s="207"/>
      <c r="AG221" s="207"/>
      <c r="AH221" s="207"/>
      <c r="AI221" s="207"/>
      <c r="AJ221" s="207"/>
      <c r="AK221" s="207"/>
      <c r="AL221" s="207"/>
      <c r="AM221" s="207"/>
      <c r="AN221" s="207"/>
      <c r="AO221" s="207"/>
      <c r="AP221" s="207"/>
      <c r="AQ221" s="207"/>
      <c r="AR221" s="207"/>
      <c r="AS221" s="207"/>
      <c r="AT221" s="207"/>
      <c r="AU221" s="207"/>
      <c r="AV221" s="207"/>
      <c r="AW221" s="207"/>
      <c r="AX221" s="207"/>
      <c r="AY221" s="207"/>
      <c r="AZ221" s="207"/>
      <c r="BA221" s="207"/>
      <c r="BB221" s="207"/>
      <c r="BC221" s="207"/>
      <c r="BD221" s="207"/>
      <c r="BE221" s="207"/>
      <c r="BF221" s="207"/>
      <c r="BG221" s="207"/>
      <c r="BH221" s="207"/>
      <c r="BI221" s="207"/>
      <c r="BJ221" s="207"/>
      <c r="BK221" s="207"/>
      <c r="BL221" s="207"/>
      <c r="BM221" s="207"/>
      <c r="BN221" s="207"/>
      <c r="BO221" s="207"/>
      <c r="BP221" s="207"/>
      <c r="BQ221" s="207"/>
      <c r="BR221" s="207"/>
      <c r="BS221" s="207"/>
      <c r="BT221" s="207"/>
      <c r="BU221" s="207"/>
      <c r="BV221" s="207"/>
      <c r="BW221" s="207"/>
      <c r="BX221" s="207"/>
      <c r="BY221" s="207"/>
      <c r="BZ221" s="207"/>
      <c r="CA221" s="207"/>
      <c r="CB221" s="207"/>
      <c r="CC221" s="207"/>
      <c r="CD221" s="207"/>
      <c r="CE221" s="207"/>
      <c r="CF221" s="207"/>
    </row>
    <row r="222" spans="1:102" s="232" customFormat="1" ht="25.5" customHeight="1" outlineLevel="1" x14ac:dyDescent="0.25">
      <c r="A222" s="207"/>
      <c r="B222" s="607" t="s">
        <v>717</v>
      </c>
      <c r="C222" s="515" t="s">
        <v>718</v>
      </c>
      <c r="D222" s="223" t="s">
        <v>55</v>
      </c>
      <c r="E222" s="223" t="s">
        <v>55</v>
      </c>
      <c r="F222" s="224" t="s">
        <v>55</v>
      </c>
      <c r="G222" s="224" t="s">
        <v>55</v>
      </c>
      <c r="H222" s="224">
        <v>21.18</v>
      </c>
      <c r="I222" s="225">
        <v>3.855</v>
      </c>
      <c r="J222" s="226">
        <f>H222*I222</f>
        <v>81.648899999999998</v>
      </c>
      <c r="K222" s="224">
        <v>1</v>
      </c>
      <c r="L222" s="224">
        <v>1</v>
      </c>
      <c r="M222" s="224" t="s">
        <v>55</v>
      </c>
      <c r="N222" s="226">
        <v>80</v>
      </c>
      <c r="O222" s="241">
        <v>80</v>
      </c>
      <c r="P222" s="406">
        <f>N222/J222</f>
        <v>0.97980499431100732</v>
      </c>
      <c r="Q222" s="406">
        <f t="shared" ref="Q222" si="148">O222/J222</f>
        <v>0.97980499431100732</v>
      </c>
      <c r="R222" s="240" t="s">
        <v>55</v>
      </c>
      <c r="S222" s="519" t="s">
        <v>17</v>
      </c>
      <c r="T222" s="544" t="s">
        <v>590</v>
      </c>
      <c r="U222" s="230"/>
      <c r="V222" s="231"/>
      <c r="W222" s="207"/>
      <c r="X222" s="207"/>
      <c r="Y222" s="206"/>
      <c r="Z222" s="243" t="s">
        <v>719</v>
      </c>
      <c r="AA222" s="207"/>
      <c r="AB222" s="207"/>
      <c r="AC222" s="207"/>
      <c r="AD222" s="207"/>
      <c r="AE222" s="207"/>
      <c r="AF222" s="207"/>
      <c r="AG222" s="207"/>
      <c r="AH222" s="207"/>
      <c r="AI222" s="207"/>
      <c r="AJ222" s="207"/>
      <c r="AK222" s="207"/>
      <c r="AL222" s="207"/>
      <c r="AM222" s="207"/>
      <c r="AN222" s="207"/>
      <c r="AO222" s="207"/>
      <c r="AP222" s="207"/>
      <c r="AQ222" s="207"/>
      <c r="AR222" s="207"/>
      <c r="AS222" s="207"/>
      <c r="AT222" s="207"/>
      <c r="AU222" s="207"/>
      <c r="AV222" s="207"/>
      <c r="AW222" s="207"/>
      <c r="AX222" s="207"/>
      <c r="AY222" s="207"/>
      <c r="AZ222" s="207"/>
      <c r="BA222" s="207"/>
      <c r="BB222" s="207"/>
      <c r="BC222" s="207"/>
      <c r="BD222" s="207"/>
      <c r="BE222" s="207"/>
      <c r="BF222" s="207"/>
      <c r="BG222" s="207"/>
      <c r="BH222" s="207"/>
      <c r="BI222" s="207"/>
      <c r="BJ222" s="207"/>
      <c r="BK222" s="207"/>
      <c r="BL222" s="207"/>
      <c r="BM222" s="207"/>
      <c r="BN222" s="207"/>
      <c r="BO222" s="207"/>
      <c r="BP222" s="207"/>
      <c r="BQ222" s="207"/>
      <c r="BR222" s="207"/>
      <c r="BS222" s="207"/>
      <c r="BT222" s="207"/>
      <c r="BU222" s="207"/>
      <c r="BV222" s="207"/>
      <c r="BW222" s="207"/>
      <c r="BX222" s="207"/>
      <c r="BY222" s="207"/>
      <c r="BZ222" s="207"/>
      <c r="CA222" s="207"/>
      <c r="CB222" s="207"/>
      <c r="CC222" s="207"/>
      <c r="CD222" s="207"/>
      <c r="CE222" s="207"/>
      <c r="CF222" s="207"/>
    </row>
    <row r="223" spans="1:102" s="244" customFormat="1" ht="36" outlineLevel="1" x14ac:dyDescent="0.25">
      <c r="A223" s="207"/>
      <c r="B223" s="607" t="s">
        <v>22</v>
      </c>
      <c r="C223" s="518" t="s">
        <v>23</v>
      </c>
      <c r="D223" s="233" t="s">
        <v>55</v>
      </c>
      <c r="E223" s="233" t="s">
        <v>55</v>
      </c>
      <c r="F223" s="214">
        <v>1</v>
      </c>
      <c r="G223" s="214">
        <v>3</v>
      </c>
      <c r="H223" s="234">
        <v>31.8</v>
      </c>
      <c r="I223" s="235">
        <v>3.855</v>
      </c>
      <c r="J223" s="215">
        <f t="shared" si="143"/>
        <v>122.589</v>
      </c>
      <c r="K223" s="216" t="s">
        <v>670</v>
      </c>
      <c r="L223" s="237" t="s">
        <v>55</v>
      </c>
      <c r="M223" s="238" t="s">
        <v>55</v>
      </c>
      <c r="N223" s="215">
        <f>60*F223+20*G223</f>
        <v>120</v>
      </c>
      <c r="O223" s="220">
        <f>60*F223+20*G223</f>
        <v>120</v>
      </c>
      <c r="P223" s="356">
        <f t="shared" si="144"/>
        <v>0.97888064997675162</v>
      </c>
      <c r="Q223" s="356">
        <f t="shared" si="145"/>
        <v>0.97888064997675162</v>
      </c>
      <c r="R223" s="217" t="s">
        <v>55</v>
      </c>
      <c r="S223" s="608" t="s">
        <v>17</v>
      </c>
      <c r="T223" s="520" t="s">
        <v>18</v>
      </c>
      <c r="U223" s="450"/>
      <c r="V223" s="450"/>
      <c r="W223" s="207"/>
      <c r="Y223" s="449">
        <v>1</v>
      </c>
      <c r="Z223" s="449"/>
      <c r="AA223" s="245" t="s">
        <v>24</v>
      </c>
      <c r="AB223" s="246" t="s">
        <v>23</v>
      </c>
      <c r="AC223" s="247">
        <v>1</v>
      </c>
      <c r="AD223" s="207"/>
      <c r="AE223" s="207"/>
      <c r="AF223" s="207"/>
      <c r="AG223" s="207"/>
      <c r="AH223" s="207"/>
      <c r="AI223" s="207"/>
      <c r="AJ223" s="207"/>
      <c r="AK223" s="207"/>
      <c r="AL223" s="207"/>
      <c r="AM223" s="207"/>
      <c r="AN223" s="207"/>
      <c r="AO223" s="207"/>
      <c r="AP223" s="207"/>
      <c r="AQ223" s="207"/>
      <c r="AR223" s="207"/>
      <c r="AS223" s="207"/>
      <c r="AT223" s="207"/>
      <c r="AU223" s="207"/>
      <c r="AV223" s="207"/>
      <c r="AW223" s="207"/>
      <c r="AX223" s="207"/>
      <c r="AY223" s="207"/>
      <c r="AZ223" s="207"/>
      <c r="BA223" s="207"/>
      <c r="BB223" s="207"/>
      <c r="BC223" s="207"/>
      <c r="BD223" s="207"/>
      <c r="BE223" s="207"/>
      <c r="BF223" s="207"/>
      <c r="BG223" s="207"/>
      <c r="BH223" s="207"/>
      <c r="BI223" s="207"/>
      <c r="BJ223" s="207"/>
      <c r="BK223" s="207"/>
      <c r="BL223" s="207"/>
      <c r="BM223" s="207"/>
      <c r="BN223" s="207"/>
      <c r="BO223" s="207"/>
      <c r="BP223" s="207"/>
      <c r="BQ223" s="207"/>
      <c r="BR223" s="207"/>
      <c r="BS223" s="207"/>
      <c r="BT223" s="207"/>
      <c r="BU223" s="207"/>
      <c r="BV223" s="207"/>
      <c r="BW223" s="207"/>
      <c r="BX223" s="207"/>
      <c r="BY223" s="207"/>
      <c r="BZ223" s="207"/>
      <c r="CA223" s="207"/>
      <c r="CB223" s="207"/>
      <c r="CC223" s="207"/>
      <c r="CD223" s="207"/>
      <c r="CE223" s="207"/>
      <c r="CF223" s="207"/>
      <c r="CG223" s="207"/>
      <c r="CH223" s="207"/>
      <c r="CI223" s="207"/>
      <c r="CJ223" s="207"/>
      <c r="CK223" s="207"/>
      <c r="CL223" s="207"/>
      <c r="CM223" s="207"/>
      <c r="CN223" s="207"/>
      <c r="CO223" s="207"/>
      <c r="CP223" s="207"/>
      <c r="CQ223" s="207"/>
      <c r="CR223" s="207"/>
      <c r="CS223" s="207"/>
      <c r="CT223" s="207"/>
      <c r="CU223" s="207"/>
      <c r="CV223" s="207"/>
      <c r="CW223" s="207"/>
      <c r="CX223" s="207"/>
    </row>
    <row r="224" spans="1:102" s="244" customFormat="1" ht="28.5" outlineLevel="1" x14ac:dyDescent="0.25">
      <c r="A224" s="207"/>
      <c r="B224" s="607" t="s">
        <v>25</v>
      </c>
      <c r="C224" s="518" t="s">
        <v>26</v>
      </c>
      <c r="D224" s="233" t="s">
        <v>55</v>
      </c>
      <c r="E224" s="233" t="s">
        <v>55</v>
      </c>
      <c r="F224" s="214">
        <v>8</v>
      </c>
      <c r="G224" s="214" t="s">
        <v>55</v>
      </c>
      <c r="H224" s="234">
        <v>49.1</v>
      </c>
      <c r="I224" s="235">
        <v>3.855</v>
      </c>
      <c r="J224" s="215">
        <f t="shared" si="143"/>
        <v>189.28050000000002</v>
      </c>
      <c r="K224" s="216" t="s">
        <v>559</v>
      </c>
      <c r="L224" s="237" t="s">
        <v>55</v>
      </c>
      <c r="M224" s="238" t="s">
        <v>55</v>
      </c>
      <c r="N224" s="215">
        <f>60*F224</f>
        <v>480</v>
      </c>
      <c r="O224" s="220">
        <f>60*F224</f>
        <v>480</v>
      </c>
      <c r="P224" s="356">
        <f t="shared" si="144"/>
        <v>2.5359189139927247</v>
      </c>
      <c r="Q224" s="356">
        <f t="shared" si="145"/>
        <v>2.5359189139927247</v>
      </c>
      <c r="R224" s="217" t="s">
        <v>55</v>
      </c>
      <c r="S224" s="608" t="s">
        <v>17</v>
      </c>
      <c r="T224" s="609" t="s">
        <v>18</v>
      </c>
      <c r="U224" s="450"/>
      <c r="V224" s="450"/>
      <c r="W224" s="207"/>
      <c r="Y224" s="450"/>
      <c r="Z224" s="450"/>
      <c r="AA224" s="245" t="s">
        <v>27</v>
      </c>
      <c r="AB224" s="246" t="s">
        <v>28</v>
      </c>
      <c r="AC224" s="247">
        <v>8</v>
      </c>
      <c r="AD224" s="207"/>
      <c r="AE224" s="207"/>
      <c r="AF224" s="207"/>
      <c r="AG224" s="207"/>
      <c r="AH224" s="207"/>
      <c r="AI224" s="207"/>
      <c r="AJ224" s="207"/>
      <c r="AK224" s="207"/>
      <c r="AL224" s="207"/>
      <c r="AM224" s="207"/>
      <c r="AN224" s="207"/>
      <c r="AO224" s="207"/>
      <c r="AP224" s="207"/>
      <c r="AQ224" s="207"/>
      <c r="AR224" s="207"/>
      <c r="AS224" s="207"/>
      <c r="AT224" s="207"/>
      <c r="AU224" s="207"/>
      <c r="AV224" s="207"/>
      <c r="AW224" s="207"/>
      <c r="AX224" s="207"/>
      <c r="AY224" s="207"/>
      <c r="AZ224" s="207"/>
      <c r="BA224" s="207"/>
      <c r="BB224" s="207"/>
      <c r="BC224" s="207"/>
      <c r="BD224" s="207"/>
      <c r="BE224" s="207"/>
      <c r="BF224" s="207"/>
      <c r="BG224" s="207"/>
      <c r="BH224" s="207"/>
      <c r="BI224" s="207"/>
      <c r="BJ224" s="207"/>
      <c r="BK224" s="207"/>
      <c r="BL224" s="207"/>
      <c r="BM224" s="207"/>
      <c r="BN224" s="207"/>
      <c r="BO224" s="207"/>
      <c r="BP224" s="207"/>
      <c r="BQ224" s="207"/>
      <c r="BR224" s="207"/>
      <c r="BS224" s="207"/>
      <c r="BT224" s="207"/>
      <c r="BU224" s="207"/>
      <c r="BV224" s="207"/>
      <c r="BW224" s="207"/>
      <c r="BX224" s="207"/>
      <c r="BY224" s="207"/>
      <c r="BZ224" s="207"/>
      <c r="CA224" s="207"/>
      <c r="CB224" s="207"/>
      <c r="CC224" s="207"/>
      <c r="CD224" s="207"/>
      <c r="CE224" s="207"/>
      <c r="CF224" s="207"/>
      <c r="CG224" s="207"/>
      <c r="CH224" s="207"/>
      <c r="CI224" s="207"/>
      <c r="CJ224" s="207"/>
      <c r="CK224" s="207"/>
      <c r="CL224" s="207"/>
      <c r="CM224" s="207"/>
      <c r="CN224" s="207"/>
      <c r="CO224" s="207"/>
      <c r="CP224" s="207"/>
      <c r="CQ224" s="207"/>
      <c r="CR224" s="207"/>
      <c r="CS224" s="207"/>
      <c r="CT224" s="207"/>
      <c r="CU224" s="207"/>
      <c r="CV224" s="207"/>
      <c r="CW224" s="207"/>
      <c r="CX224" s="207"/>
    </row>
    <row r="225" spans="1:102" s="244" customFormat="1" ht="24" outlineLevel="1" x14ac:dyDescent="0.25">
      <c r="A225" s="207"/>
      <c r="B225" s="607" t="s">
        <v>29</v>
      </c>
      <c r="C225" s="518" t="s">
        <v>30</v>
      </c>
      <c r="D225" s="233" t="s">
        <v>55</v>
      </c>
      <c r="E225" s="233" t="s">
        <v>55</v>
      </c>
      <c r="F225" s="214">
        <v>5</v>
      </c>
      <c r="G225" s="214" t="s">
        <v>55</v>
      </c>
      <c r="H225" s="234">
        <v>31.8</v>
      </c>
      <c r="I225" s="235">
        <v>3.855</v>
      </c>
      <c r="J225" s="215">
        <f t="shared" si="143"/>
        <v>122.589</v>
      </c>
      <c r="K225" s="216" t="s">
        <v>559</v>
      </c>
      <c r="L225" s="237" t="s">
        <v>55</v>
      </c>
      <c r="M225" s="238" t="s">
        <v>55</v>
      </c>
      <c r="N225" s="215">
        <f>60*F225</f>
        <v>300</v>
      </c>
      <c r="O225" s="220">
        <f>60*F225</f>
        <v>300</v>
      </c>
      <c r="P225" s="356">
        <f t="shared" si="144"/>
        <v>2.4472016249418789</v>
      </c>
      <c r="Q225" s="356">
        <f t="shared" si="145"/>
        <v>2.4472016249418789</v>
      </c>
      <c r="R225" s="217" t="s">
        <v>55</v>
      </c>
      <c r="S225" s="608" t="s">
        <v>17</v>
      </c>
      <c r="T225" s="520" t="s">
        <v>18</v>
      </c>
      <c r="U225" s="450"/>
      <c r="V225" s="450"/>
      <c r="W225" s="207"/>
      <c r="Y225" s="206" t="s">
        <v>556</v>
      </c>
      <c r="Z225" s="206" t="s">
        <v>556</v>
      </c>
      <c r="AA225" s="245" t="s">
        <v>31</v>
      </c>
      <c r="AB225" s="248" t="s">
        <v>30</v>
      </c>
      <c r="AC225" s="249">
        <v>2</v>
      </c>
      <c r="AD225" s="207"/>
      <c r="AE225" s="207"/>
      <c r="AF225" s="207"/>
      <c r="AG225" s="207"/>
      <c r="AH225" s="207"/>
      <c r="AI225" s="207"/>
      <c r="AJ225" s="207"/>
      <c r="AK225" s="207"/>
      <c r="AL225" s="207"/>
      <c r="AM225" s="207"/>
      <c r="AN225" s="207"/>
      <c r="AO225" s="207"/>
      <c r="AP225" s="207"/>
      <c r="AQ225" s="207"/>
      <c r="AR225" s="207"/>
      <c r="AS225" s="207"/>
      <c r="AT225" s="207"/>
      <c r="AU225" s="207"/>
      <c r="AV225" s="207"/>
      <c r="AW225" s="207"/>
      <c r="AX225" s="207"/>
      <c r="AY225" s="207"/>
      <c r="AZ225" s="207"/>
      <c r="BA225" s="207"/>
      <c r="BB225" s="207"/>
      <c r="BC225" s="207"/>
      <c r="BD225" s="207"/>
      <c r="BE225" s="207"/>
      <c r="BF225" s="207"/>
      <c r="BG225" s="207"/>
      <c r="BH225" s="207"/>
      <c r="BI225" s="207"/>
      <c r="BJ225" s="207"/>
      <c r="BK225" s="207"/>
      <c r="BL225" s="207"/>
      <c r="BM225" s="207"/>
      <c r="BN225" s="207"/>
      <c r="BO225" s="207"/>
      <c r="BP225" s="207"/>
      <c r="BQ225" s="207"/>
      <c r="BR225" s="207"/>
      <c r="BS225" s="207"/>
      <c r="BT225" s="207"/>
      <c r="BU225" s="207"/>
      <c r="BV225" s="207"/>
      <c r="BW225" s="207"/>
      <c r="BX225" s="207"/>
      <c r="BY225" s="207"/>
      <c r="BZ225" s="207"/>
      <c r="CA225" s="207"/>
      <c r="CB225" s="207"/>
      <c r="CC225" s="207"/>
      <c r="CD225" s="207"/>
      <c r="CE225" s="207"/>
      <c r="CF225" s="207"/>
      <c r="CG225" s="207"/>
      <c r="CH225" s="207"/>
      <c r="CI225" s="207"/>
      <c r="CJ225" s="207"/>
      <c r="CK225" s="207"/>
      <c r="CL225" s="207"/>
      <c r="CM225" s="207"/>
      <c r="CN225" s="207"/>
      <c r="CO225" s="207"/>
      <c r="CP225" s="207"/>
      <c r="CQ225" s="207"/>
      <c r="CR225" s="207"/>
      <c r="CS225" s="207"/>
      <c r="CT225" s="207"/>
      <c r="CU225" s="207"/>
      <c r="CV225" s="207"/>
      <c r="CW225" s="207"/>
      <c r="CX225" s="207"/>
    </row>
    <row r="226" spans="1:102" ht="24" customHeight="1" outlineLevel="1" x14ac:dyDescent="0.25">
      <c r="B226" s="607" t="s">
        <v>32</v>
      </c>
      <c r="C226" s="518" t="s">
        <v>33</v>
      </c>
      <c r="D226" s="233" t="s">
        <v>55</v>
      </c>
      <c r="E226" s="233" t="s">
        <v>55</v>
      </c>
      <c r="F226" s="214">
        <v>18</v>
      </c>
      <c r="G226" s="214"/>
      <c r="H226" s="234">
        <v>123</v>
      </c>
      <c r="I226" s="235">
        <v>3.855</v>
      </c>
      <c r="J226" s="215">
        <f t="shared" si="143"/>
        <v>474.16500000000002</v>
      </c>
      <c r="K226" s="216" t="s">
        <v>559</v>
      </c>
      <c r="L226" s="237" t="s">
        <v>55</v>
      </c>
      <c r="M226" s="238" t="s">
        <v>55</v>
      </c>
      <c r="N226" s="215">
        <f>60*F226</f>
        <v>1080</v>
      </c>
      <c r="O226" s="220">
        <f>60*F226</f>
        <v>1080</v>
      </c>
      <c r="P226" s="356">
        <f t="shared" si="144"/>
        <v>2.2776881465312706</v>
      </c>
      <c r="Q226" s="356">
        <f t="shared" si="145"/>
        <v>2.2776881465312706</v>
      </c>
      <c r="R226" s="217" t="s">
        <v>55</v>
      </c>
      <c r="S226" s="608" t="s">
        <v>17</v>
      </c>
      <c r="T226" s="520" t="s">
        <v>18</v>
      </c>
      <c r="U226" s="450"/>
      <c r="V226" s="450"/>
      <c r="Y226" s="206" t="s">
        <v>556</v>
      </c>
      <c r="Z226" s="206" t="s">
        <v>556</v>
      </c>
      <c r="AA226" s="245" t="s">
        <v>34</v>
      </c>
      <c r="AB226" s="246" t="s">
        <v>35</v>
      </c>
      <c r="AC226" s="247">
        <v>16</v>
      </c>
    </row>
    <row r="227" spans="1:102" ht="14.25" customHeight="1" outlineLevel="1" x14ac:dyDescent="0.25">
      <c r="B227" s="607"/>
      <c r="C227" s="518" t="s">
        <v>36</v>
      </c>
      <c r="D227" s="233" t="s">
        <v>55</v>
      </c>
      <c r="E227" s="233" t="s">
        <v>55</v>
      </c>
      <c r="F227" s="233" t="s">
        <v>55</v>
      </c>
      <c r="G227" s="233" t="s">
        <v>55</v>
      </c>
      <c r="H227" s="233" t="s">
        <v>55</v>
      </c>
      <c r="I227" s="233" t="s">
        <v>55</v>
      </c>
      <c r="J227" s="233" t="s">
        <v>55</v>
      </c>
      <c r="K227" s="233" t="s">
        <v>55</v>
      </c>
      <c r="L227" s="233" t="s">
        <v>55</v>
      </c>
      <c r="M227" s="233" t="s">
        <v>55</v>
      </c>
      <c r="N227" s="217" t="s">
        <v>55</v>
      </c>
      <c r="O227" s="218" t="s">
        <v>55</v>
      </c>
      <c r="P227" s="400" t="s">
        <v>55</v>
      </c>
      <c r="Q227" s="400" t="s">
        <v>55</v>
      </c>
      <c r="R227" s="218" t="s">
        <v>55</v>
      </c>
      <c r="S227" s="233" t="s">
        <v>55</v>
      </c>
      <c r="T227" s="250" t="s">
        <v>55</v>
      </c>
      <c r="U227" s="450"/>
      <c r="V227" s="450"/>
      <c r="W227" s="251"/>
      <c r="Y227" s="206"/>
      <c r="Z227" s="230"/>
    </row>
    <row r="228" spans="1:102" ht="24" outlineLevel="1" x14ac:dyDescent="0.25">
      <c r="B228" s="607" t="s">
        <v>37</v>
      </c>
      <c r="C228" s="518" t="s">
        <v>38</v>
      </c>
      <c r="D228" s="233" t="s">
        <v>55</v>
      </c>
      <c r="E228" s="233" t="s">
        <v>55</v>
      </c>
      <c r="F228" s="214">
        <v>8</v>
      </c>
      <c r="G228" s="233" t="s">
        <v>55</v>
      </c>
      <c r="H228" s="234">
        <v>48.2</v>
      </c>
      <c r="I228" s="235">
        <v>3.855</v>
      </c>
      <c r="J228" s="215">
        <f t="shared" si="143"/>
        <v>185.81100000000001</v>
      </c>
      <c r="K228" s="216" t="s">
        <v>559</v>
      </c>
      <c r="L228" s="237" t="s">
        <v>55</v>
      </c>
      <c r="M228" s="238" t="s">
        <v>55</v>
      </c>
      <c r="N228" s="215">
        <f>60*F228</f>
        <v>480</v>
      </c>
      <c r="O228" s="220">
        <f>60*F228-O234</f>
        <v>430</v>
      </c>
      <c r="P228" s="356">
        <f>N228/J228</f>
        <v>2.5832700970340827</v>
      </c>
      <c r="Q228" s="356">
        <f>O228/J228</f>
        <v>2.3141794619263658</v>
      </c>
      <c r="R228" s="217" t="s">
        <v>55</v>
      </c>
      <c r="S228" s="608" t="s">
        <v>17</v>
      </c>
      <c r="T228" s="520" t="s">
        <v>18</v>
      </c>
      <c r="U228" s="450"/>
      <c r="V228" s="450"/>
      <c r="W228" s="251"/>
      <c r="Y228" s="206"/>
      <c r="Z228" s="206" t="s">
        <v>556</v>
      </c>
      <c r="AA228" s="245" t="s">
        <v>39</v>
      </c>
      <c r="AB228" s="246" t="s">
        <v>40</v>
      </c>
      <c r="AC228" s="247">
        <v>4</v>
      </c>
    </row>
    <row r="229" spans="1:102" ht="14.25" outlineLevel="1" x14ac:dyDescent="0.25">
      <c r="B229" s="607"/>
      <c r="C229" s="518" t="s">
        <v>41</v>
      </c>
      <c r="D229" s="233" t="s">
        <v>55</v>
      </c>
      <c r="E229" s="233" t="s">
        <v>55</v>
      </c>
      <c r="F229" s="233" t="s">
        <v>55</v>
      </c>
      <c r="G229" s="233" t="s">
        <v>55</v>
      </c>
      <c r="H229" s="233" t="s">
        <v>55</v>
      </c>
      <c r="I229" s="233" t="s">
        <v>55</v>
      </c>
      <c r="J229" s="233" t="s">
        <v>55</v>
      </c>
      <c r="K229" s="233" t="s">
        <v>55</v>
      </c>
      <c r="L229" s="233" t="s">
        <v>55</v>
      </c>
      <c r="M229" s="233" t="s">
        <v>55</v>
      </c>
      <c r="N229" s="217" t="s">
        <v>55</v>
      </c>
      <c r="O229" s="218" t="s">
        <v>55</v>
      </c>
      <c r="P229" s="400" t="s">
        <v>55</v>
      </c>
      <c r="Q229" s="400" t="s">
        <v>55</v>
      </c>
      <c r="R229" s="218" t="s">
        <v>55</v>
      </c>
      <c r="S229" s="233" t="s">
        <v>55</v>
      </c>
      <c r="T229" s="250" t="s">
        <v>55</v>
      </c>
      <c r="U229" s="450"/>
      <c r="V229" s="450"/>
      <c r="Y229" s="206"/>
      <c r="Z229" s="206"/>
      <c r="AA229" s="245"/>
      <c r="AB229" s="246" t="s">
        <v>42</v>
      </c>
      <c r="AC229" s="247"/>
    </row>
    <row r="230" spans="1:102" ht="24" outlineLevel="1" x14ac:dyDescent="0.25">
      <c r="B230" s="607" t="s">
        <v>43</v>
      </c>
      <c r="C230" s="518" t="s">
        <v>44</v>
      </c>
      <c r="D230" s="233" t="s">
        <v>55</v>
      </c>
      <c r="E230" s="233" t="s">
        <v>55</v>
      </c>
      <c r="F230" s="214">
        <v>10</v>
      </c>
      <c r="G230" s="233" t="s">
        <v>55</v>
      </c>
      <c r="H230" s="234">
        <v>66</v>
      </c>
      <c r="I230" s="235">
        <v>3.855</v>
      </c>
      <c r="J230" s="215">
        <f t="shared" si="143"/>
        <v>254.43</v>
      </c>
      <c r="K230" s="216" t="s">
        <v>559</v>
      </c>
      <c r="L230" s="237" t="s">
        <v>55</v>
      </c>
      <c r="M230" s="238" t="s">
        <v>55</v>
      </c>
      <c r="N230" s="215">
        <f>60*F230</f>
        <v>600</v>
      </c>
      <c r="O230" s="220">
        <f>60*F230</f>
        <v>600</v>
      </c>
      <c r="P230" s="356">
        <f>N230/J230</f>
        <v>2.3582124749439926</v>
      </c>
      <c r="Q230" s="356">
        <f>O230/J230</f>
        <v>2.3582124749439926</v>
      </c>
      <c r="R230" s="217" t="s">
        <v>55</v>
      </c>
      <c r="S230" s="608" t="s">
        <v>17</v>
      </c>
      <c r="T230" s="520" t="s">
        <v>18</v>
      </c>
      <c r="U230" s="450"/>
      <c r="V230" s="450"/>
      <c r="W230" s="251"/>
      <c r="Y230" s="206"/>
      <c r="Z230" s="206" t="s">
        <v>556</v>
      </c>
      <c r="AA230" s="245" t="s">
        <v>45</v>
      </c>
      <c r="AB230" s="246" t="s">
        <v>44</v>
      </c>
      <c r="AC230" s="252">
        <v>6</v>
      </c>
    </row>
    <row r="231" spans="1:102" ht="24" outlineLevel="1" x14ac:dyDescent="0.25">
      <c r="B231" s="607" t="s">
        <v>46</v>
      </c>
      <c r="C231" s="518" t="s">
        <v>44</v>
      </c>
      <c r="D231" s="233" t="s">
        <v>55</v>
      </c>
      <c r="E231" s="233" t="s">
        <v>55</v>
      </c>
      <c r="F231" s="214">
        <v>8</v>
      </c>
      <c r="G231" s="233" t="s">
        <v>55</v>
      </c>
      <c r="H231" s="234">
        <v>53.7</v>
      </c>
      <c r="I231" s="235">
        <v>3.855</v>
      </c>
      <c r="J231" s="215">
        <f>H231*I231</f>
        <v>207.01350000000002</v>
      </c>
      <c r="K231" s="216" t="s">
        <v>559</v>
      </c>
      <c r="L231" s="237" t="s">
        <v>55</v>
      </c>
      <c r="M231" s="238" t="s">
        <v>55</v>
      </c>
      <c r="N231" s="215">
        <f>60*F231</f>
        <v>480</v>
      </c>
      <c r="O231" s="220">
        <f>60*F231</f>
        <v>480</v>
      </c>
      <c r="P231" s="356">
        <f>N231/J231</f>
        <v>2.3186893608387855</v>
      </c>
      <c r="Q231" s="356">
        <f>O231/J231</f>
        <v>2.3186893608387855</v>
      </c>
      <c r="R231" s="217" t="s">
        <v>55</v>
      </c>
      <c r="S231" s="608" t="s">
        <v>17</v>
      </c>
      <c r="T231" s="520" t="s">
        <v>18</v>
      </c>
      <c r="U231" s="450"/>
      <c r="V231" s="450"/>
      <c r="Y231" s="206"/>
      <c r="Z231" s="230"/>
      <c r="AA231" s="245" t="s">
        <v>47</v>
      </c>
      <c r="AB231" s="246" t="s">
        <v>44</v>
      </c>
      <c r="AC231" s="252">
        <v>8</v>
      </c>
    </row>
    <row r="232" spans="1:102" ht="24" outlineLevel="1" x14ac:dyDescent="0.25">
      <c r="B232" s="607" t="s">
        <v>48</v>
      </c>
      <c r="C232" s="518" t="s">
        <v>49</v>
      </c>
      <c r="D232" s="233" t="s">
        <v>55</v>
      </c>
      <c r="E232" s="233" t="s">
        <v>55</v>
      </c>
      <c r="F232" s="214">
        <v>7</v>
      </c>
      <c r="G232" s="233" t="s">
        <v>55</v>
      </c>
      <c r="H232" s="234">
        <v>67.3</v>
      </c>
      <c r="I232" s="235">
        <v>3.855</v>
      </c>
      <c r="J232" s="215">
        <f t="shared" si="143"/>
        <v>259.44149999999996</v>
      </c>
      <c r="K232" s="216" t="s">
        <v>559</v>
      </c>
      <c r="L232" s="237" t="s">
        <v>55</v>
      </c>
      <c r="M232" s="238" t="s">
        <v>55</v>
      </c>
      <c r="N232" s="215">
        <f>60*F232</f>
        <v>420</v>
      </c>
      <c r="O232" s="220">
        <f>60*F232</f>
        <v>420</v>
      </c>
      <c r="P232" s="356">
        <f>N232/J232</f>
        <v>1.6188620556079119</v>
      </c>
      <c r="Q232" s="356">
        <f>O232/J232</f>
        <v>1.6188620556079119</v>
      </c>
      <c r="R232" s="217" t="s">
        <v>55</v>
      </c>
      <c r="S232" s="608" t="s">
        <v>17</v>
      </c>
      <c r="T232" s="520" t="s">
        <v>18</v>
      </c>
      <c r="U232" s="450"/>
      <c r="V232" s="450"/>
      <c r="Y232" s="206"/>
      <c r="Z232" s="206"/>
      <c r="AA232" s="245" t="s">
        <v>50</v>
      </c>
      <c r="AB232" s="208" t="s">
        <v>51</v>
      </c>
      <c r="AC232" s="252">
        <v>7</v>
      </c>
    </row>
    <row r="233" spans="1:102" ht="14.25" customHeight="1" outlineLevel="1" x14ac:dyDescent="0.25">
      <c r="B233" s="607"/>
      <c r="C233" s="518" t="s">
        <v>52</v>
      </c>
      <c r="D233" s="233" t="s">
        <v>55</v>
      </c>
      <c r="E233" s="233" t="s">
        <v>55</v>
      </c>
      <c r="F233" s="214" t="s">
        <v>55</v>
      </c>
      <c r="G233" s="233" t="s">
        <v>55</v>
      </c>
      <c r="H233" s="234"/>
      <c r="I233" s="235"/>
      <c r="J233" s="215"/>
      <c r="K233" s="237"/>
      <c r="L233" s="237" t="s">
        <v>55</v>
      </c>
      <c r="M233" s="238" t="s">
        <v>55</v>
      </c>
      <c r="N233" s="215"/>
      <c r="O233" s="220"/>
      <c r="P233" s="356"/>
      <c r="Q233" s="356"/>
      <c r="R233" s="217" t="s">
        <v>55</v>
      </c>
      <c r="S233" s="608"/>
      <c r="T233" s="610"/>
      <c r="U233" s="450"/>
      <c r="V233" s="450"/>
      <c r="W233" s="230"/>
      <c r="X233" s="230"/>
      <c r="Y233" s="206"/>
      <c r="Z233" s="206"/>
    </row>
    <row r="234" spans="1:102" ht="14.25" outlineLevel="1" x14ac:dyDescent="0.2">
      <c r="B234" s="607" t="s">
        <v>53</v>
      </c>
      <c r="C234" s="518" t="s">
        <v>54</v>
      </c>
      <c r="D234" s="233" t="s">
        <v>303</v>
      </c>
      <c r="E234" s="233" t="s">
        <v>55</v>
      </c>
      <c r="F234" s="214" t="s">
        <v>55</v>
      </c>
      <c r="G234" s="233" t="s">
        <v>55</v>
      </c>
      <c r="H234" s="234">
        <v>11.2</v>
      </c>
      <c r="I234" s="235">
        <v>3.86</v>
      </c>
      <c r="J234" s="215">
        <f t="shared" si="143"/>
        <v>43.231999999999999</v>
      </c>
      <c r="K234" s="236" t="s">
        <v>55</v>
      </c>
      <c r="L234" s="216">
        <v>1</v>
      </c>
      <c r="M234" s="238" t="s">
        <v>55</v>
      </c>
      <c r="N234" s="215" t="s">
        <v>55</v>
      </c>
      <c r="O234" s="220">
        <f>CEILING((J234*L234),10)</f>
        <v>50</v>
      </c>
      <c r="P234" s="356" t="s">
        <v>55</v>
      </c>
      <c r="Q234" s="356">
        <f t="shared" ref="Q234:Q243" si="149">O234/J234</f>
        <v>1.1565507031828275</v>
      </c>
      <c r="R234" s="217" t="s">
        <v>55</v>
      </c>
      <c r="S234" s="608"/>
      <c r="T234" s="520" t="s">
        <v>18</v>
      </c>
      <c r="U234" s="450"/>
      <c r="V234" s="450"/>
      <c r="W234" s="253"/>
      <c r="X234" s="253"/>
      <c r="Y234" s="253"/>
      <c r="Z234" s="230"/>
    </row>
    <row r="235" spans="1:102" ht="24" outlineLevel="1" x14ac:dyDescent="0.25">
      <c r="B235" s="607" t="s">
        <v>56</v>
      </c>
      <c r="C235" s="518" t="s">
        <v>57</v>
      </c>
      <c r="D235" s="233" t="s">
        <v>55</v>
      </c>
      <c r="E235" s="233" t="s">
        <v>55</v>
      </c>
      <c r="F235" s="214">
        <v>10</v>
      </c>
      <c r="G235" s="233" t="s">
        <v>55</v>
      </c>
      <c r="H235" s="234">
        <v>93</v>
      </c>
      <c r="I235" s="235">
        <v>3.86</v>
      </c>
      <c r="J235" s="215">
        <f>H235*I235</f>
        <v>358.97999999999996</v>
      </c>
      <c r="K235" s="216" t="s">
        <v>559</v>
      </c>
      <c r="L235" s="238" t="s">
        <v>55</v>
      </c>
      <c r="M235" s="238" t="s">
        <v>55</v>
      </c>
      <c r="N235" s="215">
        <f>60*F235</f>
        <v>600</v>
      </c>
      <c r="O235" s="220">
        <f>60*F235</f>
        <v>600</v>
      </c>
      <c r="P235" s="356">
        <f t="shared" ref="P235:P243" si="150">N235/J235</f>
        <v>1.6714023065351833</v>
      </c>
      <c r="Q235" s="356">
        <f t="shared" si="149"/>
        <v>1.6714023065351833</v>
      </c>
      <c r="R235" s="217" t="s">
        <v>55</v>
      </c>
      <c r="S235" s="608" t="s">
        <v>17</v>
      </c>
      <c r="T235" s="520" t="s">
        <v>18</v>
      </c>
      <c r="U235" s="450"/>
      <c r="V235" s="450"/>
      <c r="Y235" s="206"/>
      <c r="Z235" s="206" t="s">
        <v>556</v>
      </c>
      <c r="AA235" s="245" t="s">
        <v>58</v>
      </c>
      <c r="AB235" s="246" t="s">
        <v>57</v>
      </c>
      <c r="AC235" s="247">
        <v>8</v>
      </c>
    </row>
    <row r="236" spans="1:102" s="257" customFormat="1" ht="26.25" outlineLevel="1" thickBot="1" x14ac:dyDescent="0.3">
      <c r="A236" s="207"/>
      <c r="B236" s="607" t="s">
        <v>59</v>
      </c>
      <c r="C236" s="518" t="s">
        <v>60</v>
      </c>
      <c r="D236" s="233" t="s">
        <v>55</v>
      </c>
      <c r="E236" s="233" t="s">
        <v>55</v>
      </c>
      <c r="F236" s="214">
        <v>6</v>
      </c>
      <c r="G236" s="233" t="s">
        <v>55</v>
      </c>
      <c r="H236" s="611">
        <v>57.8</v>
      </c>
      <c r="I236" s="235">
        <v>3.86</v>
      </c>
      <c r="J236" s="215">
        <f t="shared" si="143"/>
        <v>223.10799999999998</v>
      </c>
      <c r="K236" s="216" t="s">
        <v>559</v>
      </c>
      <c r="L236" s="238" t="s">
        <v>55</v>
      </c>
      <c r="M236" s="238" t="s">
        <v>55</v>
      </c>
      <c r="N236" s="215">
        <f>60*F236</f>
        <v>360</v>
      </c>
      <c r="O236" s="220">
        <f>60*F236</f>
        <v>360</v>
      </c>
      <c r="P236" s="356">
        <f t="shared" si="150"/>
        <v>1.613568316689675</v>
      </c>
      <c r="Q236" s="356">
        <f t="shared" si="149"/>
        <v>1.613568316689675</v>
      </c>
      <c r="R236" s="217" t="s">
        <v>55</v>
      </c>
      <c r="S236" s="608" t="s">
        <v>17</v>
      </c>
      <c r="T236" s="609" t="s">
        <v>18</v>
      </c>
      <c r="U236" s="206"/>
      <c r="V236" s="206"/>
      <c r="W236" s="207"/>
      <c r="X236" s="207"/>
      <c r="Y236" s="206"/>
      <c r="Z236" s="206" t="s">
        <v>556</v>
      </c>
      <c r="AA236" s="254" t="s">
        <v>61</v>
      </c>
      <c r="AB236" s="255" t="s">
        <v>62</v>
      </c>
      <c r="AC236" s="256">
        <v>4</v>
      </c>
      <c r="AD236" s="207"/>
      <c r="AE236" s="207"/>
      <c r="AF236" s="207"/>
      <c r="AG236" s="207"/>
      <c r="AH236" s="207"/>
      <c r="AI236" s="207"/>
      <c r="AJ236" s="207"/>
      <c r="AK236" s="207"/>
      <c r="AL236" s="207"/>
      <c r="AM236" s="207"/>
      <c r="AN236" s="207"/>
      <c r="AO236" s="207"/>
      <c r="AP236" s="207"/>
      <c r="AQ236" s="207"/>
      <c r="AR236" s="207"/>
      <c r="AS236" s="207"/>
      <c r="AT236" s="207"/>
      <c r="AU236" s="207"/>
      <c r="AV236" s="207"/>
      <c r="AW236" s="207"/>
      <c r="AX236" s="207"/>
      <c r="AY236" s="207"/>
      <c r="AZ236" s="207"/>
      <c r="BA236" s="207"/>
      <c r="BB236" s="207"/>
      <c r="BC236" s="207"/>
      <c r="BD236" s="207"/>
      <c r="BE236" s="207"/>
      <c r="BF236" s="207"/>
      <c r="BG236" s="207"/>
      <c r="BH236" s="207"/>
      <c r="BI236" s="207"/>
      <c r="BJ236" s="207"/>
      <c r="BK236" s="207"/>
      <c r="BL236" s="207"/>
      <c r="BM236" s="207"/>
      <c r="BN236" s="207"/>
      <c r="BO236" s="207"/>
      <c r="BP236" s="207"/>
      <c r="BQ236" s="207"/>
      <c r="BR236" s="207"/>
      <c r="BS236" s="207"/>
      <c r="BT236" s="207"/>
      <c r="BU236" s="207"/>
      <c r="BV236" s="207"/>
      <c r="BW236" s="207"/>
      <c r="BX236" s="207"/>
      <c r="BY236" s="207"/>
      <c r="BZ236" s="207"/>
      <c r="CA236" s="207"/>
      <c r="CB236" s="207"/>
      <c r="CC236" s="207"/>
      <c r="CD236" s="207"/>
      <c r="CE236" s="207"/>
      <c r="CF236" s="207"/>
    </row>
    <row r="237" spans="1:102" ht="24" outlineLevel="1" x14ac:dyDescent="0.2">
      <c r="B237" s="607" t="s">
        <v>63</v>
      </c>
      <c r="C237" s="518" t="s">
        <v>20</v>
      </c>
      <c r="D237" s="233" t="s">
        <v>55</v>
      </c>
      <c r="E237" s="233" t="s">
        <v>55</v>
      </c>
      <c r="F237" s="214" t="s">
        <v>55</v>
      </c>
      <c r="G237" s="214">
        <v>10</v>
      </c>
      <c r="H237" s="234">
        <v>19.7</v>
      </c>
      <c r="I237" s="235">
        <v>3.86</v>
      </c>
      <c r="J237" s="215">
        <f t="shared" si="143"/>
        <v>76.042000000000002</v>
      </c>
      <c r="K237" s="216" t="s">
        <v>559</v>
      </c>
      <c r="L237" s="238" t="s">
        <v>55</v>
      </c>
      <c r="M237" s="238" t="s">
        <v>55</v>
      </c>
      <c r="N237" s="215">
        <f>20*G237</f>
        <v>200</v>
      </c>
      <c r="O237" s="220">
        <f>20*G237</f>
        <v>200</v>
      </c>
      <c r="P237" s="356">
        <f t="shared" si="150"/>
        <v>2.630125456984298</v>
      </c>
      <c r="Q237" s="356">
        <f t="shared" si="149"/>
        <v>2.630125456984298</v>
      </c>
      <c r="R237" s="217" t="s">
        <v>55</v>
      </c>
      <c r="S237" s="608" t="s">
        <v>17</v>
      </c>
      <c r="T237" s="609" t="s">
        <v>18</v>
      </c>
      <c r="U237" s="258"/>
      <c r="V237" s="258"/>
      <c r="W237" s="253"/>
      <c r="X237" s="253"/>
      <c r="Y237" s="253"/>
      <c r="Z237" s="206"/>
    </row>
    <row r="238" spans="1:102" s="232" customFormat="1" ht="24" outlineLevel="1" x14ac:dyDescent="0.2">
      <c r="A238" s="207"/>
      <c r="B238" s="607" t="s">
        <v>64</v>
      </c>
      <c r="C238" s="518" t="s">
        <v>65</v>
      </c>
      <c r="D238" s="233" t="s">
        <v>55</v>
      </c>
      <c r="E238" s="233" t="s">
        <v>55</v>
      </c>
      <c r="F238" s="214">
        <v>2</v>
      </c>
      <c r="G238" s="233" t="s">
        <v>55</v>
      </c>
      <c r="H238" s="234">
        <v>26.3</v>
      </c>
      <c r="I238" s="235">
        <v>3.86</v>
      </c>
      <c r="J238" s="215">
        <f t="shared" si="143"/>
        <v>101.518</v>
      </c>
      <c r="K238" s="216" t="s">
        <v>559</v>
      </c>
      <c r="L238" s="238" t="s">
        <v>55</v>
      </c>
      <c r="M238" s="238" t="s">
        <v>55</v>
      </c>
      <c r="N238" s="215">
        <f>60*F238</f>
        <v>120</v>
      </c>
      <c r="O238" s="220">
        <f>60*F238</f>
        <v>120</v>
      </c>
      <c r="P238" s="356">
        <f t="shared" si="150"/>
        <v>1.1820563840895211</v>
      </c>
      <c r="Q238" s="356">
        <f t="shared" si="149"/>
        <v>1.1820563840895211</v>
      </c>
      <c r="R238" s="217" t="s">
        <v>55</v>
      </c>
      <c r="S238" s="608" t="s">
        <v>17</v>
      </c>
      <c r="T238" s="609" t="s">
        <v>18</v>
      </c>
      <c r="U238" s="258"/>
      <c r="V238" s="258"/>
      <c r="W238" s="259"/>
      <c r="X238" s="258"/>
      <c r="Y238" s="258"/>
      <c r="Z238" s="206"/>
      <c r="AA238" s="245" t="s">
        <v>66</v>
      </c>
      <c r="AB238" s="246" t="s">
        <v>65</v>
      </c>
      <c r="AC238" s="247">
        <v>2</v>
      </c>
      <c r="AD238" s="207"/>
      <c r="AE238" s="207"/>
      <c r="AF238" s="207"/>
      <c r="AG238" s="207"/>
      <c r="AH238" s="207"/>
      <c r="AI238" s="207"/>
      <c r="AJ238" s="207"/>
      <c r="AK238" s="207"/>
      <c r="AL238" s="207"/>
      <c r="AM238" s="207"/>
      <c r="AN238" s="207"/>
      <c r="AO238" s="207"/>
      <c r="AP238" s="207"/>
      <c r="AQ238" s="207"/>
      <c r="AR238" s="207"/>
      <c r="AS238" s="207"/>
      <c r="AT238" s="207"/>
      <c r="AU238" s="207"/>
      <c r="AV238" s="207"/>
      <c r="AW238" s="207"/>
      <c r="AX238" s="207"/>
      <c r="AY238" s="207"/>
      <c r="AZ238" s="207"/>
      <c r="BA238" s="207"/>
      <c r="BB238" s="207"/>
      <c r="BC238" s="207"/>
      <c r="BD238" s="207"/>
      <c r="BE238" s="207"/>
      <c r="BF238" s="207"/>
      <c r="BG238" s="207"/>
      <c r="BH238" s="207"/>
      <c r="BI238" s="207"/>
      <c r="BJ238" s="207"/>
      <c r="BK238" s="207"/>
      <c r="BL238" s="207"/>
      <c r="BM238" s="207"/>
      <c r="BN238" s="207"/>
      <c r="BO238" s="207"/>
      <c r="BP238" s="207"/>
      <c r="BQ238" s="207"/>
      <c r="BR238" s="207"/>
      <c r="BS238" s="207"/>
      <c r="BT238" s="207"/>
      <c r="BU238" s="207"/>
      <c r="BV238" s="207"/>
      <c r="BW238" s="207"/>
      <c r="BX238" s="207"/>
      <c r="BY238" s="207"/>
      <c r="BZ238" s="207"/>
      <c r="CA238" s="207"/>
      <c r="CB238" s="207"/>
      <c r="CC238" s="207"/>
      <c r="CD238" s="207"/>
      <c r="CE238" s="207"/>
      <c r="CF238" s="207"/>
    </row>
    <row r="239" spans="1:102" s="232" customFormat="1" ht="36" outlineLevel="1" x14ac:dyDescent="0.25">
      <c r="A239" s="207"/>
      <c r="B239" s="607" t="s">
        <v>67</v>
      </c>
      <c r="C239" s="518" t="s">
        <v>68</v>
      </c>
      <c r="D239" s="233" t="s">
        <v>55</v>
      </c>
      <c r="E239" s="233" t="s">
        <v>55</v>
      </c>
      <c r="F239" s="214">
        <v>1</v>
      </c>
      <c r="G239" s="260">
        <v>1</v>
      </c>
      <c r="H239" s="234">
        <v>14.2</v>
      </c>
      <c r="I239" s="235">
        <v>3.86</v>
      </c>
      <c r="J239" s="215">
        <f t="shared" si="143"/>
        <v>54.811999999999998</v>
      </c>
      <c r="K239" s="216" t="s">
        <v>670</v>
      </c>
      <c r="L239" s="238" t="s">
        <v>55</v>
      </c>
      <c r="M239" s="238" t="s">
        <v>55</v>
      </c>
      <c r="N239" s="215">
        <f>60*F239+20*G239</f>
        <v>80</v>
      </c>
      <c r="O239" s="220">
        <f>60*F239+20*G239</f>
        <v>80</v>
      </c>
      <c r="P239" s="356">
        <f t="shared" si="150"/>
        <v>1.459534408523681</v>
      </c>
      <c r="Q239" s="356">
        <f t="shared" si="149"/>
        <v>1.459534408523681</v>
      </c>
      <c r="R239" s="217" t="s">
        <v>55</v>
      </c>
      <c r="S239" s="608" t="s">
        <v>17</v>
      </c>
      <c r="T239" s="609" t="s">
        <v>18</v>
      </c>
      <c r="U239" s="206"/>
      <c r="V239" s="206"/>
      <c r="W239" s="207"/>
      <c r="X239" s="207"/>
      <c r="Y239" s="206"/>
      <c r="Z239" s="261">
        <v>1</v>
      </c>
      <c r="AA239" s="245" t="s">
        <v>69</v>
      </c>
      <c r="AB239" s="246" t="s">
        <v>68</v>
      </c>
      <c r="AC239" s="247">
        <v>1</v>
      </c>
      <c r="AD239" s="207"/>
      <c r="AE239" s="207"/>
      <c r="AF239" s="207"/>
      <c r="AG239" s="207"/>
      <c r="AH239" s="207"/>
      <c r="AI239" s="207"/>
      <c r="AJ239" s="207"/>
      <c r="AK239" s="207"/>
      <c r="AL239" s="207"/>
      <c r="AM239" s="207"/>
      <c r="AN239" s="207"/>
      <c r="AO239" s="207"/>
      <c r="AP239" s="207"/>
      <c r="AQ239" s="207"/>
      <c r="AR239" s="207"/>
      <c r="AS239" s="207"/>
      <c r="AT239" s="207"/>
      <c r="AU239" s="207"/>
      <c r="AV239" s="207"/>
      <c r="AW239" s="207"/>
      <c r="AX239" s="207"/>
      <c r="AY239" s="207"/>
      <c r="AZ239" s="207"/>
      <c r="BA239" s="207"/>
      <c r="BB239" s="207"/>
      <c r="BC239" s="207"/>
      <c r="BD239" s="207"/>
      <c r="BE239" s="207"/>
      <c r="BF239" s="207"/>
      <c r="BG239" s="207"/>
      <c r="BH239" s="207"/>
      <c r="BI239" s="207"/>
      <c r="BJ239" s="207"/>
      <c r="BK239" s="207"/>
      <c r="BL239" s="207"/>
      <c r="BM239" s="207"/>
      <c r="BN239" s="207"/>
      <c r="BO239" s="207"/>
      <c r="BP239" s="207"/>
      <c r="BQ239" s="207"/>
      <c r="BR239" s="207"/>
      <c r="BS239" s="207"/>
      <c r="BT239" s="207"/>
      <c r="BU239" s="207"/>
      <c r="BV239" s="207"/>
      <c r="BW239" s="207"/>
      <c r="BX239" s="207"/>
      <c r="BY239" s="207"/>
      <c r="BZ239" s="207"/>
      <c r="CA239" s="207"/>
      <c r="CB239" s="207"/>
      <c r="CC239" s="207"/>
      <c r="CD239" s="207"/>
      <c r="CE239" s="207"/>
      <c r="CF239" s="207"/>
    </row>
    <row r="240" spans="1:102" s="232" customFormat="1" ht="36" outlineLevel="1" x14ac:dyDescent="0.25">
      <c r="A240" s="207"/>
      <c r="B240" s="607" t="s">
        <v>70</v>
      </c>
      <c r="C240" s="518" t="s">
        <v>71</v>
      </c>
      <c r="D240" s="233" t="s">
        <v>55</v>
      </c>
      <c r="E240" s="233" t="s">
        <v>55</v>
      </c>
      <c r="F240" s="214">
        <v>1</v>
      </c>
      <c r="G240" s="260">
        <v>1</v>
      </c>
      <c r="H240" s="234">
        <v>14.2</v>
      </c>
      <c r="I240" s="235">
        <v>3.86</v>
      </c>
      <c r="J240" s="215">
        <f t="shared" si="143"/>
        <v>54.811999999999998</v>
      </c>
      <c r="K240" s="216" t="s">
        <v>670</v>
      </c>
      <c r="L240" s="238" t="s">
        <v>55</v>
      </c>
      <c r="M240" s="238" t="s">
        <v>55</v>
      </c>
      <c r="N240" s="215">
        <f>60*F240+20*G240</f>
        <v>80</v>
      </c>
      <c r="O240" s="220">
        <f>60*F240+20*G240</f>
        <v>80</v>
      </c>
      <c r="P240" s="356">
        <f t="shared" si="150"/>
        <v>1.459534408523681</v>
      </c>
      <c r="Q240" s="356">
        <f t="shared" si="149"/>
        <v>1.459534408523681</v>
      </c>
      <c r="R240" s="217" t="s">
        <v>55</v>
      </c>
      <c r="S240" s="608" t="s">
        <v>17</v>
      </c>
      <c r="T240" s="609" t="s">
        <v>18</v>
      </c>
      <c r="U240" s="206"/>
      <c r="V240" s="262"/>
      <c r="W240" s="207"/>
      <c r="X240" s="207"/>
      <c r="Y240" s="206"/>
      <c r="Z240" s="261">
        <v>1</v>
      </c>
      <c r="AA240" s="245" t="s">
        <v>72</v>
      </c>
      <c r="AB240" s="246" t="s">
        <v>71</v>
      </c>
      <c r="AC240" s="247">
        <v>1</v>
      </c>
      <c r="AD240" s="207"/>
      <c r="AE240" s="207"/>
      <c r="AF240" s="207"/>
      <c r="AG240" s="207"/>
      <c r="AH240" s="207"/>
      <c r="AI240" s="207"/>
      <c r="AJ240" s="207"/>
      <c r="AK240" s="207"/>
      <c r="AL240" s="207"/>
      <c r="AM240" s="207"/>
      <c r="AN240" s="207"/>
      <c r="AO240" s="207"/>
      <c r="AP240" s="207"/>
      <c r="AQ240" s="207"/>
      <c r="AR240" s="207"/>
      <c r="AS240" s="207"/>
      <c r="AT240" s="207"/>
      <c r="AU240" s="207"/>
      <c r="AV240" s="207"/>
      <c r="AW240" s="207"/>
      <c r="AX240" s="207"/>
      <c r="AY240" s="207"/>
      <c r="AZ240" s="207"/>
      <c r="BA240" s="207"/>
      <c r="BB240" s="207"/>
      <c r="BC240" s="207"/>
      <c r="BD240" s="207"/>
      <c r="BE240" s="207"/>
      <c r="BF240" s="207"/>
      <c r="BG240" s="207"/>
      <c r="BH240" s="207"/>
      <c r="BI240" s="207"/>
      <c r="BJ240" s="207"/>
      <c r="BK240" s="207"/>
      <c r="BL240" s="207"/>
      <c r="BM240" s="207"/>
      <c r="BN240" s="207"/>
      <c r="BO240" s="207"/>
      <c r="BP240" s="207"/>
      <c r="BQ240" s="207"/>
      <c r="BR240" s="207"/>
      <c r="BS240" s="207"/>
      <c r="BT240" s="207"/>
      <c r="BU240" s="207"/>
      <c r="BV240" s="207"/>
      <c r="BW240" s="207"/>
      <c r="BX240" s="207"/>
      <c r="BY240" s="207"/>
      <c r="BZ240" s="207"/>
      <c r="CA240" s="207"/>
      <c r="CB240" s="207"/>
      <c r="CC240" s="207"/>
      <c r="CD240" s="207"/>
      <c r="CE240" s="207"/>
      <c r="CF240" s="207"/>
    </row>
    <row r="241" spans="1:84" s="232" customFormat="1" ht="24" outlineLevel="1" x14ac:dyDescent="0.25">
      <c r="A241" s="207"/>
      <c r="B241" s="607" t="s">
        <v>73</v>
      </c>
      <c r="C241" s="518" t="s">
        <v>74</v>
      </c>
      <c r="D241" s="233" t="s">
        <v>55</v>
      </c>
      <c r="E241" s="233" t="s">
        <v>55</v>
      </c>
      <c r="F241" s="214">
        <v>4</v>
      </c>
      <c r="G241" s="233" t="s">
        <v>55</v>
      </c>
      <c r="H241" s="234">
        <v>29.4</v>
      </c>
      <c r="I241" s="235">
        <v>3.86</v>
      </c>
      <c r="J241" s="215">
        <f>H241*I241</f>
        <v>113.48399999999999</v>
      </c>
      <c r="K241" s="216" t="s">
        <v>559</v>
      </c>
      <c r="L241" s="238" t="s">
        <v>55</v>
      </c>
      <c r="M241" s="238" t="s">
        <v>55</v>
      </c>
      <c r="N241" s="215">
        <f>60*F241</f>
        <v>240</v>
      </c>
      <c r="O241" s="220">
        <f>60*F241</f>
        <v>240</v>
      </c>
      <c r="P241" s="356">
        <f t="shared" si="150"/>
        <v>2.1148355715343135</v>
      </c>
      <c r="Q241" s="356">
        <f t="shared" si="149"/>
        <v>2.1148355715343135</v>
      </c>
      <c r="R241" s="217" t="s">
        <v>55</v>
      </c>
      <c r="S241" s="608" t="s">
        <v>17</v>
      </c>
      <c r="T241" s="609" t="s">
        <v>18</v>
      </c>
      <c r="U241" s="206"/>
      <c r="V241" s="262"/>
      <c r="W241" s="207"/>
      <c r="X241" s="207"/>
      <c r="Y241" s="206"/>
      <c r="Z241" s="206"/>
      <c r="AA241" s="245" t="s">
        <v>75</v>
      </c>
      <c r="AB241" s="246" t="s">
        <v>74</v>
      </c>
      <c r="AC241" s="252">
        <v>4</v>
      </c>
      <c r="AD241" s="207"/>
      <c r="AE241" s="207"/>
      <c r="AF241" s="207"/>
      <c r="AG241" s="207"/>
      <c r="AH241" s="207"/>
      <c r="AI241" s="207"/>
      <c r="AJ241" s="207"/>
      <c r="AK241" s="207"/>
      <c r="AL241" s="207"/>
      <c r="AM241" s="207"/>
      <c r="AN241" s="207"/>
      <c r="AO241" s="207"/>
      <c r="AP241" s="207"/>
      <c r="AQ241" s="207"/>
      <c r="AR241" s="207"/>
      <c r="AS241" s="207"/>
      <c r="AT241" s="207"/>
      <c r="AU241" s="207"/>
      <c r="AV241" s="207"/>
      <c r="AW241" s="207"/>
      <c r="AX241" s="207"/>
      <c r="AY241" s="207"/>
      <c r="AZ241" s="207"/>
      <c r="BA241" s="207"/>
      <c r="BB241" s="207"/>
      <c r="BC241" s="207"/>
      <c r="BD241" s="207"/>
      <c r="BE241" s="207"/>
      <c r="BF241" s="207"/>
      <c r="BG241" s="207"/>
      <c r="BH241" s="207"/>
      <c r="BI241" s="207"/>
      <c r="BJ241" s="207"/>
      <c r="BK241" s="207"/>
      <c r="BL241" s="207"/>
      <c r="BM241" s="207"/>
      <c r="BN241" s="207"/>
      <c r="BO241" s="207"/>
      <c r="BP241" s="207"/>
      <c r="BQ241" s="207"/>
      <c r="BR241" s="207"/>
      <c r="BS241" s="207"/>
      <c r="BT241" s="207"/>
      <c r="BU241" s="207"/>
      <c r="BV241" s="207"/>
      <c r="BW241" s="207"/>
      <c r="BX241" s="207"/>
      <c r="BY241" s="207"/>
      <c r="BZ241" s="207"/>
      <c r="CA241" s="207"/>
      <c r="CB241" s="207"/>
      <c r="CC241" s="207"/>
      <c r="CD241" s="207"/>
      <c r="CE241" s="207"/>
      <c r="CF241" s="207"/>
    </row>
    <row r="242" spans="1:84" ht="24" outlineLevel="1" x14ac:dyDescent="0.25">
      <c r="B242" s="607" t="s">
        <v>76</v>
      </c>
      <c r="C242" s="518" t="s">
        <v>20</v>
      </c>
      <c r="D242" s="233" t="s">
        <v>55</v>
      </c>
      <c r="E242" s="233" t="s">
        <v>55</v>
      </c>
      <c r="F242" s="233" t="s">
        <v>55</v>
      </c>
      <c r="G242" s="214">
        <v>4</v>
      </c>
      <c r="H242" s="234">
        <v>10.4</v>
      </c>
      <c r="I242" s="235">
        <v>3.86</v>
      </c>
      <c r="J242" s="215">
        <f t="shared" si="143"/>
        <v>40.143999999999998</v>
      </c>
      <c r="K242" s="216" t="s">
        <v>559</v>
      </c>
      <c r="L242" s="238" t="s">
        <v>55</v>
      </c>
      <c r="M242" s="238" t="s">
        <v>55</v>
      </c>
      <c r="N242" s="215">
        <f>20*G242</f>
        <v>80</v>
      </c>
      <c r="O242" s="220">
        <f>20*G242</f>
        <v>80</v>
      </c>
      <c r="P242" s="356">
        <f t="shared" si="150"/>
        <v>1.9928258270227184</v>
      </c>
      <c r="Q242" s="356">
        <f t="shared" si="149"/>
        <v>1.9928258270227184</v>
      </c>
      <c r="R242" s="217" t="s">
        <v>55</v>
      </c>
      <c r="S242" s="608" t="s">
        <v>17</v>
      </c>
      <c r="T242" s="609" t="s">
        <v>18</v>
      </c>
      <c r="U242" s="450"/>
      <c r="V242" s="450"/>
      <c r="W242" s="251"/>
      <c r="Y242" s="450"/>
      <c r="Z242" s="450"/>
    </row>
    <row r="243" spans="1:84" s="232" customFormat="1" ht="24" outlineLevel="1" x14ac:dyDescent="0.25">
      <c r="A243" s="207"/>
      <c r="B243" s="607" t="s">
        <v>77</v>
      </c>
      <c r="C243" s="518" t="s">
        <v>78</v>
      </c>
      <c r="D243" s="233" t="s">
        <v>55</v>
      </c>
      <c r="E243" s="233" t="s">
        <v>55</v>
      </c>
      <c r="F243" s="214">
        <v>4</v>
      </c>
      <c r="G243" s="233" t="s">
        <v>55</v>
      </c>
      <c r="H243" s="234">
        <v>21</v>
      </c>
      <c r="I243" s="235">
        <v>3.5</v>
      </c>
      <c r="J243" s="215">
        <f t="shared" si="143"/>
        <v>73.5</v>
      </c>
      <c r="K243" s="216" t="s">
        <v>559</v>
      </c>
      <c r="L243" s="238" t="s">
        <v>55</v>
      </c>
      <c r="M243" s="238" t="s">
        <v>55</v>
      </c>
      <c r="N243" s="215">
        <f>60*F243</f>
        <v>240</v>
      </c>
      <c r="O243" s="220">
        <f>60*F243</f>
        <v>240</v>
      </c>
      <c r="P243" s="356">
        <f t="shared" si="150"/>
        <v>3.2653061224489797</v>
      </c>
      <c r="Q243" s="356">
        <f t="shared" si="149"/>
        <v>3.2653061224489797</v>
      </c>
      <c r="R243" s="217" t="s">
        <v>55</v>
      </c>
      <c r="S243" s="608" t="s">
        <v>17</v>
      </c>
      <c r="T243" s="609" t="s">
        <v>18</v>
      </c>
      <c r="U243" s="263"/>
      <c r="V243" s="264"/>
      <c r="W243" s="265"/>
      <c r="X243" s="265"/>
      <c r="Y243" s="266"/>
      <c r="Z243" s="263"/>
      <c r="AA243" s="267">
        <v>9.33</v>
      </c>
      <c r="AB243" s="268" t="s">
        <v>78</v>
      </c>
      <c r="AC243" s="269">
        <v>3</v>
      </c>
      <c r="AD243" s="207"/>
      <c r="AE243" s="207"/>
      <c r="AF243" s="207"/>
      <c r="AG243" s="207"/>
      <c r="AH243" s="207"/>
      <c r="AI243" s="207"/>
      <c r="AJ243" s="207"/>
      <c r="AK243" s="207"/>
      <c r="AL243" s="207"/>
      <c r="AM243" s="207"/>
      <c r="AN243" s="207"/>
      <c r="AO243" s="207"/>
      <c r="AP243" s="207"/>
      <c r="AQ243" s="207"/>
      <c r="AR243" s="207"/>
      <c r="AS243" s="207"/>
      <c r="AT243" s="207"/>
      <c r="AU243" s="207"/>
      <c r="AV243" s="207"/>
      <c r="AW243" s="207"/>
      <c r="AX243" s="207"/>
      <c r="AY243" s="207"/>
      <c r="AZ243" s="207"/>
      <c r="BA243" s="207"/>
      <c r="BB243" s="207"/>
      <c r="BC243" s="207"/>
      <c r="BD243" s="207"/>
      <c r="BE243" s="207"/>
      <c r="BF243" s="207"/>
      <c r="BG243" s="207"/>
      <c r="BH243" s="207"/>
      <c r="BI243" s="207"/>
      <c r="BJ243" s="207"/>
      <c r="BK243" s="207"/>
      <c r="BL243" s="207"/>
      <c r="BM243" s="207"/>
      <c r="BN243" s="207"/>
      <c r="BO243" s="207"/>
      <c r="BP243" s="207"/>
      <c r="BQ243" s="207"/>
      <c r="BR243" s="207"/>
      <c r="BS243" s="207"/>
      <c r="BT243" s="207"/>
      <c r="BU243" s="207"/>
      <c r="BV243" s="207"/>
      <c r="BW243" s="207"/>
      <c r="BX243" s="207"/>
      <c r="BY243" s="207"/>
      <c r="BZ243" s="207"/>
      <c r="CA243" s="207"/>
      <c r="CB243" s="207"/>
      <c r="CC243" s="207"/>
      <c r="CD243" s="207"/>
      <c r="CE243" s="207"/>
      <c r="CF243" s="207"/>
    </row>
    <row r="244" spans="1:84" s="232" customFormat="1" ht="14.25" outlineLevel="1" x14ac:dyDescent="0.25">
      <c r="A244" s="207"/>
      <c r="B244" s="607"/>
      <c r="C244" s="518" t="s">
        <v>79</v>
      </c>
      <c r="D244" s="233" t="s">
        <v>55</v>
      </c>
      <c r="E244" s="233" t="s">
        <v>55</v>
      </c>
      <c r="F244" s="233" t="s">
        <v>55</v>
      </c>
      <c r="G244" s="233" t="s">
        <v>55</v>
      </c>
      <c r="H244" s="233" t="s">
        <v>55</v>
      </c>
      <c r="I244" s="233" t="s">
        <v>55</v>
      </c>
      <c r="J244" s="233" t="s">
        <v>55</v>
      </c>
      <c r="K244" s="233" t="s">
        <v>55</v>
      </c>
      <c r="L244" s="233" t="s">
        <v>55</v>
      </c>
      <c r="M244" s="233" t="s">
        <v>55</v>
      </c>
      <c r="N244" s="217" t="s">
        <v>55</v>
      </c>
      <c r="O244" s="218" t="s">
        <v>55</v>
      </c>
      <c r="P244" s="400" t="s">
        <v>55</v>
      </c>
      <c r="Q244" s="400" t="s">
        <v>55</v>
      </c>
      <c r="R244" s="218" t="s">
        <v>55</v>
      </c>
      <c r="S244" s="233" t="s">
        <v>55</v>
      </c>
      <c r="T244" s="250" t="s">
        <v>55</v>
      </c>
      <c r="U244" s="263"/>
      <c r="V244" s="264"/>
      <c r="W244" s="265"/>
      <c r="X244" s="265"/>
      <c r="Y244" s="266"/>
      <c r="Z244" s="266"/>
      <c r="AA244" s="267"/>
      <c r="AB244" s="268" t="s">
        <v>79</v>
      </c>
      <c r="AC244" s="269"/>
      <c r="AD244" s="207"/>
      <c r="AE244" s="207"/>
      <c r="AF244" s="207"/>
      <c r="AG244" s="207"/>
      <c r="AH244" s="207"/>
      <c r="AI244" s="207"/>
      <c r="AJ244" s="207"/>
      <c r="AK244" s="207"/>
      <c r="AL244" s="207"/>
      <c r="AM244" s="207"/>
      <c r="AN244" s="207"/>
      <c r="AO244" s="207"/>
      <c r="AP244" s="207"/>
      <c r="AQ244" s="207"/>
      <c r="AR244" s="207"/>
      <c r="AS244" s="207"/>
      <c r="AT244" s="207"/>
      <c r="AU244" s="207"/>
      <c r="AV244" s="207"/>
      <c r="AW244" s="207"/>
      <c r="AX244" s="207"/>
      <c r="AY244" s="207"/>
      <c r="AZ244" s="207"/>
      <c r="BA244" s="207"/>
      <c r="BB244" s="207"/>
      <c r="BC244" s="207"/>
      <c r="BD244" s="207"/>
      <c r="BE244" s="207"/>
      <c r="BF244" s="207"/>
      <c r="BG244" s="207"/>
      <c r="BH244" s="207"/>
      <c r="BI244" s="207"/>
      <c r="BJ244" s="207"/>
      <c r="BK244" s="207"/>
      <c r="BL244" s="207"/>
      <c r="BM244" s="207"/>
      <c r="BN244" s="207"/>
      <c r="BO244" s="207"/>
      <c r="BP244" s="207"/>
      <c r="BQ244" s="207"/>
      <c r="BR244" s="207"/>
      <c r="BS244" s="207"/>
      <c r="BT244" s="207"/>
      <c r="BU244" s="207"/>
      <c r="BV244" s="207"/>
      <c r="BW244" s="207"/>
      <c r="BX244" s="207"/>
      <c r="BY244" s="207"/>
      <c r="BZ244" s="207"/>
      <c r="CA244" s="207"/>
      <c r="CB244" s="207"/>
      <c r="CC244" s="207"/>
      <c r="CD244" s="207"/>
      <c r="CE244" s="207"/>
      <c r="CF244" s="207"/>
    </row>
    <row r="245" spans="1:84" s="232" customFormat="1" ht="24.75" customHeight="1" outlineLevel="1" x14ac:dyDescent="0.25">
      <c r="A245" s="251"/>
      <c r="B245" s="607" t="s">
        <v>80</v>
      </c>
      <c r="C245" s="518" t="s">
        <v>81</v>
      </c>
      <c r="D245" s="233" t="s">
        <v>55</v>
      </c>
      <c r="E245" s="233" t="s">
        <v>55</v>
      </c>
      <c r="F245" s="214">
        <v>12</v>
      </c>
      <c r="G245" s="233" t="s">
        <v>55</v>
      </c>
      <c r="H245" s="234">
        <v>82.4</v>
      </c>
      <c r="I245" s="235">
        <v>3.86</v>
      </c>
      <c r="J245" s="215">
        <f>H245*I245</f>
        <v>318.06400000000002</v>
      </c>
      <c r="K245" s="216" t="s">
        <v>559</v>
      </c>
      <c r="L245" s="238" t="s">
        <v>55</v>
      </c>
      <c r="M245" s="238" t="s">
        <v>55</v>
      </c>
      <c r="N245" s="215">
        <f>60*F245</f>
        <v>720</v>
      </c>
      <c r="O245" s="220">
        <f>60*F245</f>
        <v>720</v>
      </c>
      <c r="P245" s="356">
        <f>N245/J245</f>
        <v>2.263695356909301</v>
      </c>
      <c r="Q245" s="356">
        <f>O245/J245</f>
        <v>2.263695356909301</v>
      </c>
      <c r="R245" s="217" t="s">
        <v>55</v>
      </c>
      <c r="S245" s="608" t="s">
        <v>17</v>
      </c>
      <c r="T245" s="609" t="s">
        <v>18</v>
      </c>
      <c r="U245" s="230"/>
      <c r="V245" s="231"/>
      <c r="W245" s="207"/>
      <c r="X245" s="207"/>
      <c r="Y245" s="206"/>
      <c r="Z245" s="206" t="s">
        <v>556</v>
      </c>
      <c r="AA245" s="245" t="s">
        <v>82</v>
      </c>
      <c r="AB245" s="246" t="s">
        <v>81</v>
      </c>
      <c r="AC245" s="252">
        <v>8</v>
      </c>
      <c r="AD245" s="207"/>
      <c r="AE245" s="207"/>
      <c r="AF245" s="207"/>
      <c r="AG245" s="207"/>
      <c r="AH245" s="207"/>
      <c r="AI245" s="207"/>
      <c r="AJ245" s="207"/>
      <c r="AK245" s="207"/>
      <c r="AL245" s="207"/>
      <c r="AM245" s="207"/>
      <c r="AN245" s="207"/>
      <c r="AO245" s="207"/>
      <c r="AP245" s="207"/>
      <c r="AQ245" s="207"/>
      <c r="AR245" s="207"/>
      <c r="AS245" s="207"/>
      <c r="AT245" s="207"/>
      <c r="AU245" s="207"/>
      <c r="AV245" s="207"/>
      <c r="AW245" s="207"/>
      <c r="AX245" s="207"/>
      <c r="AY245" s="207"/>
      <c r="AZ245" s="207"/>
      <c r="BA245" s="207"/>
      <c r="BB245" s="207"/>
      <c r="BC245" s="207"/>
      <c r="BD245" s="207"/>
      <c r="BE245" s="207"/>
      <c r="BF245" s="207"/>
      <c r="BG245" s="207"/>
      <c r="BH245" s="207"/>
      <c r="BI245" s="207"/>
      <c r="BJ245" s="207"/>
      <c r="BK245" s="207"/>
      <c r="BL245" s="207"/>
      <c r="BM245" s="207"/>
      <c r="BN245" s="207"/>
      <c r="BO245" s="207"/>
      <c r="BP245" s="207"/>
      <c r="BQ245" s="207"/>
      <c r="BR245" s="207"/>
      <c r="BS245" s="207"/>
      <c r="BT245" s="207"/>
      <c r="BU245" s="207"/>
      <c r="BV245" s="207"/>
      <c r="BW245" s="207"/>
      <c r="BX245" s="207"/>
      <c r="BY245" s="207"/>
      <c r="BZ245" s="207"/>
      <c r="CA245" s="207"/>
      <c r="CB245" s="207"/>
      <c r="CC245" s="207"/>
      <c r="CD245" s="207"/>
      <c r="CE245" s="207"/>
      <c r="CF245" s="207"/>
    </row>
    <row r="246" spans="1:84" ht="14.25" customHeight="1" outlineLevel="1" x14ac:dyDescent="0.25">
      <c r="B246" s="607"/>
      <c r="C246" s="518" t="s">
        <v>83</v>
      </c>
      <c r="D246" s="233" t="s">
        <v>55</v>
      </c>
      <c r="E246" s="233" t="s">
        <v>55</v>
      </c>
      <c r="F246" s="233" t="s">
        <v>55</v>
      </c>
      <c r="G246" s="233" t="s">
        <v>55</v>
      </c>
      <c r="H246" s="233" t="s">
        <v>55</v>
      </c>
      <c r="I246" s="233" t="s">
        <v>55</v>
      </c>
      <c r="J246" s="233" t="s">
        <v>55</v>
      </c>
      <c r="K246" s="233" t="s">
        <v>55</v>
      </c>
      <c r="L246" s="233" t="s">
        <v>55</v>
      </c>
      <c r="M246" s="233" t="s">
        <v>55</v>
      </c>
      <c r="N246" s="217" t="s">
        <v>55</v>
      </c>
      <c r="O246" s="218" t="s">
        <v>55</v>
      </c>
      <c r="P246" s="400" t="s">
        <v>55</v>
      </c>
      <c r="Q246" s="400" t="s">
        <v>55</v>
      </c>
      <c r="R246" s="218" t="s">
        <v>55</v>
      </c>
      <c r="S246" s="233" t="s">
        <v>55</v>
      </c>
      <c r="T246" s="250" t="s">
        <v>55</v>
      </c>
      <c r="U246" s="450"/>
      <c r="V246" s="450"/>
      <c r="W246" s="251"/>
      <c r="Y246" s="450"/>
      <c r="Z246" s="450"/>
      <c r="AA246" s="245"/>
      <c r="AB246" s="246" t="s">
        <v>83</v>
      </c>
      <c r="AC246" s="252"/>
    </row>
    <row r="247" spans="1:84" s="270" customFormat="1" ht="36" outlineLevel="1" x14ac:dyDescent="0.25">
      <c r="A247" s="207"/>
      <c r="B247" s="607" t="s">
        <v>84</v>
      </c>
      <c r="C247" s="518" t="s">
        <v>85</v>
      </c>
      <c r="D247" s="233" t="s">
        <v>55</v>
      </c>
      <c r="E247" s="233" t="s">
        <v>55</v>
      </c>
      <c r="F247" s="214">
        <v>1</v>
      </c>
      <c r="G247" s="260">
        <v>5</v>
      </c>
      <c r="H247" s="234">
        <v>29.3</v>
      </c>
      <c r="I247" s="235">
        <v>3.86</v>
      </c>
      <c r="J247" s="215">
        <f t="shared" ref="J247:J256" si="151">H247*I247</f>
        <v>113.098</v>
      </c>
      <c r="K247" s="216" t="s">
        <v>670</v>
      </c>
      <c r="L247" s="238" t="s">
        <v>55</v>
      </c>
      <c r="M247" s="238" t="s">
        <v>55</v>
      </c>
      <c r="N247" s="215">
        <f>60*F247+20*G247</f>
        <v>160</v>
      </c>
      <c r="O247" s="220">
        <f>60*F247+20*G247</f>
        <v>160</v>
      </c>
      <c r="P247" s="356">
        <f t="shared" ref="P247:P256" si="152">N247/J247</f>
        <v>1.4147022935860936</v>
      </c>
      <c r="Q247" s="356">
        <f t="shared" ref="Q247:Q256" si="153">O247/J247</f>
        <v>1.4147022935860936</v>
      </c>
      <c r="R247" s="217" t="s">
        <v>55</v>
      </c>
      <c r="S247" s="608" t="s">
        <v>17</v>
      </c>
      <c r="T247" s="609" t="s">
        <v>18</v>
      </c>
      <c r="U247" s="450"/>
      <c r="V247" s="450"/>
      <c r="W247" s="207"/>
      <c r="Y247" s="449">
        <v>1</v>
      </c>
      <c r="Z247" s="449"/>
      <c r="AA247" s="245" t="s">
        <v>86</v>
      </c>
      <c r="AB247" s="246" t="s">
        <v>85</v>
      </c>
      <c r="AC247" s="252">
        <v>1</v>
      </c>
      <c r="AI247" s="207"/>
      <c r="AJ247" s="207"/>
      <c r="AK247" s="207"/>
      <c r="AL247" s="207"/>
      <c r="AM247" s="207"/>
      <c r="AN247" s="207"/>
      <c r="AO247" s="207"/>
      <c r="AP247" s="207"/>
      <c r="AQ247" s="207"/>
      <c r="AR247" s="207"/>
      <c r="AS247" s="207"/>
      <c r="AT247" s="207"/>
      <c r="AU247" s="207"/>
      <c r="AV247" s="207"/>
      <c r="AW247" s="207"/>
      <c r="AX247" s="207"/>
      <c r="AY247" s="207"/>
      <c r="AZ247" s="207"/>
      <c r="BA247" s="207"/>
      <c r="BB247" s="207"/>
      <c r="BC247" s="207"/>
      <c r="BD247" s="207"/>
      <c r="BE247" s="207"/>
      <c r="BF247" s="207"/>
      <c r="BG247" s="207"/>
      <c r="BH247" s="207"/>
      <c r="BI247" s="207"/>
      <c r="BJ247" s="207"/>
      <c r="BK247" s="207"/>
      <c r="BL247" s="207"/>
      <c r="BM247" s="207"/>
      <c r="BN247" s="207"/>
      <c r="BO247" s="207"/>
      <c r="BP247" s="207"/>
      <c r="BQ247" s="207"/>
      <c r="BR247" s="207"/>
      <c r="BS247" s="207"/>
      <c r="BT247" s="207"/>
      <c r="BU247" s="207"/>
      <c r="BV247" s="207"/>
      <c r="BW247" s="207"/>
      <c r="BX247" s="207"/>
      <c r="BY247" s="207"/>
      <c r="BZ247" s="207"/>
      <c r="CA247" s="207"/>
      <c r="CB247" s="207"/>
      <c r="CC247" s="207"/>
      <c r="CD247" s="207"/>
      <c r="CE247" s="207"/>
      <c r="CF247" s="207"/>
    </row>
    <row r="248" spans="1:84" s="270" customFormat="1" ht="36" outlineLevel="1" x14ac:dyDescent="0.25">
      <c r="A248" s="207"/>
      <c r="B248" s="607" t="s">
        <v>87</v>
      </c>
      <c r="C248" s="518" t="s">
        <v>88</v>
      </c>
      <c r="D248" s="233" t="s">
        <v>55</v>
      </c>
      <c r="E248" s="233" t="s">
        <v>55</v>
      </c>
      <c r="F248" s="214">
        <v>1</v>
      </c>
      <c r="G248" s="260">
        <v>1</v>
      </c>
      <c r="H248" s="234">
        <v>14.4</v>
      </c>
      <c r="I248" s="235">
        <v>3.86</v>
      </c>
      <c r="J248" s="215">
        <f t="shared" si="151"/>
        <v>55.583999999999996</v>
      </c>
      <c r="K248" s="216" t="s">
        <v>670</v>
      </c>
      <c r="L248" s="238" t="s">
        <v>55</v>
      </c>
      <c r="M248" s="238" t="s">
        <v>55</v>
      </c>
      <c r="N248" s="215">
        <f t="shared" ref="N248:N249" si="154">60*F248+20*G248</f>
        <v>80</v>
      </c>
      <c r="O248" s="220">
        <f>60*F248+20*G248</f>
        <v>80</v>
      </c>
      <c r="P248" s="356">
        <f t="shared" si="152"/>
        <v>1.4392630972941856</v>
      </c>
      <c r="Q248" s="356">
        <f t="shared" si="153"/>
        <v>1.4392630972941856</v>
      </c>
      <c r="R248" s="217" t="s">
        <v>55</v>
      </c>
      <c r="S248" s="608" t="s">
        <v>17</v>
      </c>
      <c r="T248" s="609" t="s">
        <v>18</v>
      </c>
      <c r="U248" s="450"/>
      <c r="V248" s="450"/>
      <c r="W248" s="207"/>
      <c r="Y248" s="449">
        <v>1</v>
      </c>
      <c r="Z248" s="449"/>
      <c r="AA248" s="245" t="s">
        <v>89</v>
      </c>
      <c r="AB248" s="246" t="s">
        <v>88</v>
      </c>
      <c r="AC248" s="252">
        <v>1</v>
      </c>
      <c r="AI248" s="207"/>
      <c r="AJ248" s="207"/>
      <c r="AK248" s="207"/>
      <c r="AL248" s="207"/>
      <c r="AM248" s="207"/>
      <c r="AN248" s="207"/>
      <c r="AO248" s="207"/>
      <c r="AP248" s="207"/>
      <c r="AQ248" s="207"/>
      <c r="AR248" s="207"/>
      <c r="AS248" s="207"/>
      <c r="AT248" s="207"/>
      <c r="AU248" s="207"/>
      <c r="AV248" s="207"/>
      <c r="AW248" s="207"/>
      <c r="AX248" s="207"/>
      <c r="AY248" s="207"/>
      <c r="AZ248" s="207"/>
      <c r="BA248" s="207"/>
      <c r="BB248" s="207"/>
      <c r="BC248" s="207"/>
      <c r="BD248" s="207"/>
      <c r="BE248" s="207"/>
      <c r="BF248" s="207"/>
      <c r="BG248" s="207"/>
      <c r="BH248" s="207"/>
      <c r="BI248" s="207"/>
      <c r="BJ248" s="207"/>
      <c r="BK248" s="207"/>
      <c r="BL248" s="207"/>
      <c r="BM248" s="207"/>
      <c r="BN248" s="207"/>
      <c r="BO248" s="207"/>
      <c r="BP248" s="207"/>
      <c r="BQ248" s="207"/>
      <c r="BR248" s="207"/>
      <c r="BS248" s="207"/>
      <c r="BT248" s="207"/>
      <c r="BU248" s="207"/>
      <c r="BV248" s="207"/>
      <c r="BW248" s="207"/>
      <c r="BX248" s="207"/>
      <c r="BY248" s="207"/>
      <c r="BZ248" s="207"/>
      <c r="CA248" s="207"/>
      <c r="CB248" s="207"/>
      <c r="CC248" s="207"/>
      <c r="CD248" s="207"/>
      <c r="CE248" s="207"/>
      <c r="CF248" s="207"/>
    </row>
    <row r="249" spans="1:84" ht="36" outlineLevel="1" x14ac:dyDescent="0.25">
      <c r="B249" s="607" t="s">
        <v>90</v>
      </c>
      <c r="C249" s="518" t="s">
        <v>91</v>
      </c>
      <c r="D249" s="233" t="s">
        <v>55</v>
      </c>
      <c r="E249" s="233" t="s">
        <v>55</v>
      </c>
      <c r="F249" s="214">
        <v>1</v>
      </c>
      <c r="G249" s="260">
        <v>1</v>
      </c>
      <c r="H249" s="234">
        <v>14.4</v>
      </c>
      <c r="I249" s="235">
        <v>3.86</v>
      </c>
      <c r="J249" s="215">
        <f t="shared" si="151"/>
        <v>55.583999999999996</v>
      </c>
      <c r="K249" s="216" t="s">
        <v>670</v>
      </c>
      <c r="L249" s="238" t="s">
        <v>55</v>
      </c>
      <c r="M249" s="238" t="s">
        <v>55</v>
      </c>
      <c r="N249" s="215">
        <f t="shared" si="154"/>
        <v>80</v>
      </c>
      <c r="O249" s="220">
        <f>60*F249+20*G249</f>
        <v>80</v>
      </c>
      <c r="P249" s="356">
        <f t="shared" si="152"/>
        <v>1.4392630972941856</v>
      </c>
      <c r="Q249" s="356">
        <f t="shared" si="153"/>
        <v>1.4392630972941856</v>
      </c>
      <c r="R249" s="217" t="s">
        <v>55</v>
      </c>
      <c r="S249" s="608" t="s">
        <v>17</v>
      </c>
      <c r="T249" s="609" t="s">
        <v>18</v>
      </c>
      <c r="U249" s="450"/>
      <c r="V249" s="450"/>
      <c r="Y249" s="449">
        <v>1</v>
      </c>
      <c r="Z249" s="452"/>
      <c r="AA249" s="245" t="s">
        <v>92</v>
      </c>
      <c r="AB249" s="246" t="s">
        <v>23</v>
      </c>
      <c r="AC249" s="252">
        <v>1</v>
      </c>
    </row>
    <row r="250" spans="1:84" ht="24" outlineLevel="1" x14ac:dyDescent="0.25">
      <c r="B250" s="607" t="s">
        <v>93</v>
      </c>
      <c r="C250" s="518" t="s">
        <v>20</v>
      </c>
      <c r="D250" s="233" t="s">
        <v>55</v>
      </c>
      <c r="E250" s="233" t="s">
        <v>55</v>
      </c>
      <c r="F250" s="214"/>
      <c r="G250" s="214">
        <v>5</v>
      </c>
      <c r="H250" s="234">
        <v>12.6</v>
      </c>
      <c r="I250" s="235">
        <v>3.86</v>
      </c>
      <c r="J250" s="215">
        <f t="shared" si="151"/>
        <v>48.635999999999996</v>
      </c>
      <c r="K250" s="216" t="s">
        <v>558</v>
      </c>
      <c r="L250" s="238" t="s">
        <v>55</v>
      </c>
      <c r="M250" s="238" t="s">
        <v>55</v>
      </c>
      <c r="N250" s="215">
        <f>20*G250</f>
        <v>100</v>
      </c>
      <c r="O250" s="220">
        <f>20*G250</f>
        <v>100</v>
      </c>
      <c r="P250" s="356">
        <f t="shared" si="152"/>
        <v>2.0560901389916935</v>
      </c>
      <c r="Q250" s="356">
        <f t="shared" si="153"/>
        <v>2.0560901389916935</v>
      </c>
      <c r="R250" s="217" t="s">
        <v>55</v>
      </c>
      <c r="S250" s="608" t="s">
        <v>17</v>
      </c>
      <c r="T250" s="609" t="s">
        <v>18</v>
      </c>
      <c r="U250" s="450"/>
      <c r="V250" s="450"/>
      <c r="Y250" s="450"/>
      <c r="Z250" s="450"/>
    </row>
    <row r="251" spans="1:84" ht="14.25" outlineLevel="1" x14ac:dyDescent="0.25">
      <c r="B251" s="607" t="s">
        <v>94</v>
      </c>
      <c r="C251" s="518" t="s">
        <v>95</v>
      </c>
      <c r="D251" s="233" t="s">
        <v>55</v>
      </c>
      <c r="E251" s="233" t="s">
        <v>55</v>
      </c>
      <c r="F251" s="233" t="s">
        <v>55</v>
      </c>
      <c r="G251" s="233" t="s">
        <v>55</v>
      </c>
      <c r="H251" s="234">
        <v>17.399999999999999</v>
      </c>
      <c r="I251" s="235">
        <v>3.86</v>
      </c>
      <c r="J251" s="215">
        <f t="shared" si="151"/>
        <v>67.163999999999987</v>
      </c>
      <c r="K251" s="236" t="s">
        <v>55</v>
      </c>
      <c r="L251" s="237">
        <v>1</v>
      </c>
      <c r="M251" s="238" t="s">
        <v>55</v>
      </c>
      <c r="N251" s="217" t="s">
        <v>55</v>
      </c>
      <c r="O251" s="220">
        <f>CEILING((J251*L251),10)</f>
        <v>70</v>
      </c>
      <c r="P251" s="400" t="s">
        <v>55</v>
      </c>
      <c r="Q251" s="356">
        <f t="shared" si="153"/>
        <v>1.042225001488893</v>
      </c>
      <c r="R251" s="217" t="s">
        <v>55</v>
      </c>
      <c r="S251" s="608"/>
      <c r="T251" s="609" t="s">
        <v>18</v>
      </c>
      <c r="U251" s="450"/>
      <c r="V251" s="450"/>
      <c r="W251" s="251"/>
      <c r="Y251" s="206"/>
      <c r="Z251" s="206"/>
    </row>
    <row r="252" spans="1:84" ht="24" outlineLevel="1" x14ac:dyDescent="0.25">
      <c r="B252" s="607" t="s">
        <v>96</v>
      </c>
      <c r="C252" s="518" t="s">
        <v>97</v>
      </c>
      <c r="D252" s="233" t="s">
        <v>55</v>
      </c>
      <c r="E252" s="233" t="s">
        <v>55</v>
      </c>
      <c r="F252" s="214">
        <v>2</v>
      </c>
      <c r="G252" s="233" t="s">
        <v>55</v>
      </c>
      <c r="H252" s="234">
        <v>23.8</v>
      </c>
      <c r="I252" s="235">
        <v>3.86</v>
      </c>
      <c r="J252" s="215">
        <f t="shared" si="151"/>
        <v>91.867999999999995</v>
      </c>
      <c r="K252" s="216" t="s">
        <v>559</v>
      </c>
      <c r="L252" s="237"/>
      <c r="M252" s="238" t="s">
        <v>55</v>
      </c>
      <c r="N252" s="215">
        <f>60*F252</f>
        <v>120</v>
      </c>
      <c r="O252" s="220">
        <f>60*F252</f>
        <v>120</v>
      </c>
      <c r="P252" s="356">
        <f t="shared" si="152"/>
        <v>1.3062219706535465</v>
      </c>
      <c r="Q252" s="356">
        <f t="shared" si="153"/>
        <v>1.3062219706535465</v>
      </c>
      <c r="R252" s="217" t="s">
        <v>55</v>
      </c>
      <c r="S252" s="608" t="s">
        <v>17</v>
      </c>
      <c r="T252" s="609" t="s">
        <v>18</v>
      </c>
      <c r="U252" s="450"/>
      <c r="V252" s="450"/>
      <c r="W252" s="251"/>
      <c r="Y252" s="206"/>
      <c r="Z252" s="206"/>
    </row>
    <row r="253" spans="1:84" ht="24" x14ac:dyDescent="0.25">
      <c r="B253" s="607" t="s">
        <v>98</v>
      </c>
      <c r="C253" s="518" t="s">
        <v>20</v>
      </c>
      <c r="D253" s="233" t="s">
        <v>55</v>
      </c>
      <c r="E253" s="233" t="s">
        <v>55</v>
      </c>
      <c r="F253" s="233" t="s">
        <v>55</v>
      </c>
      <c r="G253" s="214">
        <v>5</v>
      </c>
      <c r="H253" s="234">
        <v>12.2</v>
      </c>
      <c r="I253" s="235">
        <v>3.86</v>
      </c>
      <c r="J253" s="215">
        <f t="shared" si="151"/>
        <v>47.091999999999999</v>
      </c>
      <c r="K253" s="216" t="s">
        <v>558</v>
      </c>
      <c r="L253" s="238" t="s">
        <v>55</v>
      </c>
      <c r="M253" s="238" t="s">
        <v>55</v>
      </c>
      <c r="N253" s="215">
        <f>20*G253</f>
        <v>100</v>
      </c>
      <c r="O253" s="220">
        <f>20*G253</f>
        <v>100</v>
      </c>
      <c r="P253" s="356">
        <f t="shared" si="152"/>
        <v>2.1235029304340443</v>
      </c>
      <c r="Q253" s="356">
        <f t="shared" si="153"/>
        <v>2.1235029304340443</v>
      </c>
      <c r="R253" s="217" t="s">
        <v>55</v>
      </c>
      <c r="S253" s="608" t="s">
        <v>17</v>
      </c>
      <c r="T253" s="609" t="s">
        <v>18</v>
      </c>
      <c r="Y253" s="206"/>
      <c r="Z253" s="206"/>
    </row>
    <row r="254" spans="1:84" ht="23.25" customHeight="1" x14ac:dyDescent="0.25">
      <c r="B254" s="607" t="s">
        <v>99</v>
      </c>
      <c r="C254" s="518" t="s">
        <v>20</v>
      </c>
      <c r="D254" s="233" t="s">
        <v>55</v>
      </c>
      <c r="E254" s="233" t="s">
        <v>55</v>
      </c>
      <c r="F254" s="233" t="s">
        <v>55</v>
      </c>
      <c r="G254" s="214">
        <v>5</v>
      </c>
      <c r="H254" s="234">
        <v>21.7</v>
      </c>
      <c r="I254" s="235">
        <v>3.86</v>
      </c>
      <c r="J254" s="215">
        <f t="shared" si="151"/>
        <v>83.762</v>
      </c>
      <c r="K254" s="216" t="s">
        <v>558</v>
      </c>
      <c r="L254" s="238" t="s">
        <v>55</v>
      </c>
      <c r="M254" s="238" t="s">
        <v>55</v>
      </c>
      <c r="N254" s="215">
        <f>20*G254</f>
        <v>100</v>
      </c>
      <c r="O254" s="220">
        <f>20*G254</f>
        <v>100</v>
      </c>
      <c r="P254" s="356">
        <f t="shared" si="152"/>
        <v>1.1938587903822735</v>
      </c>
      <c r="Q254" s="356">
        <f t="shared" si="153"/>
        <v>1.1938587903822735</v>
      </c>
      <c r="R254" s="217" t="s">
        <v>55</v>
      </c>
      <c r="S254" s="608" t="s">
        <v>17</v>
      </c>
      <c r="T254" s="609" t="s">
        <v>18</v>
      </c>
      <c r="Y254" s="206"/>
      <c r="Z254" s="206"/>
    </row>
    <row r="255" spans="1:84" ht="21" customHeight="1" x14ac:dyDescent="0.25">
      <c r="B255" s="607" t="s">
        <v>100</v>
      </c>
      <c r="C255" s="518" t="s">
        <v>101</v>
      </c>
      <c r="D255" s="233" t="s">
        <v>560</v>
      </c>
      <c r="E255" s="233" t="s">
        <v>55</v>
      </c>
      <c r="F255" s="233" t="s">
        <v>55</v>
      </c>
      <c r="G255" s="233" t="s">
        <v>55</v>
      </c>
      <c r="H255" s="234">
        <v>17.8</v>
      </c>
      <c r="I255" s="235">
        <v>3.86</v>
      </c>
      <c r="J255" s="215">
        <f t="shared" si="151"/>
        <v>68.707999999999998</v>
      </c>
      <c r="K255" s="236" t="s">
        <v>55</v>
      </c>
      <c r="L255" s="216">
        <v>1</v>
      </c>
      <c r="M255" s="238" t="s">
        <v>55</v>
      </c>
      <c r="N255" s="215" t="s">
        <v>55</v>
      </c>
      <c r="O255" s="220">
        <f>CEILING((J255*L255),10)</f>
        <v>70</v>
      </c>
      <c r="P255" s="356" t="s">
        <v>55</v>
      </c>
      <c r="Q255" s="356">
        <f t="shared" si="153"/>
        <v>1.0188042149385808</v>
      </c>
      <c r="R255" s="217" t="s">
        <v>55</v>
      </c>
      <c r="S255" s="233" t="s">
        <v>55</v>
      </c>
      <c r="T255" s="520" t="s">
        <v>18</v>
      </c>
      <c r="Y255" s="206"/>
      <c r="Z255" s="206"/>
    </row>
    <row r="256" spans="1:84" ht="24" customHeight="1" x14ac:dyDescent="0.25">
      <c r="B256" s="607" t="s">
        <v>102</v>
      </c>
      <c r="C256" s="518" t="s">
        <v>103</v>
      </c>
      <c r="D256" s="233" t="s">
        <v>55</v>
      </c>
      <c r="E256" s="233" t="s">
        <v>55</v>
      </c>
      <c r="F256" s="214">
        <v>14</v>
      </c>
      <c r="G256" s="214"/>
      <c r="H256" s="234">
        <v>171.4</v>
      </c>
      <c r="I256" s="235">
        <v>3.86</v>
      </c>
      <c r="J256" s="215">
        <f t="shared" si="151"/>
        <v>661.60400000000004</v>
      </c>
      <c r="K256" s="216" t="s">
        <v>559</v>
      </c>
      <c r="L256" s="233" t="s">
        <v>55</v>
      </c>
      <c r="M256" s="238" t="s">
        <v>55</v>
      </c>
      <c r="N256" s="215">
        <f>60*F256</f>
        <v>840</v>
      </c>
      <c r="O256" s="220">
        <f>60*F256-O255-O251</f>
        <v>700</v>
      </c>
      <c r="P256" s="356">
        <f t="shared" si="152"/>
        <v>1.2696416587565975</v>
      </c>
      <c r="Q256" s="356">
        <f t="shared" si="153"/>
        <v>1.0580347156304979</v>
      </c>
      <c r="R256" s="217" t="s">
        <v>55</v>
      </c>
      <c r="S256" s="608" t="s">
        <v>17</v>
      </c>
      <c r="T256" s="609" t="s">
        <v>18</v>
      </c>
      <c r="U256" s="266"/>
      <c r="V256" s="266"/>
      <c r="W256" s="265"/>
      <c r="X256" s="265"/>
      <c r="Y256" s="266"/>
      <c r="Z256" s="206" t="s">
        <v>556</v>
      </c>
      <c r="AA256" s="271" t="s">
        <v>104</v>
      </c>
      <c r="AB256" s="268" t="s">
        <v>103</v>
      </c>
      <c r="AC256" s="269">
        <v>14</v>
      </c>
      <c r="AD256" s="272">
        <v>13</v>
      </c>
    </row>
    <row r="257" spans="2:29" ht="17.25" customHeight="1" x14ac:dyDescent="0.25">
      <c r="B257" s="607"/>
      <c r="C257" s="612" t="s">
        <v>105</v>
      </c>
      <c r="D257" s="233" t="s">
        <v>55</v>
      </c>
      <c r="E257" s="233" t="s">
        <v>55</v>
      </c>
      <c r="F257" s="233" t="s">
        <v>55</v>
      </c>
      <c r="G257" s="233" t="s">
        <v>55</v>
      </c>
      <c r="H257" s="233" t="s">
        <v>55</v>
      </c>
      <c r="I257" s="233" t="s">
        <v>55</v>
      </c>
      <c r="J257" s="233" t="s">
        <v>55</v>
      </c>
      <c r="K257" s="233" t="s">
        <v>55</v>
      </c>
      <c r="L257" s="233" t="s">
        <v>55</v>
      </c>
      <c r="M257" s="238" t="s">
        <v>55</v>
      </c>
      <c r="N257" s="217" t="s">
        <v>55</v>
      </c>
      <c r="O257" s="218" t="s">
        <v>55</v>
      </c>
      <c r="P257" s="400" t="s">
        <v>55</v>
      </c>
      <c r="Q257" s="400" t="s">
        <v>55</v>
      </c>
      <c r="R257" s="218" t="s">
        <v>55</v>
      </c>
      <c r="S257" s="233" t="s">
        <v>55</v>
      </c>
      <c r="T257" s="250" t="s">
        <v>55</v>
      </c>
      <c r="Y257" s="206"/>
      <c r="Z257" s="206"/>
    </row>
    <row r="258" spans="2:29" ht="17.25" customHeight="1" x14ac:dyDescent="0.25">
      <c r="B258" s="607"/>
      <c r="C258" s="612" t="s">
        <v>106</v>
      </c>
      <c r="D258" s="233" t="s">
        <v>55</v>
      </c>
      <c r="E258" s="233" t="s">
        <v>55</v>
      </c>
      <c r="F258" s="233" t="s">
        <v>55</v>
      </c>
      <c r="G258" s="233" t="s">
        <v>55</v>
      </c>
      <c r="H258" s="233" t="s">
        <v>55</v>
      </c>
      <c r="I258" s="233" t="s">
        <v>55</v>
      </c>
      <c r="J258" s="233" t="s">
        <v>55</v>
      </c>
      <c r="K258" s="233" t="s">
        <v>55</v>
      </c>
      <c r="L258" s="233" t="s">
        <v>55</v>
      </c>
      <c r="M258" s="233" t="s">
        <v>55</v>
      </c>
      <c r="N258" s="217" t="s">
        <v>55</v>
      </c>
      <c r="O258" s="218" t="s">
        <v>55</v>
      </c>
      <c r="P258" s="400" t="s">
        <v>55</v>
      </c>
      <c r="Q258" s="400" t="s">
        <v>55</v>
      </c>
      <c r="R258" s="218" t="s">
        <v>55</v>
      </c>
      <c r="S258" s="233" t="s">
        <v>55</v>
      </c>
      <c r="T258" s="250" t="s">
        <v>55</v>
      </c>
      <c r="Y258" s="206"/>
      <c r="Z258" s="206"/>
    </row>
    <row r="259" spans="2:29" ht="17.25" customHeight="1" x14ac:dyDescent="0.25">
      <c r="B259" s="607"/>
      <c r="C259" s="612" t="s">
        <v>107</v>
      </c>
      <c r="D259" s="233" t="s">
        <v>55</v>
      </c>
      <c r="E259" s="233" t="s">
        <v>55</v>
      </c>
      <c r="F259" s="233" t="s">
        <v>55</v>
      </c>
      <c r="G259" s="233" t="s">
        <v>55</v>
      </c>
      <c r="H259" s="233" t="s">
        <v>55</v>
      </c>
      <c r="I259" s="233" t="s">
        <v>55</v>
      </c>
      <c r="J259" s="233" t="s">
        <v>55</v>
      </c>
      <c r="K259" s="233" t="s">
        <v>55</v>
      </c>
      <c r="L259" s="233" t="s">
        <v>55</v>
      </c>
      <c r="M259" s="233" t="s">
        <v>55</v>
      </c>
      <c r="N259" s="217" t="s">
        <v>55</v>
      </c>
      <c r="O259" s="218" t="s">
        <v>55</v>
      </c>
      <c r="P259" s="400" t="s">
        <v>55</v>
      </c>
      <c r="Q259" s="400" t="s">
        <v>55</v>
      </c>
      <c r="R259" s="218" t="s">
        <v>55</v>
      </c>
      <c r="S259" s="233" t="s">
        <v>55</v>
      </c>
      <c r="T259" s="250" t="s">
        <v>55</v>
      </c>
      <c r="Y259" s="206"/>
      <c r="Z259" s="206"/>
    </row>
    <row r="260" spans="2:29" ht="23.25" customHeight="1" x14ac:dyDescent="0.25">
      <c r="B260" s="607" t="s">
        <v>108</v>
      </c>
      <c r="C260" s="612" t="s">
        <v>109</v>
      </c>
      <c r="D260" s="233" t="s">
        <v>55</v>
      </c>
      <c r="E260" s="233" t="s">
        <v>55</v>
      </c>
      <c r="F260" s="214">
        <v>2</v>
      </c>
      <c r="G260" s="233" t="s">
        <v>55</v>
      </c>
      <c r="H260" s="234">
        <v>13.7</v>
      </c>
      <c r="I260" s="235">
        <v>3.86</v>
      </c>
      <c r="J260" s="215">
        <f t="shared" ref="J260:J267" si="155">H260*I260</f>
        <v>52.881999999999998</v>
      </c>
      <c r="K260" s="273" t="s">
        <v>559</v>
      </c>
      <c r="L260" s="233" t="s">
        <v>55</v>
      </c>
      <c r="M260" s="233" t="s">
        <v>55</v>
      </c>
      <c r="N260" s="215">
        <f t="shared" ref="N260:N267" si="156">60*F260</f>
        <v>120</v>
      </c>
      <c r="O260" s="220">
        <f t="shared" ref="O260:O267" si="157">60*F260</f>
        <v>120</v>
      </c>
      <c r="P260" s="356">
        <f t="shared" ref="P260:P267" si="158">N260/J260</f>
        <v>2.2692031315003214</v>
      </c>
      <c r="Q260" s="356">
        <f t="shared" ref="Q260:Q267" si="159">O260/J260</f>
        <v>2.2692031315003214</v>
      </c>
      <c r="R260" s="218" t="s">
        <v>55</v>
      </c>
      <c r="S260" s="519" t="s">
        <v>17</v>
      </c>
      <c r="T260" s="609" t="s">
        <v>18</v>
      </c>
      <c r="Y260" s="206"/>
      <c r="Z260" s="206"/>
      <c r="AA260" s="245" t="s">
        <v>110</v>
      </c>
      <c r="AB260" s="274" t="s">
        <v>109</v>
      </c>
      <c r="AC260" s="247">
        <v>2</v>
      </c>
    </row>
    <row r="261" spans="2:29" ht="20.25" customHeight="1" x14ac:dyDescent="0.25">
      <c r="B261" s="607" t="s">
        <v>111</v>
      </c>
      <c r="C261" s="613" t="s">
        <v>112</v>
      </c>
      <c r="D261" s="233" t="s">
        <v>55</v>
      </c>
      <c r="E261" s="233" t="s">
        <v>55</v>
      </c>
      <c r="F261" s="214">
        <v>2</v>
      </c>
      <c r="G261" s="233" t="s">
        <v>55</v>
      </c>
      <c r="H261" s="234">
        <v>22.2</v>
      </c>
      <c r="I261" s="235">
        <v>3.86</v>
      </c>
      <c r="J261" s="215">
        <f t="shared" si="155"/>
        <v>85.691999999999993</v>
      </c>
      <c r="K261" s="216" t="s">
        <v>559</v>
      </c>
      <c r="L261" s="233" t="s">
        <v>55</v>
      </c>
      <c r="M261" s="233" t="s">
        <v>55</v>
      </c>
      <c r="N261" s="215">
        <f t="shared" si="156"/>
        <v>120</v>
      </c>
      <c r="O261" s="220">
        <f t="shared" si="157"/>
        <v>120</v>
      </c>
      <c r="P261" s="356">
        <f t="shared" si="158"/>
        <v>1.400364094664613</v>
      </c>
      <c r="Q261" s="356">
        <f t="shared" si="159"/>
        <v>1.400364094664613</v>
      </c>
      <c r="R261" s="218" t="s">
        <v>55</v>
      </c>
      <c r="S261" s="519" t="s">
        <v>17</v>
      </c>
      <c r="T261" s="609" t="s">
        <v>18</v>
      </c>
      <c r="Y261" s="206"/>
      <c r="Z261" s="206"/>
      <c r="AA261" s="245" t="s">
        <v>113</v>
      </c>
      <c r="AB261" s="246" t="s">
        <v>112</v>
      </c>
      <c r="AC261" s="247">
        <v>2</v>
      </c>
    </row>
    <row r="262" spans="2:29" ht="32.25" customHeight="1" x14ac:dyDescent="0.25">
      <c r="B262" s="607" t="s">
        <v>114</v>
      </c>
      <c r="C262" s="613" t="s">
        <v>115</v>
      </c>
      <c r="D262" s="233" t="s">
        <v>55</v>
      </c>
      <c r="E262" s="233" t="s">
        <v>55</v>
      </c>
      <c r="F262" s="214">
        <v>4</v>
      </c>
      <c r="G262" s="233" t="s">
        <v>55</v>
      </c>
      <c r="H262" s="234">
        <v>23.4</v>
      </c>
      <c r="I262" s="235">
        <v>3.86</v>
      </c>
      <c r="J262" s="215">
        <f t="shared" si="155"/>
        <v>90.323999999999998</v>
      </c>
      <c r="K262" s="216" t="s">
        <v>559</v>
      </c>
      <c r="L262" s="233" t="s">
        <v>55</v>
      </c>
      <c r="M262" s="233" t="s">
        <v>55</v>
      </c>
      <c r="N262" s="215">
        <f t="shared" si="156"/>
        <v>240</v>
      </c>
      <c r="O262" s="220">
        <f t="shared" si="157"/>
        <v>240</v>
      </c>
      <c r="P262" s="356">
        <f t="shared" si="158"/>
        <v>2.6571011026969575</v>
      </c>
      <c r="Q262" s="356">
        <f t="shared" si="159"/>
        <v>2.6571011026969575</v>
      </c>
      <c r="R262" s="218" t="s">
        <v>55</v>
      </c>
      <c r="S262" s="519" t="s">
        <v>17</v>
      </c>
      <c r="T262" s="609" t="s">
        <v>18</v>
      </c>
      <c r="U262" s="266"/>
      <c r="V262" s="266"/>
      <c r="W262" s="265"/>
      <c r="X262" s="265"/>
      <c r="Y262" s="266"/>
      <c r="Z262" s="266"/>
      <c r="AA262" s="271" t="s">
        <v>116</v>
      </c>
      <c r="AB262" s="268" t="s">
        <v>115</v>
      </c>
      <c r="AC262" s="269">
        <v>3</v>
      </c>
    </row>
    <row r="263" spans="2:29" ht="21.75" customHeight="1" x14ac:dyDescent="0.25">
      <c r="B263" s="607" t="s">
        <v>117</v>
      </c>
      <c r="C263" s="613" t="s">
        <v>118</v>
      </c>
      <c r="D263" s="233" t="s">
        <v>55</v>
      </c>
      <c r="E263" s="233" t="s">
        <v>55</v>
      </c>
      <c r="F263" s="214">
        <v>4</v>
      </c>
      <c r="G263" s="233" t="s">
        <v>55</v>
      </c>
      <c r="H263" s="234">
        <v>25.6</v>
      </c>
      <c r="I263" s="235">
        <v>3.86</v>
      </c>
      <c r="J263" s="215">
        <f t="shared" si="155"/>
        <v>98.816000000000003</v>
      </c>
      <c r="K263" s="216" t="s">
        <v>559</v>
      </c>
      <c r="L263" s="233" t="s">
        <v>55</v>
      </c>
      <c r="M263" s="233" t="s">
        <v>55</v>
      </c>
      <c r="N263" s="215">
        <f t="shared" si="156"/>
        <v>240</v>
      </c>
      <c r="O263" s="220">
        <f t="shared" si="157"/>
        <v>240</v>
      </c>
      <c r="P263" s="356">
        <f t="shared" si="158"/>
        <v>2.4287564766839376</v>
      </c>
      <c r="Q263" s="356">
        <f t="shared" si="159"/>
        <v>2.4287564766839376</v>
      </c>
      <c r="R263" s="218" t="s">
        <v>55</v>
      </c>
      <c r="S263" s="519" t="s">
        <v>17</v>
      </c>
      <c r="T263" s="609" t="s">
        <v>18</v>
      </c>
      <c r="Y263" s="206"/>
      <c r="Z263" s="206"/>
      <c r="AA263" s="245" t="s">
        <v>119</v>
      </c>
      <c r="AB263" s="246" t="s">
        <v>118</v>
      </c>
      <c r="AC263" s="247">
        <v>4</v>
      </c>
    </row>
    <row r="264" spans="2:29" ht="45" customHeight="1" x14ac:dyDescent="0.25">
      <c r="B264" s="607" t="s">
        <v>120</v>
      </c>
      <c r="C264" s="613" t="s">
        <v>121</v>
      </c>
      <c r="D264" s="233" t="s">
        <v>55</v>
      </c>
      <c r="E264" s="233" t="s">
        <v>55</v>
      </c>
      <c r="F264" s="214">
        <v>1</v>
      </c>
      <c r="G264" s="260">
        <v>1</v>
      </c>
      <c r="H264" s="234">
        <v>14.8</v>
      </c>
      <c r="I264" s="235">
        <v>3.86</v>
      </c>
      <c r="J264" s="215">
        <f t="shared" si="155"/>
        <v>57.128</v>
      </c>
      <c r="K264" s="216" t="s">
        <v>670</v>
      </c>
      <c r="L264" s="233" t="s">
        <v>55</v>
      </c>
      <c r="M264" s="233" t="s">
        <v>55</v>
      </c>
      <c r="N264" s="215">
        <f>60*F264+20*G264</f>
        <v>80</v>
      </c>
      <c r="O264" s="220">
        <f>60*F264+20*G264</f>
        <v>80</v>
      </c>
      <c r="P264" s="356">
        <f t="shared" si="158"/>
        <v>1.4003640946646128</v>
      </c>
      <c r="Q264" s="356">
        <f t="shared" si="159"/>
        <v>1.4003640946646128</v>
      </c>
      <c r="R264" s="218" t="s">
        <v>55</v>
      </c>
      <c r="S264" s="519" t="s">
        <v>17</v>
      </c>
      <c r="T264" s="609" t="s">
        <v>18</v>
      </c>
      <c r="Y264" s="206"/>
      <c r="Z264" s="275">
        <v>1</v>
      </c>
      <c r="AA264" s="245" t="s">
        <v>122</v>
      </c>
      <c r="AB264" s="246" t="s">
        <v>121</v>
      </c>
      <c r="AC264" s="247">
        <v>1</v>
      </c>
    </row>
    <row r="265" spans="2:29" ht="25.5" customHeight="1" x14ac:dyDescent="0.25">
      <c r="B265" s="607" t="s">
        <v>123</v>
      </c>
      <c r="C265" s="613" t="s">
        <v>124</v>
      </c>
      <c r="D265" s="233" t="s">
        <v>55</v>
      </c>
      <c r="E265" s="233" t="s">
        <v>55</v>
      </c>
      <c r="F265" s="214">
        <v>2</v>
      </c>
      <c r="G265" s="233" t="s">
        <v>55</v>
      </c>
      <c r="H265" s="234">
        <v>12.3</v>
      </c>
      <c r="I265" s="235">
        <v>3.86</v>
      </c>
      <c r="J265" s="215">
        <f t="shared" si="155"/>
        <v>47.478000000000002</v>
      </c>
      <c r="K265" s="216" t="s">
        <v>559</v>
      </c>
      <c r="L265" s="233" t="s">
        <v>55</v>
      </c>
      <c r="M265" s="233" t="s">
        <v>55</v>
      </c>
      <c r="N265" s="215">
        <f t="shared" si="156"/>
        <v>120</v>
      </c>
      <c r="O265" s="220">
        <f t="shared" si="157"/>
        <v>120</v>
      </c>
      <c r="P265" s="356">
        <f t="shared" si="158"/>
        <v>2.5274864147605207</v>
      </c>
      <c r="Q265" s="356">
        <f t="shared" si="159"/>
        <v>2.5274864147605207</v>
      </c>
      <c r="R265" s="218" t="s">
        <v>55</v>
      </c>
      <c r="S265" s="519" t="s">
        <v>17</v>
      </c>
      <c r="T265" s="609" t="s">
        <v>18</v>
      </c>
      <c r="Y265" s="206"/>
      <c r="Z265" s="206">
        <v>1</v>
      </c>
      <c r="AA265" s="245" t="s">
        <v>125</v>
      </c>
      <c r="AB265" s="246" t="s">
        <v>124</v>
      </c>
      <c r="AC265" s="247">
        <v>2</v>
      </c>
    </row>
    <row r="266" spans="2:29" ht="24" customHeight="1" x14ac:dyDescent="0.25">
      <c r="B266" s="607" t="s">
        <v>126</v>
      </c>
      <c r="C266" s="613" t="s">
        <v>127</v>
      </c>
      <c r="D266" s="233" t="s">
        <v>55</v>
      </c>
      <c r="E266" s="233" t="s">
        <v>55</v>
      </c>
      <c r="F266" s="214">
        <v>2</v>
      </c>
      <c r="G266" s="233" t="s">
        <v>55</v>
      </c>
      <c r="H266" s="234">
        <v>20.2</v>
      </c>
      <c r="I266" s="235">
        <v>3.86</v>
      </c>
      <c r="J266" s="215">
        <f t="shared" si="155"/>
        <v>77.971999999999994</v>
      </c>
      <c r="K266" s="216" t="s">
        <v>559</v>
      </c>
      <c r="L266" s="233" t="s">
        <v>55</v>
      </c>
      <c r="M266" s="233" t="s">
        <v>55</v>
      </c>
      <c r="N266" s="215">
        <f t="shared" si="156"/>
        <v>120</v>
      </c>
      <c r="O266" s="220">
        <f t="shared" si="157"/>
        <v>120</v>
      </c>
      <c r="P266" s="356">
        <f t="shared" si="158"/>
        <v>1.5390140050274459</v>
      </c>
      <c r="Q266" s="356">
        <f t="shared" si="159"/>
        <v>1.5390140050274459</v>
      </c>
      <c r="R266" s="218" t="s">
        <v>55</v>
      </c>
      <c r="S266" s="519" t="s">
        <v>17</v>
      </c>
      <c r="T266" s="609" t="s">
        <v>18</v>
      </c>
      <c r="Y266" s="206"/>
      <c r="Z266" s="206"/>
      <c r="AA266" s="245" t="s">
        <v>128</v>
      </c>
      <c r="AB266" s="246" t="s">
        <v>127</v>
      </c>
      <c r="AC266" s="247">
        <v>2</v>
      </c>
    </row>
    <row r="267" spans="2:29" ht="23.25" customHeight="1" x14ac:dyDescent="0.25">
      <c r="B267" s="607" t="s">
        <v>129</v>
      </c>
      <c r="C267" s="613" t="s">
        <v>130</v>
      </c>
      <c r="D267" s="233" t="s">
        <v>55</v>
      </c>
      <c r="E267" s="233" t="s">
        <v>55</v>
      </c>
      <c r="F267" s="214">
        <v>2</v>
      </c>
      <c r="G267" s="233" t="s">
        <v>55</v>
      </c>
      <c r="H267" s="234">
        <v>13.5</v>
      </c>
      <c r="I267" s="235">
        <v>3.86</v>
      </c>
      <c r="J267" s="215">
        <f t="shared" si="155"/>
        <v>52.11</v>
      </c>
      <c r="K267" s="216" t="s">
        <v>559</v>
      </c>
      <c r="L267" s="233" t="s">
        <v>55</v>
      </c>
      <c r="M267" s="233" t="s">
        <v>55</v>
      </c>
      <c r="N267" s="215">
        <f t="shared" si="156"/>
        <v>120</v>
      </c>
      <c r="O267" s="220">
        <f t="shared" si="157"/>
        <v>120</v>
      </c>
      <c r="P267" s="356">
        <f t="shared" si="158"/>
        <v>2.3028209556706964</v>
      </c>
      <c r="Q267" s="356">
        <f t="shared" si="159"/>
        <v>2.3028209556706964</v>
      </c>
      <c r="R267" s="218" t="s">
        <v>55</v>
      </c>
      <c r="S267" s="519" t="s">
        <v>17</v>
      </c>
      <c r="T267" s="609" t="s">
        <v>18</v>
      </c>
      <c r="Y267" s="206"/>
      <c r="Z267" s="206"/>
      <c r="AA267" s="245" t="s">
        <v>131</v>
      </c>
      <c r="AB267" s="246" t="s">
        <v>132</v>
      </c>
      <c r="AC267" s="247">
        <v>2</v>
      </c>
    </row>
    <row r="268" spans="2:29" ht="17.25" customHeight="1" x14ac:dyDescent="0.25">
      <c r="B268" s="607"/>
      <c r="C268" s="612" t="s">
        <v>133</v>
      </c>
      <c r="D268" s="233" t="s">
        <v>55</v>
      </c>
      <c r="E268" s="233" t="s">
        <v>55</v>
      </c>
      <c r="F268" s="233" t="s">
        <v>55</v>
      </c>
      <c r="G268" s="233" t="s">
        <v>55</v>
      </c>
      <c r="H268" s="233" t="s">
        <v>55</v>
      </c>
      <c r="I268" s="233" t="s">
        <v>55</v>
      </c>
      <c r="J268" s="233" t="s">
        <v>55</v>
      </c>
      <c r="K268" s="233" t="s">
        <v>55</v>
      </c>
      <c r="L268" s="233" t="s">
        <v>55</v>
      </c>
      <c r="M268" s="233" t="s">
        <v>55</v>
      </c>
      <c r="N268" s="217" t="s">
        <v>55</v>
      </c>
      <c r="O268" s="218" t="s">
        <v>55</v>
      </c>
      <c r="P268" s="400" t="s">
        <v>55</v>
      </c>
      <c r="Q268" s="400" t="s">
        <v>55</v>
      </c>
      <c r="R268" s="218" t="s">
        <v>55</v>
      </c>
      <c r="S268" s="519" t="s">
        <v>17</v>
      </c>
      <c r="T268" s="609" t="s">
        <v>18</v>
      </c>
      <c r="Y268" s="206"/>
      <c r="Z268" s="206"/>
      <c r="AA268" s="245"/>
      <c r="AB268" s="246" t="s">
        <v>134</v>
      </c>
      <c r="AC268" s="247"/>
    </row>
    <row r="269" spans="2:29" ht="24.75" customHeight="1" x14ac:dyDescent="0.25">
      <c r="B269" s="607" t="s">
        <v>135</v>
      </c>
      <c r="C269" s="613" t="s">
        <v>136</v>
      </c>
      <c r="D269" s="233" t="s">
        <v>55</v>
      </c>
      <c r="E269" s="233" t="s">
        <v>55</v>
      </c>
      <c r="F269" s="214">
        <v>4</v>
      </c>
      <c r="G269" s="233" t="s">
        <v>55</v>
      </c>
      <c r="H269" s="234">
        <v>25.8</v>
      </c>
      <c r="I269" s="235">
        <v>3.86</v>
      </c>
      <c r="J269" s="215">
        <f>H269*I269</f>
        <v>99.587999999999994</v>
      </c>
      <c r="K269" s="216" t="s">
        <v>559</v>
      </c>
      <c r="L269" s="233" t="s">
        <v>55</v>
      </c>
      <c r="M269" s="233" t="s">
        <v>55</v>
      </c>
      <c r="N269" s="215">
        <f>60*F269</f>
        <v>240</v>
      </c>
      <c r="O269" s="220">
        <f>60*F269</f>
        <v>240</v>
      </c>
      <c r="P269" s="356">
        <f>N269/J269</f>
        <v>2.4099289070972407</v>
      </c>
      <c r="Q269" s="356">
        <f>O269/J269</f>
        <v>2.4099289070972407</v>
      </c>
      <c r="R269" s="218" t="s">
        <v>55</v>
      </c>
      <c r="S269" s="519" t="s">
        <v>17</v>
      </c>
      <c r="T269" s="609" t="s">
        <v>18</v>
      </c>
      <c r="U269" s="266"/>
      <c r="V269" s="266"/>
      <c r="W269" s="265"/>
      <c r="X269" s="265"/>
      <c r="Y269" s="266"/>
      <c r="Z269" s="266"/>
      <c r="AA269" s="271" t="s">
        <v>137</v>
      </c>
      <c r="AB269" s="268" t="s">
        <v>136</v>
      </c>
      <c r="AC269" s="269">
        <v>3</v>
      </c>
    </row>
    <row r="270" spans="2:29" ht="17.25" customHeight="1" x14ac:dyDescent="0.25">
      <c r="B270" s="607" t="s">
        <v>138</v>
      </c>
      <c r="C270" s="613" t="s">
        <v>139</v>
      </c>
      <c r="D270" s="233" t="s">
        <v>560</v>
      </c>
      <c r="E270" s="233" t="s">
        <v>55</v>
      </c>
      <c r="F270" s="214"/>
      <c r="G270" s="233" t="s">
        <v>55</v>
      </c>
      <c r="H270" s="234">
        <v>8.1999999999999993</v>
      </c>
      <c r="I270" s="235">
        <v>3.86</v>
      </c>
      <c r="J270" s="215">
        <f>H270*I270</f>
        <v>31.651999999999997</v>
      </c>
      <c r="K270" s="233" t="s">
        <v>55</v>
      </c>
      <c r="L270" s="216">
        <v>1</v>
      </c>
      <c r="M270" s="233" t="s">
        <v>55</v>
      </c>
      <c r="N270" s="215">
        <f>60*F270</f>
        <v>0</v>
      </c>
      <c r="O270" s="220">
        <f>CEILING((J270*L270),10)</f>
        <v>40</v>
      </c>
      <c r="P270" s="356">
        <f>N270/J270</f>
        <v>0</v>
      </c>
      <c r="Q270" s="356">
        <f>O270/J270</f>
        <v>1.2637432073802604</v>
      </c>
      <c r="R270" s="218" t="s">
        <v>55</v>
      </c>
      <c r="S270" s="233" t="s">
        <v>55</v>
      </c>
      <c r="T270" s="609" t="s">
        <v>18</v>
      </c>
      <c r="Y270" s="206"/>
      <c r="Z270" s="206"/>
    </row>
    <row r="271" spans="2:29" ht="17.25" customHeight="1" x14ac:dyDescent="0.25">
      <c r="B271" s="607"/>
      <c r="C271" s="613" t="s">
        <v>141</v>
      </c>
      <c r="D271" s="233" t="s">
        <v>55</v>
      </c>
      <c r="E271" s="233" t="s">
        <v>55</v>
      </c>
      <c r="F271" s="233" t="s">
        <v>55</v>
      </c>
      <c r="G271" s="233" t="s">
        <v>55</v>
      </c>
      <c r="H271" s="233" t="s">
        <v>55</v>
      </c>
      <c r="I271" s="233" t="s">
        <v>55</v>
      </c>
      <c r="J271" s="233" t="s">
        <v>55</v>
      </c>
      <c r="K271" s="233" t="s">
        <v>55</v>
      </c>
      <c r="L271" s="233" t="s">
        <v>55</v>
      </c>
      <c r="M271" s="233" t="s">
        <v>55</v>
      </c>
      <c r="N271" s="217" t="s">
        <v>55</v>
      </c>
      <c r="O271" s="218" t="s">
        <v>55</v>
      </c>
      <c r="P271" s="400" t="s">
        <v>55</v>
      </c>
      <c r="Q271" s="400" t="s">
        <v>55</v>
      </c>
      <c r="R271" s="218" t="s">
        <v>55</v>
      </c>
      <c r="S271" s="233" t="s">
        <v>55</v>
      </c>
      <c r="T271" s="250" t="s">
        <v>55</v>
      </c>
      <c r="Y271" s="206"/>
      <c r="Z271" s="206"/>
    </row>
    <row r="272" spans="2:29" ht="27" customHeight="1" x14ac:dyDescent="0.25">
      <c r="B272" s="607" t="s">
        <v>142</v>
      </c>
      <c r="C272" s="613" t="s">
        <v>143</v>
      </c>
      <c r="D272" s="233" t="s">
        <v>55</v>
      </c>
      <c r="E272" s="233" t="s">
        <v>55</v>
      </c>
      <c r="F272" s="214">
        <v>12</v>
      </c>
      <c r="G272" s="233" t="s">
        <v>55</v>
      </c>
      <c r="H272" s="234">
        <v>61.7</v>
      </c>
      <c r="I272" s="235">
        <v>3.86</v>
      </c>
      <c r="J272" s="215">
        <f>H272*I272</f>
        <v>238.16200000000001</v>
      </c>
      <c r="K272" s="216" t="s">
        <v>559</v>
      </c>
      <c r="L272" s="233" t="s">
        <v>55</v>
      </c>
      <c r="M272" s="233" t="s">
        <v>55</v>
      </c>
      <c r="N272" s="215">
        <f>60*F272</f>
        <v>720</v>
      </c>
      <c r="O272" s="220">
        <f>60*F272</f>
        <v>720</v>
      </c>
      <c r="P272" s="356">
        <f>N272/J272</f>
        <v>3.0231523080928109</v>
      </c>
      <c r="Q272" s="356">
        <f>O272/J272</f>
        <v>3.0231523080928109</v>
      </c>
      <c r="R272" s="218" t="s">
        <v>55</v>
      </c>
      <c r="S272" s="519" t="s">
        <v>17</v>
      </c>
      <c r="T272" s="609" t="s">
        <v>18</v>
      </c>
      <c r="Y272" s="206"/>
      <c r="Z272" s="206" t="s">
        <v>556</v>
      </c>
      <c r="AA272" s="245" t="s">
        <v>144</v>
      </c>
      <c r="AB272" s="246" t="s">
        <v>143</v>
      </c>
      <c r="AC272" s="252">
        <v>8</v>
      </c>
    </row>
    <row r="273" spans="2:29" ht="25.5" customHeight="1" x14ac:dyDescent="0.25">
      <c r="B273" s="607" t="s">
        <v>145</v>
      </c>
      <c r="C273" s="613" t="s">
        <v>146</v>
      </c>
      <c r="D273" s="233" t="s">
        <v>55</v>
      </c>
      <c r="E273" s="233" t="s">
        <v>55</v>
      </c>
      <c r="F273" s="214">
        <v>8</v>
      </c>
      <c r="G273" s="233" t="s">
        <v>55</v>
      </c>
      <c r="H273" s="234">
        <v>47.8</v>
      </c>
      <c r="I273" s="235">
        <v>3.86</v>
      </c>
      <c r="J273" s="215">
        <f>H273*I273</f>
        <v>184.50799999999998</v>
      </c>
      <c r="K273" s="216" t="s">
        <v>559</v>
      </c>
      <c r="L273" s="233" t="s">
        <v>55</v>
      </c>
      <c r="M273" s="233" t="s">
        <v>55</v>
      </c>
      <c r="N273" s="215">
        <f>60*F273</f>
        <v>480</v>
      </c>
      <c r="O273" s="220">
        <f>60*F273</f>
        <v>480</v>
      </c>
      <c r="P273" s="356">
        <f>N273/J273</f>
        <v>2.6015132135191972</v>
      </c>
      <c r="Q273" s="356">
        <f>O273/J273</f>
        <v>2.6015132135191972</v>
      </c>
      <c r="R273" s="218" t="s">
        <v>55</v>
      </c>
      <c r="S273" s="519" t="s">
        <v>17</v>
      </c>
      <c r="T273" s="609" t="s">
        <v>18</v>
      </c>
      <c r="Y273" s="206"/>
      <c r="Z273" s="206"/>
      <c r="AA273" s="245" t="s">
        <v>147</v>
      </c>
      <c r="AB273" s="274" t="s">
        <v>146</v>
      </c>
      <c r="AC273" s="252">
        <v>8</v>
      </c>
    </row>
    <row r="274" spans="2:29" ht="46.5" customHeight="1" x14ac:dyDescent="0.25">
      <c r="B274" s="607" t="s">
        <v>668</v>
      </c>
      <c r="C274" s="613" t="s">
        <v>148</v>
      </c>
      <c r="D274" s="233" t="s">
        <v>55</v>
      </c>
      <c r="E274" s="233" t="s">
        <v>55</v>
      </c>
      <c r="F274" s="214">
        <v>1</v>
      </c>
      <c r="G274" s="260">
        <v>1</v>
      </c>
      <c r="H274" s="276">
        <v>20</v>
      </c>
      <c r="I274" s="235">
        <v>3.86</v>
      </c>
      <c r="J274" s="215">
        <f>H274*I274</f>
        <v>77.2</v>
      </c>
      <c r="K274" s="216" t="s">
        <v>670</v>
      </c>
      <c r="L274" s="233" t="s">
        <v>55</v>
      </c>
      <c r="M274" s="233" t="s">
        <v>55</v>
      </c>
      <c r="N274" s="215">
        <f>60*F274+20*G274</f>
        <v>80</v>
      </c>
      <c r="O274" s="220">
        <f>60*F274+20*G274</f>
        <v>80</v>
      </c>
      <c r="P274" s="356">
        <f>N274/J274</f>
        <v>1.0362694300518134</v>
      </c>
      <c r="Q274" s="356">
        <f>O274/J274</f>
        <v>1.0362694300518134</v>
      </c>
      <c r="R274" s="218" t="s">
        <v>55</v>
      </c>
      <c r="S274" s="519" t="s">
        <v>17</v>
      </c>
      <c r="T274" s="609" t="s">
        <v>18</v>
      </c>
      <c r="Y274" s="206"/>
      <c r="Z274" s="261">
        <v>1</v>
      </c>
      <c r="AA274" s="245" t="s">
        <v>149</v>
      </c>
      <c r="AB274" s="246" t="s">
        <v>148</v>
      </c>
      <c r="AC274" s="252">
        <v>1</v>
      </c>
    </row>
    <row r="275" spans="2:29" ht="15.75" customHeight="1" thickBot="1" x14ac:dyDescent="0.3">
      <c r="B275" s="614"/>
      <c r="C275" s="615"/>
      <c r="D275" s="616" t="s">
        <v>508</v>
      </c>
      <c r="E275" s="617"/>
      <c r="F275" s="618">
        <f>SUM(F219:F274)</f>
        <v>168</v>
      </c>
      <c r="G275" s="618">
        <f>SUM(G219:G274)</f>
        <v>56</v>
      </c>
      <c r="H275" s="619"/>
      <c r="I275" s="620"/>
      <c r="J275" s="620"/>
      <c r="K275" s="621"/>
      <c r="L275" s="621"/>
      <c r="M275" s="618" t="s">
        <v>557</v>
      </c>
      <c r="N275" s="622">
        <f>SUM(N218:N219,N222:N232,N235:N254,N256:N274)</f>
        <v>12830</v>
      </c>
      <c r="O275" s="623">
        <f>SUM(O218:O220,O223:O232,O234:O255,O256:O274)</f>
        <v>12830</v>
      </c>
      <c r="P275" s="624"/>
      <c r="Q275" s="625"/>
      <c r="R275" s="625"/>
      <c r="S275" s="618"/>
      <c r="T275" s="626"/>
      <c r="Y275" s="206"/>
      <c r="Z275" s="206"/>
      <c r="AA275" s="207">
        <v>12780</v>
      </c>
    </row>
    <row r="276" spans="2:29" ht="17.25" customHeight="1" thickBot="1" x14ac:dyDescent="0.3">
      <c r="B276" s="601" t="s">
        <v>150</v>
      </c>
      <c r="C276" s="602"/>
      <c r="D276" s="602"/>
      <c r="E276" s="602"/>
      <c r="F276" s="602"/>
      <c r="G276" s="602"/>
      <c r="H276" s="602"/>
      <c r="I276" s="602"/>
      <c r="J276" s="602"/>
      <c r="K276" s="602"/>
      <c r="L276" s="602"/>
      <c r="M276" s="602"/>
      <c r="N276" s="602"/>
      <c r="O276" s="602"/>
      <c r="P276" s="602"/>
      <c r="Q276" s="602"/>
      <c r="R276" s="602"/>
      <c r="S276" s="602"/>
      <c r="T276" s="603"/>
      <c r="Y276" s="206"/>
      <c r="Z276" s="206"/>
      <c r="AA276" s="251">
        <f>N275-O275</f>
        <v>0</v>
      </c>
    </row>
    <row r="277" spans="2:29" ht="17.25" customHeight="1" x14ac:dyDescent="0.25">
      <c r="B277" s="604" t="s">
        <v>151</v>
      </c>
      <c r="C277" s="509" t="s">
        <v>16</v>
      </c>
      <c r="D277" s="284" t="s">
        <v>55</v>
      </c>
      <c r="E277" s="284" t="s">
        <v>55</v>
      </c>
      <c r="F277" s="284" t="s">
        <v>55</v>
      </c>
      <c r="G277" s="284" t="s">
        <v>55</v>
      </c>
      <c r="H277" s="294">
        <v>361.4</v>
      </c>
      <c r="I277" s="285">
        <v>3.855</v>
      </c>
      <c r="J277" s="210">
        <f t="shared" ref="J277:J285" si="160">H277*I277</f>
        <v>1393.1969999999999</v>
      </c>
      <c r="K277" s="295"/>
      <c r="L277" s="295"/>
      <c r="M277" s="284" t="s">
        <v>55</v>
      </c>
      <c r="N277" s="210">
        <f>1590+O285</f>
        <v>1630</v>
      </c>
      <c r="O277" s="287" t="s">
        <v>55</v>
      </c>
      <c r="P277" s="388">
        <f>N277/J277</f>
        <v>1.1699709373476974</v>
      </c>
      <c r="Q277" s="388" t="s">
        <v>55</v>
      </c>
      <c r="R277" s="213" t="s">
        <v>55</v>
      </c>
      <c r="S277" s="605" t="s">
        <v>152</v>
      </c>
      <c r="T277" s="446" t="s">
        <v>55</v>
      </c>
      <c r="Y277" s="206"/>
      <c r="Z277" s="206"/>
    </row>
    <row r="278" spans="2:29" ht="17.25" customHeight="1" x14ac:dyDescent="0.25">
      <c r="B278" s="607"/>
      <c r="C278" s="515" t="s">
        <v>589</v>
      </c>
      <c r="D278" s="233" t="s">
        <v>55</v>
      </c>
      <c r="E278" s="233" t="s">
        <v>55</v>
      </c>
      <c r="F278" s="224" t="s">
        <v>55</v>
      </c>
      <c r="G278" s="224" t="s">
        <v>55</v>
      </c>
      <c r="H278" s="224" t="s">
        <v>55</v>
      </c>
      <c r="I278" s="224" t="s">
        <v>55</v>
      </c>
      <c r="J278" s="224" t="s">
        <v>55</v>
      </c>
      <c r="K278" s="224" t="s">
        <v>55</v>
      </c>
      <c r="L278" s="224" t="s">
        <v>55</v>
      </c>
      <c r="M278" s="224" t="s">
        <v>55</v>
      </c>
      <c r="N278" s="240" t="s">
        <v>55</v>
      </c>
      <c r="O278" s="241">
        <v>1590</v>
      </c>
      <c r="P278" s="406" t="s">
        <v>55</v>
      </c>
      <c r="Q278" s="406" t="s">
        <v>55</v>
      </c>
      <c r="R278" s="240" t="s">
        <v>55</v>
      </c>
      <c r="S278" s="543"/>
      <c r="T278" s="544" t="s">
        <v>590</v>
      </c>
      <c r="Y278" s="206"/>
      <c r="Z278" s="206"/>
    </row>
    <row r="279" spans="2:29" ht="22.5" customHeight="1" x14ac:dyDescent="0.25">
      <c r="B279" s="607" t="s">
        <v>116</v>
      </c>
      <c r="C279" s="518" t="s">
        <v>115</v>
      </c>
      <c r="D279" s="233" t="s">
        <v>55</v>
      </c>
      <c r="E279" s="233" t="s">
        <v>55</v>
      </c>
      <c r="F279" s="277">
        <v>4</v>
      </c>
      <c r="G279" s="233" t="s">
        <v>55</v>
      </c>
      <c r="H279" s="611">
        <v>24</v>
      </c>
      <c r="I279" s="235">
        <v>3.86</v>
      </c>
      <c r="J279" s="215">
        <f t="shared" si="160"/>
        <v>92.64</v>
      </c>
      <c r="K279" s="216" t="s">
        <v>559</v>
      </c>
      <c r="L279" s="233" t="s">
        <v>55</v>
      </c>
      <c r="M279" s="233" t="s">
        <v>55</v>
      </c>
      <c r="N279" s="215">
        <f>60*F279</f>
        <v>240</v>
      </c>
      <c r="O279" s="220">
        <f>60*F279</f>
        <v>240</v>
      </c>
      <c r="P279" s="356">
        <f t="shared" ref="P279:P284" si="161">N279/J279</f>
        <v>2.5906735751295336</v>
      </c>
      <c r="Q279" s="356">
        <f t="shared" ref="Q279:Q284" si="162">O279/J279</f>
        <v>2.5906735751295336</v>
      </c>
      <c r="R279" s="218" t="s">
        <v>55</v>
      </c>
      <c r="S279" s="608" t="s">
        <v>152</v>
      </c>
      <c r="T279" s="520" t="s">
        <v>140</v>
      </c>
      <c r="Y279" s="206"/>
      <c r="Z279" s="206"/>
    </row>
    <row r="280" spans="2:29" ht="21.75" customHeight="1" x14ac:dyDescent="0.25">
      <c r="B280" s="607" t="s">
        <v>119</v>
      </c>
      <c r="C280" s="518" t="s">
        <v>118</v>
      </c>
      <c r="D280" s="233" t="s">
        <v>55</v>
      </c>
      <c r="E280" s="233" t="s">
        <v>55</v>
      </c>
      <c r="F280" s="214">
        <v>4</v>
      </c>
      <c r="G280" s="233" t="s">
        <v>55</v>
      </c>
      <c r="H280" s="611">
        <v>25.8</v>
      </c>
      <c r="I280" s="235">
        <v>3.86</v>
      </c>
      <c r="J280" s="215">
        <f t="shared" si="160"/>
        <v>99.587999999999994</v>
      </c>
      <c r="K280" s="216" t="s">
        <v>559</v>
      </c>
      <c r="L280" s="233" t="s">
        <v>55</v>
      </c>
      <c r="M280" s="233" t="s">
        <v>55</v>
      </c>
      <c r="N280" s="215">
        <f>60*F280</f>
        <v>240</v>
      </c>
      <c r="O280" s="220">
        <f>60*F280</f>
        <v>240</v>
      </c>
      <c r="P280" s="356">
        <f t="shared" si="161"/>
        <v>2.4099289070972407</v>
      </c>
      <c r="Q280" s="356">
        <f t="shared" si="162"/>
        <v>2.4099289070972407</v>
      </c>
      <c r="R280" s="218" t="s">
        <v>55</v>
      </c>
      <c r="S280" s="608" t="s">
        <v>152</v>
      </c>
      <c r="T280" s="520" t="s">
        <v>140</v>
      </c>
      <c r="Y280" s="206"/>
      <c r="Z280" s="206"/>
    </row>
    <row r="281" spans="2:29" ht="45" customHeight="1" x14ac:dyDescent="0.25">
      <c r="B281" s="607" t="s">
        <v>122</v>
      </c>
      <c r="C281" s="518" t="s">
        <v>121</v>
      </c>
      <c r="D281" s="233" t="s">
        <v>55</v>
      </c>
      <c r="E281" s="233" t="s">
        <v>55</v>
      </c>
      <c r="F281" s="214">
        <v>1</v>
      </c>
      <c r="G281" s="260">
        <v>1</v>
      </c>
      <c r="H281" s="611">
        <v>14.8</v>
      </c>
      <c r="I281" s="235">
        <v>3.86</v>
      </c>
      <c r="J281" s="215">
        <f t="shared" si="160"/>
        <v>57.128</v>
      </c>
      <c r="K281" s="216" t="s">
        <v>670</v>
      </c>
      <c r="L281" s="233" t="s">
        <v>55</v>
      </c>
      <c r="M281" s="233" t="s">
        <v>55</v>
      </c>
      <c r="N281" s="215">
        <f>60*F281+20*G281</f>
        <v>80</v>
      </c>
      <c r="O281" s="220">
        <f>60*F281+20*G281</f>
        <v>80</v>
      </c>
      <c r="P281" s="356">
        <f t="shared" si="161"/>
        <v>1.4003640946646128</v>
      </c>
      <c r="Q281" s="356">
        <f t="shared" si="162"/>
        <v>1.4003640946646128</v>
      </c>
      <c r="R281" s="218" t="s">
        <v>55</v>
      </c>
      <c r="S281" s="608" t="s">
        <v>152</v>
      </c>
      <c r="T281" s="520" t="s">
        <v>140</v>
      </c>
      <c r="Y281" s="206"/>
      <c r="Z281" s="261"/>
    </row>
    <row r="282" spans="2:29" ht="17.25" customHeight="1" x14ac:dyDescent="0.25">
      <c r="B282" s="627">
        <v>9.1999999999999993</v>
      </c>
      <c r="C282" s="518" t="s">
        <v>95</v>
      </c>
      <c r="D282" s="233" t="s">
        <v>55</v>
      </c>
      <c r="E282" s="233" t="s">
        <v>55</v>
      </c>
      <c r="F282" s="233" t="s">
        <v>55</v>
      </c>
      <c r="G282" s="233" t="s">
        <v>55</v>
      </c>
      <c r="H282" s="611">
        <v>17.5</v>
      </c>
      <c r="I282" s="235">
        <v>3.86</v>
      </c>
      <c r="J282" s="215">
        <f t="shared" si="160"/>
        <v>67.55</v>
      </c>
      <c r="K282" s="233" t="s">
        <v>55</v>
      </c>
      <c r="L282" s="237">
        <v>1</v>
      </c>
      <c r="M282" s="233" t="s">
        <v>55</v>
      </c>
      <c r="N282" s="215" t="s">
        <v>55</v>
      </c>
      <c r="O282" s="220">
        <f>CEILING((J282*L282),10)</f>
        <v>70</v>
      </c>
      <c r="P282" s="356" t="s">
        <v>55</v>
      </c>
      <c r="Q282" s="356">
        <f t="shared" si="162"/>
        <v>1.0362694300518136</v>
      </c>
      <c r="R282" s="218" t="s">
        <v>55</v>
      </c>
      <c r="S282" s="608"/>
      <c r="T282" s="520" t="s">
        <v>140</v>
      </c>
      <c r="Y282" s="206"/>
      <c r="Z282" s="206"/>
    </row>
    <row r="283" spans="2:29" ht="17.25" customHeight="1" x14ac:dyDescent="0.25">
      <c r="B283" s="628">
        <v>9.23</v>
      </c>
      <c r="C283" s="518" t="s">
        <v>20</v>
      </c>
      <c r="D283" s="233" t="s">
        <v>55</v>
      </c>
      <c r="E283" s="233" t="s">
        <v>55</v>
      </c>
      <c r="F283" s="233" t="s">
        <v>55</v>
      </c>
      <c r="G283" s="218">
        <v>5</v>
      </c>
      <c r="H283" s="611">
        <v>12.2</v>
      </c>
      <c r="I283" s="235">
        <v>3.86</v>
      </c>
      <c r="J283" s="215">
        <f t="shared" si="160"/>
        <v>47.091999999999999</v>
      </c>
      <c r="K283" s="237" t="s">
        <v>21</v>
      </c>
      <c r="L283" s="233" t="s">
        <v>55</v>
      </c>
      <c r="M283" s="233" t="s">
        <v>55</v>
      </c>
      <c r="N283" s="215">
        <f>20*G283</f>
        <v>100</v>
      </c>
      <c r="O283" s="220">
        <f>20*G283</f>
        <v>100</v>
      </c>
      <c r="P283" s="356">
        <f t="shared" si="161"/>
        <v>2.1235029304340443</v>
      </c>
      <c r="Q283" s="356">
        <f t="shared" si="162"/>
        <v>2.1235029304340443</v>
      </c>
      <c r="R283" s="218" t="s">
        <v>55</v>
      </c>
      <c r="S283" s="608" t="s">
        <v>152</v>
      </c>
      <c r="T283" s="520" t="s">
        <v>140</v>
      </c>
      <c r="Y283" s="206"/>
      <c r="Z283" s="206"/>
    </row>
    <row r="284" spans="2:29" ht="17.25" customHeight="1" x14ac:dyDescent="0.25">
      <c r="B284" s="628">
        <v>9.24</v>
      </c>
      <c r="C284" s="518" t="s">
        <v>20</v>
      </c>
      <c r="D284" s="233" t="s">
        <v>55</v>
      </c>
      <c r="E284" s="233" t="s">
        <v>55</v>
      </c>
      <c r="F284" s="233" t="s">
        <v>55</v>
      </c>
      <c r="G284" s="218">
        <v>5</v>
      </c>
      <c r="H284" s="611">
        <v>21.7</v>
      </c>
      <c r="I284" s="235">
        <v>3.86</v>
      </c>
      <c r="J284" s="215">
        <f t="shared" si="160"/>
        <v>83.762</v>
      </c>
      <c r="K284" s="237" t="s">
        <v>21</v>
      </c>
      <c r="L284" s="233" t="s">
        <v>55</v>
      </c>
      <c r="M284" s="233" t="s">
        <v>55</v>
      </c>
      <c r="N284" s="215">
        <f>20*G284</f>
        <v>100</v>
      </c>
      <c r="O284" s="220">
        <f>20*G284</f>
        <v>100</v>
      </c>
      <c r="P284" s="356">
        <f t="shared" si="161"/>
        <v>1.1938587903822735</v>
      </c>
      <c r="Q284" s="356">
        <f t="shared" si="162"/>
        <v>1.1938587903822735</v>
      </c>
      <c r="R284" s="218" t="s">
        <v>55</v>
      </c>
      <c r="S284" s="608" t="s">
        <v>152</v>
      </c>
      <c r="T284" s="520" t="s">
        <v>140</v>
      </c>
      <c r="Y284" s="206"/>
      <c r="Z284" s="206"/>
    </row>
    <row r="285" spans="2:29" ht="17.25" customHeight="1" x14ac:dyDescent="0.25">
      <c r="B285" s="628">
        <v>9.26</v>
      </c>
      <c r="C285" s="518" t="s">
        <v>139</v>
      </c>
      <c r="D285" s="233" t="s">
        <v>560</v>
      </c>
      <c r="E285" s="233" t="s">
        <v>55</v>
      </c>
      <c r="F285" s="233" t="s">
        <v>55</v>
      </c>
      <c r="G285" s="218" t="s">
        <v>55</v>
      </c>
      <c r="H285" s="611">
        <v>8.1999999999999993</v>
      </c>
      <c r="I285" s="235">
        <v>3.86</v>
      </c>
      <c r="J285" s="215">
        <f t="shared" si="160"/>
        <v>31.651999999999997</v>
      </c>
      <c r="K285" s="233" t="s">
        <v>55</v>
      </c>
      <c r="L285" s="237">
        <v>1</v>
      </c>
      <c r="M285" s="233" t="s">
        <v>55</v>
      </c>
      <c r="N285" s="215" t="s">
        <v>55</v>
      </c>
      <c r="O285" s="220">
        <f>CEILING((J285*L285),10)</f>
        <v>40</v>
      </c>
      <c r="P285" s="356" t="s">
        <v>55</v>
      </c>
      <c r="Q285" s="356">
        <f>O285/J285</f>
        <v>1.2637432073802604</v>
      </c>
      <c r="R285" s="218" t="s">
        <v>55</v>
      </c>
      <c r="S285" s="608"/>
      <c r="T285" s="520" t="s">
        <v>140</v>
      </c>
      <c r="Y285" s="206"/>
      <c r="Z285" s="206"/>
    </row>
    <row r="286" spans="2:29" ht="17.25" customHeight="1" x14ac:dyDescent="0.25">
      <c r="B286" s="628"/>
      <c r="C286" s="518" t="s">
        <v>141</v>
      </c>
      <c r="D286" s="233" t="s">
        <v>55</v>
      </c>
      <c r="E286" s="233" t="s">
        <v>55</v>
      </c>
      <c r="F286" s="233" t="s">
        <v>55</v>
      </c>
      <c r="G286" s="218" t="s">
        <v>55</v>
      </c>
      <c r="H286" s="233" t="s">
        <v>55</v>
      </c>
      <c r="I286" s="233" t="s">
        <v>55</v>
      </c>
      <c r="J286" s="233" t="s">
        <v>55</v>
      </c>
      <c r="K286" s="233" t="s">
        <v>55</v>
      </c>
      <c r="L286" s="233" t="s">
        <v>55</v>
      </c>
      <c r="M286" s="233" t="s">
        <v>55</v>
      </c>
      <c r="N286" s="217" t="s">
        <v>55</v>
      </c>
      <c r="O286" s="218" t="s">
        <v>55</v>
      </c>
      <c r="P286" s="400" t="s">
        <v>55</v>
      </c>
      <c r="Q286" s="400" t="s">
        <v>55</v>
      </c>
      <c r="R286" s="218" t="s">
        <v>55</v>
      </c>
      <c r="S286" s="233" t="s">
        <v>55</v>
      </c>
      <c r="T286" s="520"/>
      <c r="Y286" s="206"/>
      <c r="Z286" s="206"/>
    </row>
    <row r="287" spans="2:29" ht="17.25" customHeight="1" x14ac:dyDescent="0.25">
      <c r="B287" s="629">
        <v>9.27</v>
      </c>
      <c r="C287" s="518" t="s">
        <v>20</v>
      </c>
      <c r="D287" s="233" t="s">
        <v>55</v>
      </c>
      <c r="E287" s="233" t="s">
        <v>55</v>
      </c>
      <c r="F287" s="214"/>
      <c r="G287" s="218">
        <v>5</v>
      </c>
      <c r="H287" s="611">
        <v>12.5</v>
      </c>
      <c r="I287" s="235">
        <v>3.86</v>
      </c>
      <c r="J287" s="215">
        <f t="shared" ref="J287:J292" si="163">H287*I287</f>
        <v>48.25</v>
      </c>
      <c r="K287" s="237" t="s">
        <v>21</v>
      </c>
      <c r="L287" s="233" t="s">
        <v>55</v>
      </c>
      <c r="M287" s="233" t="s">
        <v>55</v>
      </c>
      <c r="N287" s="215">
        <f>20*G287</f>
        <v>100</v>
      </c>
      <c r="O287" s="220">
        <f>20*G287</f>
        <v>100</v>
      </c>
      <c r="P287" s="356">
        <f>N287/J287</f>
        <v>2.0725388601036268</v>
      </c>
      <c r="Q287" s="356">
        <f>O287/J287</f>
        <v>2.0725388601036268</v>
      </c>
      <c r="R287" s="218" t="s">
        <v>55</v>
      </c>
      <c r="S287" s="608" t="s">
        <v>152</v>
      </c>
      <c r="T287" s="520" t="s">
        <v>140</v>
      </c>
      <c r="Y287" s="206"/>
      <c r="Z287" s="206"/>
    </row>
    <row r="288" spans="2:29" ht="46.5" customHeight="1" x14ac:dyDescent="0.25">
      <c r="B288" s="607" t="s">
        <v>24</v>
      </c>
      <c r="C288" s="518" t="s">
        <v>23</v>
      </c>
      <c r="D288" s="233" t="s">
        <v>55</v>
      </c>
      <c r="E288" s="233" t="s">
        <v>55</v>
      </c>
      <c r="F288" s="214">
        <v>1</v>
      </c>
      <c r="G288" s="218">
        <v>3</v>
      </c>
      <c r="H288" s="611">
        <v>31.8</v>
      </c>
      <c r="I288" s="235">
        <v>3.86</v>
      </c>
      <c r="J288" s="215">
        <f t="shared" si="163"/>
        <v>122.748</v>
      </c>
      <c r="K288" s="216" t="s">
        <v>670</v>
      </c>
      <c r="L288" s="233" t="s">
        <v>55</v>
      </c>
      <c r="M288" s="233" t="s">
        <v>55</v>
      </c>
      <c r="N288" s="215">
        <f>60*F288+20*G288</f>
        <v>120</v>
      </c>
      <c r="O288" s="220">
        <f>60*F288+20*G288</f>
        <v>120</v>
      </c>
      <c r="P288" s="356">
        <f>N288/J288</f>
        <v>0.97761266986020134</v>
      </c>
      <c r="Q288" s="356">
        <f>O288/J288</f>
        <v>0.97761266986020134</v>
      </c>
      <c r="R288" s="218" t="s">
        <v>55</v>
      </c>
      <c r="S288" s="608" t="s">
        <v>152</v>
      </c>
      <c r="T288" s="520" t="s">
        <v>140</v>
      </c>
      <c r="Y288" s="206"/>
      <c r="Z288" s="261"/>
    </row>
    <row r="289" spans="2:26" ht="17.25" customHeight="1" x14ac:dyDescent="0.25">
      <c r="B289" s="628">
        <v>9.3000000000000007</v>
      </c>
      <c r="C289" s="518" t="s">
        <v>101</v>
      </c>
      <c r="D289" s="233" t="s">
        <v>560</v>
      </c>
      <c r="E289" s="233" t="s">
        <v>55</v>
      </c>
      <c r="F289" s="214"/>
      <c r="G289" s="218" t="s">
        <v>55</v>
      </c>
      <c r="H289" s="611">
        <v>17.8</v>
      </c>
      <c r="I289" s="235">
        <v>3.86</v>
      </c>
      <c r="J289" s="215">
        <f t="shared" si="163"/>
        <v>68.707999999999998</v>
      </c>
      <c r="K289" s="237" t="s">
        <v>55</v>
      </c>
      <c r="L289" s="237">
        <v>1</v>
      </c>
      <c r="M289" s="233" t="s">
        <v>55</v>
      </c>
      <c r="N289" s="215" t="s">
        <v>55</v>
      </c>
      <c r="O289" s="220">
        <f>CEILING((J289*L289),10)</f>
        <v>70</v>
      </c>
      <c r="P289" s="356" t="s">
        <v>55</v>
      </c>
      <c r="Q289" s="356">
        <f>O289/J289</f>
        <v>1.0188042149385808</v>
      </c>
      <c r="R289" s="218" t="s">
        <v>55</v>
      </c>
      <c r="S289" s="608"/>
      <c r="T289" s="520" t="s">
        <v>140</v>
      </c>
      <c r="Y289" s="206"/>
      <c r="Z289" s="206"/>
    </row>
    <row r="290" spans="2:26" ht="23.25" customHeight="1" x14ac:dyDescent="0.25">
      <c r="B290" s="607" t="s">
        <v>27</v>
      </c>
      <c r="C290" s="518" t="s">
        <v>35</v>
      </c>
      <c r="D290" s="233" t="s">
        <v>55</v>
      </c>
      <c r="E290" s="233" t="s">
        <v>55</v>
      </c>
      <c r="F290" s="214">
        <v>8</v>
      </c>
      <c r="G290" s="218" t="s">
        <v>55</v>
      </c>
      <c r="H290" s="611">
        <v>49.1</v>
      </c>
      <c r="I290" s="235">
        <v>3.86</v>
      </c>
      <c r="J290" s="215">
        <f t="shared" si="163"/>
        <v>189.52600000000001</v>
      </c>
      <c r="K290" s="216" t="s">
        <v>559</v>
      </c>
      <c r="L290" s="233" t="s">
        <v>55</v>
      </c>
      <c r="M290" s="233" t="s">
        <v>55</v>
      </c>
      <c r="N290" s="215">
        <f>60*F290</f>
        <v>480</v>
      </c>
      <c r="O290" s="220">
        <f>60*F290</f>
        <v>480</v>
      </c>
      <c r="P290" s="356">
        <f>N290/J290</f>
        <v>2.532634044933149</v>
      </c>
      <c r="Q290" s="356">
        <f>O290/J290</f>
        <v>2.532634044933149</v>
      </c>
      <c r="R290" s="218" t="s">
        <v>55</v>
      </c>
      <c r="S290" s="608" t="s">
        <v>152</v>
      </c>
      <c r="T290" s="520" t="s">
        <v>140</v>
      </c>
      <c r="Y290" s="206"/>
      <c r="Z290" s="206"/>
    </row>
    <row r="291" spans="2:26" ht="17.25" customHeight="1" x14ac:dyDescent="0.25">
      <c r="B291" s="607"/>
      <c r="C291" s="518" t="s">
        <v>36</v>
      </c>
      <c r="D291" s="233" t="s">
        <v>55</v>
      </c>
      <c r="E291" s="233" t="s">
        <v>55</v>
      </c>
      <c r="F291" s="233" t="s">
        <v>55</v>
      </c>
      <c r="G291" s="218" t="s">
        <v>55</v>
      </c>
      <c r="H291" s="233" t="s">
        <v>55</v>
      </c>
      <c r="I291" s="233" t="s">
        <v>55</v>
      </c>
      <c r="J291" s="233" t="s">
        <v>55</v>
      </c>
      <c r="K291" s="233" t="s">
        <v>55</v>
      </c>
      <c r="L291" s="233" t="s">
        <v>55</v>
      </c>
      <c r="M291" s="233" t="s">
        <v>55</v>
      </c>
      <c r="N291" s="217" t="s">
        <v>55</v>
      </c>
      <c r="O291" s="218" t="s">
        <v>55</v>
      </c>
      <c r="P291" s="400" t="s">
        <v>55</v>
      </c>
      <c r="Q291" s="400" t="s">
        <v>55</v>
      </c>
      <c r="R291" s="218" t="s">
        <v>55</v>
      </c>
      <c r="S291" s="233" t="s">
        <v>55</v>
      </c>
      <c r="T291" s="250" t="s">
        <v>55</v>
      </c>
      <c r="Y291" s="206"/>
      <c r="Z291" s="206"/>
    </row>
    <row r="292" spans="2:26" ht="24" customHeight="1" x14ac:dyDescent="0.25">
      <c r="B292" s="607" t="s">
        <v>31</v>
      </c>
      <c r="C292" s="347" t="s">
        <v>30</v>
      </c>
      <c r="D292" s="233" t="s">
        <v>55</v>
      </c>
      <c r="E292" s="233" t="s">
        <v>55</v>
      </c>
      <c r="F292" s="278">
        <v>5</v>
      </c>
      <c r="G292" s="218" t="s">
        <v>55</v>
      </c>
      <c r="H292" s="630">
        <v>31.8</v>
      </c>
      <c r="I292" s="279">
        <v>3.86</v>
      </c>
      <c r="J292" s="280">
        <f t="shared" si="163"/>
        <v>122.748</v>
      </c>
      <c r="K292" s="216" t="s">
        <v>559</v>
      </c>
      <c r="L292" s="233" t="s">
        <v>55</v>
      </c>
      <c r="M292" s="233" t="s">
        <v>55</v>
      </c>
      <c r="N292" s="280">
        <f>60*F292</f>
        <v>300</v>
      </c>
      <c r="O292" s="281">
        <f>60*F292</f>
        <v>300</v>
      </c>
      <c r="P292" s="445">
        <f>N292/J292</f>
        <v>2.4440316746505033</v>
      </c>
      <c r="Q292" s="445">
        <f>O292/J292</f>
        <v>2.4440316746505033</v>
      </c>
      <c r="R292" s="218" t="s">
        <v>55</v>
      </c>
      <c r="S292" s="608" t="s">
        <v>152</v>
      </c>
      <c r="T292" s="520" t="s">
        <v>140</v>
      </c>
      <c r="Y292" s="206"/>
      <c r="Z292" s="206" t="s">
        <v>556</v>
      </c>
    </row>
    <row r="293" spans="2:26" ht="24" customHeight="1" x14ac:dyDescent="0.25">
      <c r="B293" s="628">
        <v>9.33</v>
      </c>
      <c r="C293" s="518" t="s">
        <v>78</v>
      </c>
      <c r="D293" s="233" t="s">
        <v>55</v>
      </c>
      <c r="E293" s="233" t="s">
        <v>55</v>
      </c>
      <c r="F293" s="277">
        <v>4</v>
      </c>
      <c r="G293" s="218" t="s">
        <v>55</v>
      </c>
      <c r="H293" s="611">
        <v>20.9</v>
      </c>
      <c r="I293" s="279">
        <v>3.86</v>
      </c>
      <c r="J293" s="280">
        <f>H293*I293</f>
        <v>80.673999999999992</v>
      </c>
      <c r="K293" s="216" t="s">
        <v>559</v>
      </c>
      <c r="L293" s="233" t="s">
        <v>55</v>
      </c>
      <c r="M293" s="233" t="s">
        <v>55</v>
      </c>
      <c r="N293" s="280">
        <f>60*F293</f>
        <v>240</v>
      </c>
      <c r="O293" s="281">
        <f>60*F293</f>
        <v>240</v>
      </c>
      <c r="P293" s="445">
        <f>N293/J293</f>
        <v>2.9749361628281727</v>
      </c>
      <c r="Q293" s="445">
        <f>O293/J293</f>
        <v>2.9749361628281727</v>
      </c>
      <c r="R293" s="218" t="s">
        <v>55</v>
      </c>
      <c r="S293" s="608" t="s">
        <v>152</v>
      </c>
      <c r="T293" s="520" t="s">
        <v>140</v>
      </c>
      <c r="Y293" s="206"/>
      <c r="Z293" s="206"/>
    </row>
    <row r="294" spans="2:26" ht="17.25" customHeight="1" x14ac:dyDescent="0.25">
      <c r="B294" s="628"/>
      <c r="C294" s="518" t="s">
        <v>79</v>
      </c>
      <c r="D294" s="233" t="s">
        <v>55</v>
      </c>
      <c r="E294" s="233" t="s">
        <v>55</v>
      </c>
      <c r="F294" s="233" t="s">
        <v>55</v>
      </c>
      <c r="G294" s="218" t="s">
        <v>55</v>
      </c>
      <c r="H294" s="233" t="s">
        <v>55</v>
      </c>
      <c r="I294" s="233" t="s">
        <v>55</v>
      </c>
      <c r="J294" s="233" t="s">
        <v>55</v>
      </c>
      <c r="K294" s="233" t="s">
        <v>55</v>
      </c>
      <c r="L294" s="233" t="s">
        <v>55</v>
      </c>
      <c r="M294" s="233" t="s">
        <v>55</v>
      </c>
      <c r="N294" s="217" t="s">
        <v>55</v>
      </c>
      <c r="O294" s="218" t="s">
        <v>55</v>
      </c>
      <c r="P294" s="400" t="s">
        <v>55</v>
      </c>
      <c r="Q294" s="400" t="s">
        <v>55</v>
      </c>
      <c r="R294" s="218" t="s">
        <v>55</v>
      </c>
      <c r="S294" s="233" t="s">
        <v>55</v>
      </c>
      <c r="T294" s="250" t="s">
        <v>55</v>
      </c>
      <c r="Y294" s="206"/>
      <c r="Z294" s="206"/>
    </row>
    <row r="295" spans="2:26" ht="17.25" customHeight="1" x14ac:dyDescent="0.25">
      <c r="B295" s="628">
        <v>9.34</v>
      </c>
      <c r="C295" s="518" t="s">
        <v>20</v>
      </c>
      <c r="D295" s="233" t="s">
        <v>55</v>
      </c>
      <c r="E295" s="233" t="s">
        <v>55</v>
      </c>
      <c r="F295" s="233" t="s">
        <v>55</v>
      </c>
      <c r="G295" s="580">
        <v>4</v>
      </c>
      <c r="H295" s="631">
        <v>10.4</v>
      </c>
      <c r="I295" s="279">
        <v>3.86</v>
      </c>
      <c r="J295" s="280">
        <f>H295*I295</f>
        <v>40.143999999999998</v>
      </c>
      <c r="K295" s="237" t="s">
        <v>21</v>
      </c>
      <c r="L295" s="233" t="s">
        <v>55</v>
      </c>
      <c r="M295" s="233" t="s">
        <v>55</v>
      </c>
      <c r="N295" s="215">
        <f>20*G295</f>
        <v>80</v>
      </c>
      <c r="O295" s="220">
        <f>20*G295</f>
        <v>80</v>
      </c>
      <c r="P295" s="356">
        <f>N295/J295</f>
        <v>1.9928258270227184</v>
      </c>
      <c r="Q295" s="356">
        <f>O295/J295</f>
        <v>1.9928258270227184</v>
      </c>
      <c r="R295" s="218" t="s">
        <v>55</v>
      </c>
      <c r="S295" s="608" t="s">
        <v>152</v>
      </c>
      <c r="T295" s="520" t="s">
        <v>140</v>
      </c>
      <c r="Y295" s="206"/>
      <c r="Z295" s="206"/>
    </row>
    <row r="296" spans="2:26" ht="17.25" customHeight="1" x14ac:dyDescent="0.25">
      <c r="B296" s="628">
        <v>9.35</v>
      </c>
      <c r="C296" s="518" t="s">
        <v>20</v>
      </c>
      <c r="D296" s="233" t="s">
        <v>55</v>
      </c>
      <c r="E296" s="233" t="s">
        <v>55</v>
      </c>
      <c r="F296" s="233" t="s">
        <v>55</v>
      </c>
      <c r="G296" s="218">
        <v>10</v>
      </c>
      <c r="H296" s="234">
        <v>19.7</v>
      </c>
      <c r="I296" s="279">
        <v>3.86</v>
      </c>
      <c r="J296" s="280">
        <f>H296*I296</f>
        <v>76.042000000000002</v>
      </c>
      <c r="K296" s="237" t="s">
        <v>21</v>
      </c>
      <c r="L296" s="233" t="s">
        <v>55</v>
      </c>
      <c r="M296" s="233" t="s">
        <v>55</v>
      </c>
      <c r="N296" s="215">
        <f>20*G296</f>
        <v>200</v>
      </c>
      <c r="O296" s="220">
        <f>20*G296</f>
        <v>200</v>
      </c>
      <c r="P296" s="356">
        <f>N296/J296</f>
        <v>2.630125456984298</v>
      </c>
      <c r="Q296" s="356">
        <f>O296/J296</f>
        <v>2.630125456984298</v>
      </c>
      <c r="R296" s="218" t="s">
        <v>55</v>
      </c>
      <c r="S296" s="608" t="s">
        <v>152</v>
      </c>
      <c r="T296" s="520" t="s">
        <v>140</v>
      </c>
      <c r="Y296" s="206"/>
      <c r="Z296" s="206"/>
    </row>
    <row r="297" spans="2:26" ht="17.25" customHeight="1" x14ac:dyDescent="0.25">
      <c r="B297" s="628">
        <v>9.39</v>
      </c>
      <c r="C297" s="518" t="s">
        <v>54</v>
      </c>
      <c r="D297" s="233" t="s">
        <v>303</v>
      </c>
      <c r="E297" s="233" t="s">
        <v>55</v>
      </c>
      <c r="F297" s="233" t="s">
        <v>55</v>
      </c>
      <c r="G297" s="218" t="s">
        <v>55</v>
      </c>
      <c r="H297" s="611">
        <v>11.3</v>
      </c>
      <c r="I297" s="235">
        <v>3.86</v>
      </c>
      <c r="J297" s="215">
        <f>H297*I297</f>
        <v>43.618000000000002</v>
      </c>
      <c r="K297" s="237"/>
      <c r="L297" s="237">
        <v>1</v>
      </c>
      <c r="M297" s="233" t="s">
        <v>55</v>
      </c>
      <c r="N297" s="215">
        <f>CEILING((J297*K297),10)</f>
        <v>0</v>
      </c>
      <c r="O297" s="220">
        <f>CEILING((J297*L297),10)</f>
        <v>50</v>
      </c>
      <c r="P297" s="356">
        <f>N297/J297</f>
        <v>0</v>
      </c>
      <c r="Q297" s="356">
        <f>O297/J297</f>
        <v>1.1463157412077583</v>
      </c>
      <c r="R297" s="218" t="s">
        <v>55</v>
      </c>
      <c r="S297" s="608"/>
      <c r="T297" s="520" t="s">
        <v>140</v>
      </c>
      <c r="Y297" s="206"/>
      <c r="Z297" s="206"/>
    </row>
    <row r="298" spans="2:26" ht="24.75" customHeight="1" x14ac:dyDescent="0.25">
      <c r="B298" s="607" t="s">
        <v>39</v>
      </c>
      <c r="C298" s="518" t="s">
        <v>40</v>
      </c>
      <c r="D298" s="233" t="s">
        <v>55</v>
      </c>
      <c r="E298" s="233" t="s">
        <v>55</v>
      </c>
      <c r="F298" s="214">
        <v>8</v>
      </c>
      <c r="G298" s="218" t="s">
        <v>55</v>
      </c>
      <c r="H298" s="234">
        <v>48.3</v>
      </c>
      <c r="I298" s="235">
        <v>3.86</v>
      </c>
      <c r="J298" s="215">
        <f>H298*I298</f>
        <v>186.43799999999999</v>
      </c>
      <c r="K298" s="216" t="s">
        <v>559</v>
      </c>
      <c r="L298" s="233" t="s">
        <v>55</v>
      </c>
      <c r="M298" s="233" t="s">
        <v>55</v>
      </c>
      <c r="N298" s="215">
        <f>60*F298</f>
        <v>480</v>
      </c>
      <c r="O298" s="220">
        <f>60*F298-O297</f>
        <v>430</v>
      </c>
      <c r="P298" s="356">
        <f>N298/J298</f>
        <v>2.574582434911338</v>
      </c>
      <c r="Q298" s="356">
        <f>O298/J298</f>
        <v>2.3063967646080736</v>
      </c>
      <c r="R298" s="218" t="s">
        <v>55</v>
      </c>
      <c r="S298" s="608" t="s">
        <v>152</v>
      </c>
      <c r="T298" s="520" t="s">
        <v>140</v>
      </c>
      <c r="Y298" s="206"/>
      <c r="Z298" s="206" t="s">
        <v>556</v>
      </c>
    </row>
    <row r="299" spans="2:26" ht="17.25" customHeight="1" x14ac:dyDescent="0.25">
      <c r="B299" s="607"/>
      <c r="C299" s="518" t="s">
        <v>42</v>
      </c>
      <c r="D299" s="233" t="s">
        <v>55</v>
      </c>
      <c r="E299" s="233" t="s">
        <v>55</v>
      </c>
      <c r="F299" s="233" t="s">
        <v>55</v>
      </c>
      <c r="G299" s="218" t="s">
        <v>55</v>
      </c>
      <c r="H299" s="233" t="s">
        <v>55</v>
      </c>
      <c r="I299" s="233" t="s">
        <v>55</v>
      </c>
      <c r="J299" s="233" t="s">
        <v>55</v>
      </c>
      <c r="K299" s="233" t="s">
        <v>55</v>
      </c>
      <c r="L299" s="233" t="s">
        <v>55</v>
      </c>
      <c r="M299" s="233" t="s">
        <v>55</v>
      </c>
      <c r="N299" s="217" t="s">
        <v>55</v>
      </c>
      <c r="O299" s="218" t="s">
        <v>55</v>
      </c>
      <c r="P299" s="400" t="s">
        <v>55</v>
      </c>
      <c r="Q299" s="400" t="s">
        <v>55</v>
      </c>
      <c r="R299" s="218" t="s">
        <v>55</v>
      </c>
      <c r="S299" s="233" t="s">
        <v>55</v>
      </c>
      <c r="T299" s="250" t="s">
        <v>55</v>
      </c>
      <c r="Y299" s="206"/>
      <c r="Z299" s="206"/>
    </row>
    <row r="300" spans="2:26" ht="23.25" customHeight="1" x14ac:dyDescent="0.25">
      <c r="B300" s="607" t="s">
        <v>58</v>
      </c>
      <c r="C300" s="518" t="s">
        <v>57</v>
      </c>
      <c r="D300" s="233" t="s">
        <v>55</v>
      </c>
      <c r="E300" s="233" t="s">
        <v>55</v>
      </c>
      <c r="F300" s="214">
        <v>10</v>
      </c>
      <c r="G300" s="218" t="s">
        <v>55</v>
      </c>
      <c r="H300" s="234">
        <v>93</v>
      </c>
      <c r="I300" s="235">
        <v>3.86</v>
      </c>
      <c r="J300" s="215">
        <f>H300*I300</f>
        <v>358.97999999999996</v>
      </c>
      <c r="K300" s="216" t="s">
        <v>559</v>
      </c>
      <c r="L300" s="233" t="s">
        <v>55</v>
      </c>
      <c r="M300" s="233" t="s">
        <v>55</v>
      </c>
      <c r="N300" s="215">
        <f>60*F300</f>
        <v>600</v>
      </c>
      <c r="O300" s="220">
        <f>60*F300</f>
        <v>600</v>
      </c>
      <c r="P300" s="356">
        <f>N300/J300</f>
        <v>1.6714023065351833</v>
      </c>
      <c r="Q300" s="356">
        <f>O300/J300</f>
        <v>1.6714023065351833</v>
      </c>
      <c r="R300" s="218" t="s">
        <v>55</v>
      </c>
      <c r="S300" s="608" t="s">
        <v>152</v>
      </c>
      <c r="T300" s="520" t="s">
        <v>140</v>
      </c>
      <c r="Y300" s="206"/>
      <c r="Z300" s="206" t="s">
        <v>556</v>
      </c>
    </row>
    <row r="301" spans="2:26" ht="45.75" customHeight="1" x14ac:dyDescent="0.25">
      <c r="B301" s="607" t="s">
        <v>72</v>
      </c>
      <c r="C301" s="518" t="s">
        <v>153</v>
      </c>
      <c r="D301" s="233" t="s">
        <v>55</v>
      </c>
      <c r="E301" s="233" t="s">
        <v>55</v>
      </c>
      <c r="F301" s="214">
        <v>1</v>
      </c>
      <c r="G301" s="218">
        <v>1</v>
      </c>
      <c r="H301" s="234">
        <v>14.2</v>
      </c>
      <c r="I301" s="235">
        <v>3.86</v>
      </c>
      <c r="J301" s="215">
        <f>H301*I301</f>
        <v>54.811999999999998</v>
      </c>
      <c r="K301" s="216" t="s">
        <v>670</v>
      </c>
      <c r="L301" s="233" t="s">
        <v>55</v>
      </c>
      <c r="M301" s="233" t="s">
        <v>55</v>
      </c>
      <c r="N301" s="215">
        <f>60*F301+20*G301</f>
        <v>80</v>
      </c>
      <c r="O301" s="220">
        <f>60*F301+20*G301</f>
        <v>80</v>
      </c>
      <c r="P301" s="356">
        <f>N301/J301</f>
        <v>1.459534408523681</v>
      </c>
      <c r="Q301" s="356">
        <f>O301/J301</f>
        <v>1.459534408523681</v>
      </c>
      <c r="R301" s="218" t="s">
        <v>55</v>
      </c>
      <c r="S301" s="608" t="s">
        <v>152</v>
      </c>
      <c r="T301" s="520" t="s">
        <v>140</v>
      </c>
      <c r="Y301" s="206"/>
      <c r="Z301" s="261"/>
    </row>
    <row r="302" spans="2:26" ht="17.25" customHeight="1" x14ac:dyDescent="0.25">
      <c r="B302" s="607"/>
      <c r="C302" s="518" t="s">
        <v>154</v>
      </c>
      <c r="D302" s="233" t="s">
        <v>55</v>
      </c>
      <c r="E302" s="233" t="s">
        <v>55</v>
      </c>
      <c r="F302" s="233" t="s">
        <v>55</v>
      </c>
      <c r="G302" s="218" t="s">
        <v>55</v>
      </c>
      <c r="H302" s="233" t="s">
        <v>55</v>
      </c>
      <c r="I302" s="233" t="s">
        <v>55</v>
      </c>
      <c r="J302" s="233" t="s">
        <v>55</v>
      </c>
      <c r="K302" s="233" t="s">
        <v>55</v>
      </c>
      <c r="L302" s="233" t="s">
        <v>55</v>
      </c>
      <c r="M302" s="233" t="s">
        <v>55</v>
      </c>
      <c r="N302" s="217" t="s">
        <v>55</v>
      </c>
      <c r="O302" s="218" t="s">
        <v>55</v>
      </c>
      <c r="P302" s="400" t="s">
        <v>55</v>
      </c>
      <c r="Q302" s="400" t="s">
        <v>55</v>
      </c>
      <c r="R302" s="218" t="s">
        <v>55</v>
      </c>
      <c r="S302" s="233" t="s">
        <v>55</v>
      </c>
      <c r="T302" s="250" t="s">
        <v>55</v>
      </c>
      <c r="Y302" s="206"/>
      <c r="Z302" s="206"/>
    </row>
    <row r="303" spans="2:26" ht="45.75" customHeight="1" x14ac:dyDescent="0.25">
      <c r="B303" s="607" t="s">
        <v>69</v>
      </c>
      <c r="C303" s="518" t="s">
        <v>68</v>
      </c>
      <c r="D303" s="233" t="s">
        <v>55</v>
      </c>
      <c r="E303" s="233" t="s">
        <v>55</v>
      </c>
      <c r="F303" s="214">
        <v>1</v>
      </c>
      <c r="G303" s="218">
        <v>1</v>
      </c>
      <c r="H303" s="234">
        <v>14.2</v>
      </c>
      <c r="I303" s="235">
        <v>3.86</v>
      </c>
      <c r="J303" s="215">
        <f t="shared" ref="J303:J317" si="164">H303*I303</f>
        <v>54.811999999999998</v>
      </c>
      <c r="K303" s="216" t="s">
        <v>670</v>
      </c>
      <c r="L303" s="233" t="s">
        <v>55</v>
      </c>
      <c r="M303" s="233" t="s">
        <v>55</v>
      </c>
      <c r="N303" s="215">
        <f>60*F303+20*G303</f>
        <v>80</v>
      </c>
      <c r="O303" s="220">
        <f>60*F303+20*G303</f>
        <v>80</v>
      </c>
      <c r="P303" s="356">
        <f>N303/J303</f>
        <v>1.459534408523681</v>
      </c>
      <c r="Q303" s="356">
        <f>O303/J303</f>
        <v>1.459534408523681</v>
      </c>
      <c r="R303" s="218" t="s">
        <v>55</v>
      </c>
      <c r="S303" s="608" t="s">
        <v>152</v>
      </c>
      <c r="T303" s="520" t="s">
        <v>140</v>
      </c>
      <c r="Y303" s="206"/>
      <c r="Z303" s="261"/>
    </row>
    <row r="304" spans="2:26" ht="23.25" customHeight="1" x14ac:dyDescent="0.25">
      <c r="B304" s="607" t="s">
        <v>66</v>
      </c>
      <c r="C304" s="518" t="s">
        <v>65</v>
      </c>
      <c r="D304" s="233" t="s">
        <v>55</v>
      </c>
      <c r="E304" s="233" t="s">
        <v>55</v>
      </c>
      <c r="F304" s="214">
        <v>2</v>
      </c>
      <c r="G304" s="218" t="s">
        <v>55</v>
      </c>
      <c r="H304" s="234">
        <v>26.2</v>
      </c>
      <c r="I304" s="235">
        <v>3.86</v>
      </c>
      <c r="J304" s="215">
        <f t="shared" si="164"/>
        <v>101.13199999999999</v>
      </c>
      <c r="K304" s="216" t="s">
        <v>559</v>
      </c>
      <c r="L304" s="233" t="s">
        <v>55</v>
      </c>
      <c r="M304" s="233" t="s">
        <v>55</v>
      </c>
      <c r="N304" s="215">
        <f>60*F304</f>
        <v>120</v>
      </c>
      <c r="O304" s="220">
        <f>60*F304</f>
        <v>120</v>
      </c>
      <c r="P304" s="356">
        <f>N304/J304</f>
        <v>1.1865680496776492</v>
      </c>
      <c r="Q304" s="356">
        <f>O304/J304</f>
        <v>1.1865680496776492</v>
      </c>
      <c r="R304" s="218" t="s">
        <v>55</v>
      </c>
      <c r="S304" s="608" t="s">
        <v>152</v>
      </c>
      <c r="T304" s="520" t="s">
        <v>140</v>
      </c>
      <c r="Y304" s="206"/>
      <c r="Z304" s="206"/>
    </row>
    <row r="305" spans="2:26" ht="24.75" customHeight="1" x14ac:dyDescent="0.25">
      <c r="B305" s="607" t="s">
        <v>34</v>
      </c>
      <c r="C305" s="518" t="s">
        <v>35</v>
      </c>
      <c r="D305" s="233" t="s">
        <v>55</v>
      </c>
      <c r="E305" s="233" t="s">
        <v>55</v>
      </c>
      <c r="F305" s="214">
        <v>18</v>
      </c>
      <c r="G305" s="218" t="s">
        <v>55</v>
      </c>
      <c r="H305" s="234">
        <v>122.8</v>
      </c>
      <c r="I305" s="235">
        <v>3.86</v>
      </c>
      <c r="J305" s="215">
        <f t="shared" si="164"/>
        <v>474.00799999999998</v>
      </c>
      <c r="K305" s="216" t="s">
        <v>559</v>
      </c>
      <c r="L305" s="233" t="s">
        <v>55</v>
      </c>
      <c r="M305" s="233" t="s">
        <v>55</v>
      </c>
      <c r="N305" s="215">
        <f>60*F305</f>
        <v>1080</v>
      </c>
      <c r="O305" s="220">
        <f>60*F305</f>
        <v>1080</v>
      </c>
      <c r="P305" s="356">
        <f>N305/J305</f>
        <v>2.2784425579315117</v>
      </c>
      <c r="Q305" s="356">
        <f>O305/J305</f>
        <v>2.2784425579315117</v>
      </c>
      <c r="R305" s="218" t="s">
        <v>55</v>
      </c>
      <c r="S305" s="608" t="s">
        <v>152</v>
      </c>
      <c r="T305" s="520" t="s">
        <v>140</v>
      </c>
      <c r="Y305" s="206"/>
      <c r="Z305" s="206" t="s">
        <v>556</v>
      </c>
    </row>
    <row r="306" spans="2:26" ht="17.25" customHeight="1" x14ac:dyDescent="0.25">
      <c r="B306" s="607"/>
      <c r="C306" s="518" t="s">
        <v>36</v>
      </c>
      <c r="D306" s="233" t="s">
        <v>55</v>
      </c>
      <c r="E306" s="233" t="s">
        <v>55</v>
      </c>
      <c r="F306" s="233" t="s">
        <v>55</v>
      </c>
      <c r="G306" s="218" t="s">
        <v>55</v>
      </c>
      <c r="H306" s="233" t="s">
        <v>55</v>
      </c>
      <c r="I306" s="233" t="s">
        <v>55</v>
      </c>
      <c r="J306" s="233" t="s">
        <v>55</v>
      </c>
      <c r="K306" s="233" t="s">
        <v>55</v>
      </c>
      <c r="L306" s="233" t="s">
        <v>55</v>
      </c>
      <c r="M306" s="233" t="s">
        <v>55</v>
      </c>
      <c r="N306" s="217" t="s">
        <v>55</v>
      </c>
      <c r="O306" s="218" t="s">
        <v>55</v>
      </c>
      <c r="P306" s="400" t="s">
        <v>55</v>
      </c>
      <c r="Q306" s="400" t="s">
        <v>55</v>
      </c>
      <c r="R306" s="218" t="s">
        <v>55</v>
      </c>
      <c r="S306" s="233" t="s">
        <v>55</v>
      </c>
      <c r="T306" s="250" t="s">
        <v>55</v>
      </c>
      <c r="Y306" s="206"/>
      <c r="Z306" s="206"/>
    </row>
    <row r="307" spans="2:26" ht="24.75" customHeight="1" x14ac:dyDescent="0.25">
      <c r="B307" s="607" t="s">
        <v>50</v>
      </c>
      <c r="C307" s="518" t="s">
        <v>511</v>
      </c>
      <c r="D307" s="233" t="s">
        <v>55</v>
      </c>
      <c r="E307" s="233" t="s">
        <v>55</v>
      </c>
      <c r="F307" s="214">
        <v>7</v>
      </c>
      <c r="G307" s="218" t="s">
        <v>55</v>
      </c>
      <c r="H307" s="234">
        <v>67.099999999999994</v>
      </c>
      <c r="I307" s="235">
        <v>3.86</v>
      </c>
      <c r="J307" s="215">
        <f t="shared" si="164"/>
        <v>259.00599999999997</v>
      </c>
      <c r="K307" s="216" t="s">
        <v>559</v>
      </c>
      <c r="L307" s="233" t="s">
        <v>55</v>
      </c>
      <c r="M307" s="233" t="s">
        <v>55</v>
      </c>
      <c r="N307" s="215">
        <f>60*F307</f>
        <v>420</v>
      </c>
      <c r="O307" s="220">
        <f>60*F307</f>
        <v>420</v>
      </c>
      <c r="P307" s="356">
        <f>N307/J307</f>
        <v>1.6215840559678156</v>
      </c>
      <c r="Q307" s="356">
        <f>O307/J307</f>
        <v>1.6215840559678156</v>
      </c>
      <c r="R307" s="218" t="s">
        <v>55</v>
      </c>
      <c r="S307" s="608" t="s">
        <v>152</v>
      </c>
      <c r="T307" s="520" t="s">
        <v>140</v>
      </c>
      <c r="Y307" s="206"/>
      <c r="Z307" s="206"/>
    </row>
    <row r="308" spans="2:26" ht="17.25" customHeight="1" x14ac:dyDescent="0.25">
      <c r="B308" s="607"/>
      <c r="C308" s="518" t="s">
        <v>512</v>
      </c>
      <c r="D308" s="233" t="s">
        <v>55</v>
      </c>
      <c r="E308" s="233" t="s">
        <v>55</v>
      </c>
      <c r="F308" s="233" t="s">
        <v>55</v>
      </c>
      <c r="G308" s="218" t="s">
        <v>55</v>
      </c>
      <c r="H308" s="233" t="s">
        <v>55</v>
      </c>
      <c r="I308" s="233" t="s">
        <v>55</v>
      </c>
      <c r="J308" s="233" t="s">
        <v>55</v>
      </c>
      <c r="K308" s="233" t="s">
        <v>55</v>
      </c>
      <c r="L308" s="233" t="s">
        <v>55</v>
      </c>
      <c r="M308" s="233" t="s">
        <v>55</v>
      </c>
      <c r="N308" s="217" t="s">
        <v>55</v>
      </c>
      <c r="O308" s="218" t="s">
        <v>55</v>
      </c>
      <c r="P308" s="400" t="s">
        <v>55</v>
      </c>
      <c r="Q308" s="400" t="s">
        <v>55</v>
      </c>
      <c r="R308" s="218" t="s">
        <v>55</v>
      </c>
      <c r="S308" s="233" t="s">
        <v>55</v>
      </c>
      <c r="T308" s="250" t="s">
        <v>55</v>
      </c>
      <c r="Y308" s="206"/>
      <c r="Z308" s="206"/>
    </row>
    <row r="309" spans="2:26" ht="17.25" customHeight="1" x14ac:dyDescent="0.25">
      <c r="B309" s="607"/>
      <c r="C309" s="518" t="s">
        <v>52</v>
      </c>
      <c r="D309" s="233" t="s">
        <v>55</v>
      </c>
      <c r="E309" s="233" t="s">
        <v>55</v>
      </c>
      <c r="F309" s="233" t="s">
        <v>55</v>
      </c>
      <c r="G309" s="218" t="s">
        <v>55</v>
      </c>
      <c r="H309" s="233" t="s">
        <v>55</v>
      </c>
      <c r="I309" s="233" t="s">
        <v>55</v>
      </c>
      <c r="J309" s="233" t="s">
        <v>55</v>
      </c>
      <c r="K309" s="233" t="s">
        <v>55</v>
      </c>
      <c r="L309" s="233" t="s">
        <v>55</v>
      </c>
      <c r="M309" s="233" t="s">
        <v>55</v>
      </c>
      <c r="N309" s="217" t="s">
        <v>55</v>
      </c>
      <c r="O309" s="218" t="s">
        <v>55</v>
      </c>
      <c r="P309" s="400" t="s">
        <v>55</v>
      </c>
      <c r="Q309" s="400" t="s">
        <v>55</v>
      </c>
      <c r="R309" s="218" t="s">
        <v>55</v>
      </c>
      <c r="S309" s="233" t="s">
        <v>55</v>
      </c>
      <c r="T309" s="250" t="s">
        <v>55</v>
      </c>
      <c r="Y309" s="206"/>
      <c r="Z309" s="206"/>
    </row>
    <row r="310" spans="2:26" ht="24" customHeight="1" x14ac:dyDescent="0.25">
      <c r="B310" s="607" t="s">
        <v>45</v>
      </c>
      <c r="C310" s="518" t="s">
        <v>44</v>
      </c>
      <c r="D310" s="233" t="s">
        <v>55</v>
      </c>
      <c r="E310" s="233" t="s">
        <v>55</v>
      </c>
      <c r="F310" s="214">
        <v>10</v>
      </c>
      <c r="G310" s="218" t="s">
        <v>55</v>
      </c>
      <c r="H310" s="234">
        <v>66.099999999999994</v>
      </c>
      <c r="I310" s="235">
        <v>3.86</v>
      </c>
      <c r="J310" s="215">
        <f t="shared" si="164"/>
        <v>255.14599999999996</v>
      </c>
      <c r="K310" s="216" t="s">
        <v>559</v>
      </c>
      <c r="L310" s="233" t="s">
        <v>55</v>
      </c>
      <c r="M310" s="233" t="s">
        <v>55</v>
      </c>
      <c r="N310" s="215">
        <f>60*F310</f>
        <v>600</v>
      </c>
      <c r="O310" s="220">
        <f>60*F310</f>
        <v>600</v>
      </c>
      <c r="P310" s="356">
        <f>N310/J310</f>
        <v>2.3515947731886846</v>
      </c>
      <c r="Q310" s="356">
        <f>O310/J310</f>
        <v>2.3515947731886846</v>
      </c>
      <c r="R310" s="218" t="s">
        <v>55</v>
      </c>
      <c r="S310" s="608" t="s">
        <v>152</v>
      </c>
      <c r="T310" s="520" t="s">
        <v>140</v>
      </c>
      <c r="Y310" s="206"/>
      <c r="Z310" s="206" t="s">
        <v>556</v>
      </c>
    </row>
    <row r="311" spans="2:26" ht="23.25" customHeight="1" x14ac:dyDescent="0.25">
      <c r="B311" s="607" t="s">
        <v>47</v>
      </c>
      <c r="C311" s="518" t="s">
        <v>44</v>
      </c>
      <c r="D311" s="233" t="s">
        <v>55</v>
      </c>
      <c r="E311" s="233" t="s">
        <v>55</v>
      </c>
      <c r="F311" s="214">
        <v>8</v>
      </c>
      <c r="G311" s="218" t="s">
        <v>55</v>
      </c>
      <c r="H311" s="234">
        <v>53.8</v>
      </c>
      <c r="I311" s="235">
        <v>3.86</v>
      </c>
      <c r="J311" s="215">
        <f t="shared" si="164"/>
        <v>207.66799999999998</v>
      </c>
      <c r="K311" s="216" t="s">
        <v>559</v>
      </c>
      <c r="L311" s="233" t="s">
        <v>55</v>
      </c>
      <c r="M311" s="233" t="s">
        <v>55</v>
      </c>
      <c r="N311" s="215">
        <f>60*F311</f>
        <v>480</v>
      </c>
      <c r="O311" s="220">
        <f>60*F311</f>
        <v>480</v>
      </c>
      <c r="P311" s="356">
        <f>N311/J311</f>
        <v>2.3113816283683573</v>
      </c>
      <c r="Q311" s="356">
        <f>O311/J311</f>
        <v>2.3113816283683573</v>
      </c>
      <c r="R311" s="218" t="s">
        <v>55</v>
      </c>
      <c r="S311" s="608" t="s">
        <v>152</v>
      </c>
      <c r="T311" s="520" t="s">
        <v>140</v>
      </c>
      <c r="Y311" s="206"/>
      <c r="Z311" s="206"/>
    </row>
    <row r="312" spans="2:26" ht="21" customHeight="1" x14ac:dyDescent="0.25">
      <c r="B312" s="607" t="s">
        <v>155</v>
      </c>
      <c r="C312" s="518" t="s">
        <v>20</v>
      </c>
      <c r="D312" s="233" t="s">
        <v>55</v>
      </c>
      <c r="E312" s="233" t="s">
        <v>55</v>
      </c>
      <c r="F312" s="233" t="s">
        <v>55</v>
      </c>
      <c r="G312" s="218">
        <v>13</v>
      </c>
      <c r="H312" s="234">
        <v>49.3</v>
      </c>
      <c r="I312" s="235">
        <v>3.86</v>
      </c>
      <c r="J312" s="215">
        <f t="shared" si="164"/>
        <v>190.29799999999997</v>
      </c>
      <c r="K312" s="237" t="s">
        <v>21</v>
      </c>
      <c r="L312" s="233" t="s">
        <v>55</v>
      </c>
      <c r="M312" s="233" t="s">
        <v>55</v>
      </c>
      <c r="N312" s="215">
        <f>20*G312</f>
        <v>260</v>
      </c>
      <c r="O312" s="220">
        <f>20*G312</f>
        <v>260</v>
      </c>
      <c r="P312" s="356">
        <f>N312/J312</f>
        <v>1.3662781532123303</v>
      </c>
      <c r="Q312" s="356">
        <f>O312/J312</f>
        <v>1.3662781532123303</v>
      </c>
      <c r="R312" s="218" t="s">
        <v>55</v>
      </c>
      <c r="S312" s="608" t="s">
        <v>152</v>
      </c>
      <c r="T312" s="520" t="s">
        <v>140</v>
      </c>
      <c r="Y312" s="206"/>
      <c r="Z312" s="206"/>
    </row>
    <row r="313" spans="2:26" ht="21.75" customHeight="1" x14ac:dyDescent="0.25">
      <c r="B313" s="607" t="s">
        <v>75</v>
      </c>
      <c r="C313" s="518" t="s">
        <v>74</v>
      </c>
      <c r="D313" s="233" t="s">
        <v>55</v>
      </c>
      <c r="E313" s="233" t="s">
        <v>55</v>
      </c>
      <c r="F313" s="214">
        <v>4</v>
      </c>
      <c r="G313" s="218" t="s">
        <v>55</v>
      </c>
      <c r="H313" s="234">
        <v>29.3</v>
      </c>
      <c r="I313" s="235">
        <v>3.86</v>
      </c>
      <c r="J313" s="215">
        <f t="shared" si="164"/>
        <v>113.098</v>
      </c>
      <c r="K313" s="216" t="s">
        <v>559</v>
      </c>
      <c r="L313" s="233" t="s">
        <v>55</v>
      </c>
      <c r="M313" s="233" t="s">
        <v>55</v>
      </c>
      <c r="N313" s="215">
        <f>60*F313</f>
        <v>240</v>
      </c>
      <c r="O313" s="220">
        <f>60*F313</f>
        <v>240</v>
      </c>
      <c r="P313" s="356">
        <f>N313/J313</f>
        <v>2.1220534403791405</v>
      </c>
      <c r="Q313" s="356">
        <f>O313/J313</f>
        <v>2.1220534403791405</v>
      </c>
      <c r="R313" s="218" t="s">
        <v>55</v>
      </c>
      <c r="S313" s="608" t="s">
        <v>152</v>
      </c>
      <c r="T313" s="520" t="s">
        <v>140</v>
      </c>
      <c r="Y313" s="206"/>
      <c r="Z313" s="206"/>
    </row>
    <row r="314" spans="2:26" ht="24" customHeight="1" x14ac:dyDescent="0.25">
      <c r="B314" s="607" t="s">
        <v>82</v>
      </c>
      <c r="C314" s="518" t="s">
        <v>81</v>
      </c>
      <c r="D314" s="233" t="s">
        <v>55</v>
      </c>
      <c r="E314" s="233" t="s">
        <v>55</v>
      </c>
      <c r="F314" s="214">
        <v>12</v>
      </c>
      <c r="G314" s="218" t="s">
        <v>55</v>
      </c>
      <c r="H314" s="234">
        <v>82.4</v>
      </c>
      <c r="I314" s="235">
        <v>3.86</v>
      </c>
      <c r="J314" s="215">
        <f t="shared" si="164"/>
        <v>318.06400000000002</v>
      </c>
      <c r="K314" s="216" t="s">
        <v>559</v>
      </c>
      <c r="L314" s="233" t="s">
        <v>55</v>
      </c>
      <c r="M314" s="233" t="s">
        <v>55</v>
      </c>
      <c r="N314" s="215">
        <f>60*F314</f>
        <v>720</v>
      </c>
      <c r="O314" s="220">
        <f>60*F314</f>
        <v>720</v>
      </c>
      <c r="P314" s="356">
        <f>N314/J314</f>
        <v>2.263695356909301</v>
      </c>
      <c r="Q314" s="356">
        <f>O314/J314</f>
        <v>2.263695356909301</v>
      </c>
      <c r="R314" s="218" t="s">
        <v>55</v>
      </c>
      <c r="S314" s="608" t="s">
        <v>152</v>
      </c>
      <c r="T314" s="520" t="s">
        <v>140</v>
      </c>
      <c r="Y314" s="206"/>
      <c r="Z314" s="206"/>
    </row>
    <row r="315" spans="2:26" ht="17.25" customHeight="1" x14ac:dyDescent="0.25">
      <c r="B315" s="607"/>
      <c r="C315" s="518" t="s">
        <v>509</v>
      </c>
      <c r="D315" s="233" t="s">
        <v>55</v>
      </c>
      <c r="E315" s="233" t="s">
        <v>55</v>
      </c>
      <c r="F315" s="233" t="s">
        <v>55</v>
      </c>
      <c r="G315" s="218" t="s">
        <v>55</v>
      </c>
      <c r="H315" s="233" t="s">
        <v>55</v>
      </c>
      <c r="I315" s="233" t="s">
        <v>55</v>
      </c>
      <c r="J315" s="233" t="s">
        <v>55</v>
      </c>
      <c r="K315" s="233" t="s">
        <v>55</v>
      </c>
      <c r="L315" s="233" t="s">
        <v>55</v>
      </c>
      <c r="M315" s="233" t="s">
        <v>55</v>
      </c>
      <c r="N315" s="217" t="s">
        <v>55</v>
      </c>
      <c r="O315" s="218" t="s">
        <v>55</v>
      </c>
      <c r="P315" s="400" t="s">
        <v>55</v>
      </c>
      <c r="Q315" s="400" t="s">
        <v>55</v>
      </c>
      <c r="R315" s="218" t="s">
        <v>55</v>
      </c>
      <c r="S315" s="233" t="s">
        <v>55</v>
      </c>
      <c r="T315" s="250" t="s">
        <v>55</v>
      </c>
      <c r="Y315" s="206"/>
      <c r="Z315" s="206"/>
    </row>
    <row r="316" spans="2:26" ht="17.25" customHeight="1" x14ac:dyDescent="0.25">
      <c r="B316" s="607"/>
      <c r="C316" s="518" t="s">
        <v>510</v>
      </c>
      <c r="D316" s="233" t="s">
        <v>55</v>
      </c>
      <c r="E316" s="233" t="s">
        <v>55</v>
      </c>
      <c r="F316" s="233" t="s">
        <v>55</v>
      </c>
      <c r="G316" s="218" t="s">
        <v>55</v>
      </c>
      <c r="H316" s="233" t="s">
        <v>55</v>
      </c>
      <c r="I316" s="233" t="s">
        <v>55</v>
      </c>
      <c r="J316" s="233" t="s">
        <v>55</v>
      </c>
      <c r="K316" s="233" t="s">
        <v>55</v>
      </c>
      <c r="L316" s="233" t="s">
        <v>55</v>
      </c>
      <c r="M316" s="233" t="s">
        <v>55</v>
      </c>
      <c r="N316" s="217" t="s">
        <v>55</v>
      </c>
      <c r="O316" s="218" t="s">
        <v>55</v>
      </c>
      <c r="P316" s="400" t="s">
        <v>55</v>
      </c>
      <c r="Q316" s="400" t="s">
        <v>55</v>
      </c>
      <c r="R316" s="218" t="s">
        <v>55</v>
      </c>
      <c r="S316" s="233" t="s">
        <v>55</v>
      </c>
      <c r="T316" s="250" t="s">
        <v>55</v>
      </c>
      <c r="U316" s="282" t="s">
        <v>55</v>
      </c>
      <c r="V316" s="233" t="s">
        <v>55</v>
      </c>
      <c r="W316" s="233" t="s">
        <v>55</v>
      </c>
      <c r="X316" s="233" t="s">
        <v>55</v>
      </c>
      <c r="Y316" s="233" t="s">
        <v>55</v>
      </c>
      <c r="Z316" s="206"/>
    </row>
    <row r="317" spans="2:26" ht="22.5" customHeight="1" x14ac:dyDescent="0.25">
      <c r="B317" s="607" t="s">
        <v>137</v>
      </c>
      <c r="C317" s="518" t="s">
        <v>136</v>
      </c>
      <c r="D317" s="233" t="s">
        <v>55</v>
      </c>
      <c r="E317" s="233" t="s">
        <v>55</v>
      </c>
      <c r="F317" s="277">
        <v>4</v>
      </c>
      <c r="G317" s="218" t="s">
        <v>55</v>
      </c>
      <c r="H317" s="611">
        <v>25.4</v>
      </c>
      <c r="I317" s="235">
        <v>3.86</v>
      </c>
      <c r="J317" s="215">
        <f t="shared" si="164"/>
        <v>98.043999999999997</v>
      </c>
      <c r="K317" s="216" t="s">
        <v>559</v>
      </c>
      <c r="L317" s="233" t="s">
        <v>55</v>
      </c>
      <c r="M317" s="233" t="s">
        <v>55</v>
      </c>
      <c r="N317" s="215">
        <f t="shared" ref="N317:N322" si="165">60*F317</f>
        <v>240</v>
      </c>
      <c r="O317" s="220">
        <f t="shared" ref="O317:O322" si="166">60*F317</f>
        <v>240</v>
      </c>
      <c r="P317" s="356">
        <f t="shared" ref="P317:P322" si="167">N317/J317</f>
        <v>2.4478805434294806</v>
      </c>
      <c r="Q317" s="356">
        <f t="shared" ref="Q317:Q322" si="168">O317/J317</f>
        <v>2.4478805434294806</v>
      </c>
      <c r="R317" s="218" t="s">
        <v>55</v>
      </c>
      <c r="S317" s="608" t="s">
        <v>152</v>
      </c>
      <c r="T317" s="520" t="s">
        <v>140</v>
      </c>
      <c r="Y317" s="206"/>
      <c r="Z317" s="206"/>
    </row>
    <row r="318" spans="2:26" ht="24" customHeight="1" x14ac:dyDescent="0.25">
      <c r="B318" s="607" t="s">
        <v>156</v>
      </c>
      <c r="C318" s="518" t="s">
        <v>97</v>
      </c>
      <c r="D318" s="233" t="s">
        <v>55</v>
      </c>
      <c r="E318" s="233" t="s">
        <v>55</v>
      </c>
      <c r="F318" s="214">
        <v>2</v>
      </c>
      <c r="G318" s="218" t="s">
        <v>55</v>
      </c>
      <c r="H318" s="611">
        <v>23.7</v>
      </c>
      <c r="I318" s="235">
        <v>3.86</v>
      </c>
      <c r="J318" s="215">
        <f>H318*I318</f>
        <v>91.481999999999999</v>
      </c>
      <c r="K318" s="216" t="s">
        <v>559</v>
      </c>
      <c r="L318" s="233" t="s">
        <v>55</v>
      </c>
      <c r="M318" s="233" t="s">
        <v>55</v>
      </c>
      <c r="N318" s="215">
        <f t="shared" si="165"/>
        <v>120</v>
      </c>
      <c r="O318" s="220">
        <f t="shared" si="166"/>
        <v>120</v>
      </c>
      <c r="P318" s="356">
        <f t="shared" si="167"/>
        <v>1.3117334557617892</v>
      </c>
      <c r="Q318" s="356">
        <f t="shared" si="168"/>
        <v>1.3117334557617892</v>
      </c>
      <c r="R318" s="218" t="s">
        <v>55</v>
      </c>
      <c r="S318" s="608" t="s">
        <v>152</v>
      </c>
      <c r="T318" s="520" t="s">
        <v>140</v>
      </c>
    </row>
    <row r="319" spans="2:26" ht="24" customHeight="1" x14ac:dyDescent="0.25">
      <c r="B319" s="607" t="s">
        <v>113</v>
      </c>
      <c r="C319" s="518" t="s">
        <v>112</v>
      </c>
      <c r="D319" s="233" t="s">
        <v>55</v>
      </c>
      <c r="E319" s="233" t="s">
        <v>55</v>
      </c>
      <c r="F319" s="214">
        <v>2</v>
      </c>
      <c r="G319" s="218" t="s">
        <v>55</v>
      </c>
      <c r="H319" s="234">
        <v>22.2</v>
      </c>
      <c r="I319" s="235">
        <v>3.86</v>
      </c>
      <c r="J319" s="215">
        <f>H319*I319</f>
        <v>85.691999999999993</v>
      </c>
      <c r="K319" s="216" t="s">
        <v>559</v>
      </c>
      <c r="L319" s="233" t="s">
        <v>55</v>
      </c>
      <c r="M319" s="233" t="s">
        <v>55</v>
      </c>
      <c r="N319" s="215">
        <f t="shared" si="165"/>
        <v>120</v>
      </c>
      <c r="O319" s="220">
        <f t="shared" si="166"/>
        <v>120</v>
      </c>
      <c r="P319" s="356">
        <f t="shared" si="167"/>
        <v>1.400364094664613</v>
      </c>
      <c r="Q319" s="356">
        <f t="shared" si="168"/>
        <v>1.400364094664613</v>
      </c>
      <c r="R319" s="218" t="s">
        <v>55</v>
      </c>
      <c r="S319" s="608" t="s">
        <v>152</v>
      </c>
      <c r="T319" s="520" t="s">
        <v>140</v>
      </c>
    </row>
    <row r="320" spans="2:26" ht="23.25" customHeight="1" x14ac:dyDescent="0.25">
      <c r="B320" s="607" t="s">
        <v>125</v>
      </c>
      <c r="C320" s="518" t="s">
        <v>124</v>
      </c>
      <c r="D320" s="233" t="s">
        <v>55</v>
      </c>
      <c r="E320" s="233" t="s">
        <v>55</v>
      </c>
      <c r="F320" s="214">
        <v>2</v>
      </c>
      <c r="G320" s="218" t="s">
        <v>55</v>
      </c>
      <c r="H320" s="234">
        <v>12.3</v>
      </c>
      <c r="I320" s="235">
        <v>3.86</v>
      </c>
      <c r="J320" s="215">
        <f>H320*I320</f>
        <v>47.478000000000002</v>
      </c>
      <c r="K320" s="216" t="s">
        <v>559</v>
      </c>
      <c r="L320" s="233" t="s">
        <v>55</v>
      </c>
      <c r="M320" s="233" t="s">
        <v>55</v>
      </c>
      <c r="N320" s="215">
        <f t="shared" si="165"/>
        <v>120</v>
      </c>
      <c r="O320" s="220">
        <f t="shared" si="166"/>
        <v>120</v>
      </c>
      <c r="P320" s="356">
        <f t="shared" si="167"/>
        <v>2.5274864147605207</v>
      </c>
      <c r="Q320" s="356">
        <f t="shared" si="168"/>
        <v>2.5274864147605207</v>
      </c>
      <c r="R320" s="218" t="s">
        <v>55</v>
      </c>
      <c r="S320" s="608" t="s">
        <v>152</v>
      </c>
      <c r="T320" s="520" t="s">
        <v>140</v>
      </c>
    </row>
    <row r="321" spans="2:27" ht="22.5" customHeight="1" x14ac:dyDescent="0.25">
      <c r="B321" s="607" t="s">
        <v>128</v>
      </c>
      <c r="C321" s="518" t="s">
        <v>127</v>
      </c>
      <c r="D321" s="233" t="s">
        <v>55</v>
      </c>
      <c r="E321" s="233" t="s">
        <v>55</v>
      </c>
      <c r="F321" s="214">
        <v>2</v>
      </c>
      <c r="G321" s="218" t="s">
        <v>55</v>
      </c>
      <c r="H321" s="234">
        <v>20.3</v>
      </c>
      <c r="I321" s="235">
        <v>3.86</v>
      </c>
      <c r="J321" s="215">
        <f>H321*I321</f>
        <v>78.358000000000004</v>
      </c>
      <c r="K321" s="216" t="s">
        <v>559</v>
      </c>
      <c r="L321" s="233" t="s">
        <v>55</v>
      </c>
      <c r="M321" s="233" t="s">
        <v>55</v>
      </c>
      <c r="N321" s="215">
        <f t="shared" si="165"/>
        <v>120</v>
      </c>
      <c r="O321" s="220">
        <f t="shared" si="166"/>
        <v>120</v>
      </c>
      <c r="P321" s="356">
        <f t="shared" si="167"/>
        <v>1.5314326552489854</v>
      </c>
      <c r="Q321" s="356">
        <f t="shared" si="168"/>
        <v>1.5314326552489854</v>
      </c>
      <c r="R321" s="218" t="s">
        <v>55</v>
      </c>
      <c r="S321" s="608" t="s">
        <v>152</v>
      </c>
      <c r="T321" s="520" t="s">
        <v>140</v>
      </c>
    </row>
    <row r="322" spans="2:27" ht="24.75" customHeight="1" x14ac:dyDescent="0.25">
      <c r="B322" s="607" t="s">
        <v>131</v>
      </c>
      <c r="C322" s="518" t="s">
        <v>132</v>
      </c>
      <c r="D322" s="233" t="s">
        <v>55</v>
      </c>
      <c r="E322" s="233" t="s">
        <v>55</v>
      </c>
      <c r="F322" s="214">
        <v>2</v>
      </c>
      <c r="G322" s="218" t="s">
        <v>55</v>
      </c>
      <c r="H322" s="234">
        <v>13.5</v>
      </c>
      <c r="I322" s="235">
        <v>3.86</v>
      </c>
      <c r="J322" s="215">
        <f>H322*I322</f>
        <v>52.11</v>
      </c>
      <c r="K322" s="216" t="s">
        <v>559</v>
      </c>
      <c r="L322" s="233" t="s">
        <v>55</v>
      </c>
      <c r="M322" s="233" t="s">
        <v>55</v>
      </c>
      <c r="N322" s="215">
        <f t="shared" si="165"/>
        <v>120</v>
      </c>
      <c r="O322" s="220">
        <f t="shared" si="166"/>
        <v>120</v>
      </c>
      <c r="P322" s="356">
        <f t="shared" si="167"/>
        <v>2.3028209556706964</v>
      </c>
      <c r="Q322" s="356">
        <f t="shared" si="168"/>
        <v>2.3028209556706964</v>
      </c>
      <c r="R322" s="218" t="s">
        <v>55</v>
      </c>
      <c r="S322" s="608" t="s">
        <v>152</v>
      </c>
      <c r="T322" s="520" t="s">
        <v>140</v>
      </c>
    </row>
    <row r="323" spans="2:27" ht="17.25" customHeight="1" x14ac:dyDescent="0.25">
      <c r="B323" s="607"/>
      <c r="C323" s="518" t="s">
        <v>134</v>
      </c>
      <c r="D323" s="233" t="s">
        <v>55</v>
      </c>
      <c r="E323" s="233" t="s">
        <v>55</v>
      </c>
      <c r="F323" s="233" t="s">
        <v>55</v>
      </c>
      <c r="G323" s="218" t="s">
        <v>55</v>
      </c>
      <c r="H323" s="233" t="s">
        <v>55</v>
      </c>
      <c r="I323" s="233" t="s">
        <v>55</v>
      </c>
      <c r="J323" s="233" t="s">
        <v>55</v>
      </c>
      <c r="K323" s="233" t="s">
        <v>55</v>
      </c>
      <c r="L323" s="233" t="s">
        <v>55</v>
      </c>
      <c r="M323" s="233" t="s">
        <v>55</v>
      </c>
      <c r="N323" s="217" t="s">
        <v>55</v>
      </c>
      <c r="O323" s="218" t="s">
        <v>55</v>
      </c>
      <c r="P323" s="400" t="s">
        <v>55</v>
      </c>
      <c r="Q323" s="400" t="s">
        <v>55</v>
      </c>
      <c r="R323" s="218" t="s">
        <v>55</v>
      </c>
      <c r="S323" s="233" t="s">
        <v>55</v>
      </c>
      <c r="T323" s="250" t="s">
        <v>55</v>
      </c>
      <c r="U323" s="282" t="s">
        <v>55</v>
      </c>
      <c r="V323" s="233" t="s">
        <v>55</v>
      </c>
      <c r="W323" s="233" t="s">
        <v>55</v>
      </c>
      <c r="X323" s="233" t="s">
        <v>55</v>
      </c>
      <c r="Y323" s="233" t="s">
        <v>55</v>
      </c>
    </row>
    <row r="324" spans="2:27" ht="44.25" customHeight="1" x14ac:dyDescent="0.25">
      <c r="B324" s="607" t="s">
        <v>86</v>
      </c>
      <c r="C324" s="518" t="s">
        <v>85</v>
      </c>
      <c r="D324" s="233" t="s">
        <v>55</v>
      </c>
      <c r="E324" s="233" t="s">
        <v>55</v>
      </c>
      <c r="F324" s="214">
        <v>1</v>
      </c>
      <c r="G324" s="218">
        <v>5</v>
      </c>
      <c r="H324" s="234">
        <v>29.3</v>
      </c>
      <c r="I324" s="235">
        <v>3.86</v>
      </c>
      <c r="J324" s="215">
        <f>H324*I324</f>
        <v>113.098</v>
      </c>
      <c r="K324" s="216" t="s">
        <v>670</v>
      </c>
      <c r="L324" s="233" t="s">
        <v>55</v>
      </c>
      <c r="M324" s="233" t="s">
        <v>55</v>
      </c>
      <c r="N324" s="215">
        <f>60*F324+20*G324</f>
        <v>160</v>
      </c>
      <c r="O324" s="220">
        <f>60*F324+20*G324</f>
        <v>160</v>
      </c>
      <c r="P324" s="356">
        <f>N324/J324</f>
        <v>1.4147022935860936</v>
      </c>
      <c r="Q324" s="356">
        <f>O324/J324</f>
        <v>1.4147022935860936</v>
      </c>
      <c r="R324" s="218" t="s">
        <v>55</v>
      </c>
      <c r="S324" s="608" t="s">
        <v>152</v>
      </c>
      <c r="T324" s="520" t="s">
        <v>140</v>
      </c>
      <c r="Z324" s="283"/>
    </row>
    <row r="325" spans="2:27" ht="47.25" customHeight="1" x14ac:dyDescent="0.25">
      <c r="B325" s="607" t="s">
        <v>89</v>
      </c>
      <c r="C325" s="518" t="s">
        <v>88</v>
      </c>
      <c r="D325" s="233" t="s">
        <v>55</v>
      </c>
      <c r="E325" s="233" t="s">
        <v>55</v>
      </c>
      <c r="F325" s="214">
        <v>1</v>
      </c>
      <c r="G325" s="218">
        <v>1</v>
      </c>
      <c r="H325" s="234">
        <v>14.4</v>
      </c>
      <c r="I325" s="235">
        <v>3.86</v>
      </c>
      <c r="J325" s="215">
        <f>H325*I325</f>
        <v>55.583999999999996</v>
      </c>
      <c r="K325" s="216" t="s">
        <v>670</v>
      </c>
      <c r="L325" s="233" t="s">
        <v>55</v>
      </c>
      <c r="M325" s="233" t="s">
        <v>55</v>
      </c>
      <c r="N325" s="215">
        <f>60*F325+20*G325</f>
        <v>80</v>
      </c>
      <c r="O325" s="220">
        <f>60*F325+20*G325</f>
        <v>80</v>
      </c>
      <c r="P325" s="356">
        <f>N325/J325</f>
        <v>1.4392630972941856</v>
      </c>
      <c r="Q325" s="356">
        <f>O325/J325</f>
        <v>1.4392630972941856</v>
      </c>
      <c r="R325" s="218" t="s">
        <v>55</v>
      </c>
      <c r="S325" s="608" t="s">
        <v>152</v>
      </c>
      <c r="T325" s="520" t="s">
        <v>140</v>
      </c>
      <c r="Z325" s="283"/>
    </row>
    <row r="326" spans="2:27" ht="48" customHeight="1" x14ac:dyDescent="0.25">
      <c r="B326" s="607" t="s">
        <v>92</v>
      </c>
      <c r="C326" s="518" t="s">
        <v>23</v>
      </c>
      <c r="D326" s="233" t="s">
        <v>55</v>
      </c>
      <c r="E326" s="233" t="s">
        <v>55</v>
      </c>
      <c r="F326" s="214">
        <v>1</v>
      </c>
      <c r="G326" s="218">
        <v>1</v>
      </c>
      <c r="H326" s="234">
        <v>14.4</v>
      </c>
      <c r="I326" s="235">
        <v>3.86</v>
      </c>
      <c r="J326" s="215">
        <f>H326*I326</f>
        <v>55.583999999999996</v>
      </c>
      <c r="K326" s="216" t="s">
        <v>670</v>
      </c>
      <c r="L326" s="233" t="s">
        <v>55</v>
      </c>
      <c r="M326" s="233" t="s">
        <v>55</v>
      </c>
      <c r="N326" s="215">
        <f>60*F326+20*G326</f>
        <v>80</v>
      </c>
      <c r="O326" s="220">
        <f>60*F326+20*G326</f>
        <v>80</v>
      </c>
      <c r="P326" s="356">
        <f>N326/J326</f>
        <v>1.4392630972941856</v>
      </c>
      <c r="Q326" s="356">
        <f>O326/J326</f>
        <v>1.4392630972941856</v>
      </c>
      <c r="R326" s="218" t="s">
        <v>55</v>
      </c>
      <c r="S326" s="608" t="s">
        <v>152</v>
      </c>
      <c r="T326" s="520" t="s">
        <v>140</v>
      </c>
      <c r="Z326" s="283"/>
    </row>
    <row r="327" spans="2:27" ht="49.5" customHeight="1" x14ac:dyDescent="0.25">
      <c r="B327" s="607" t="s">
        <v>149</v>
      </c>
      <c r="C327" s="518" t="s">
        <v>148</v>
      </c>
      <c r="D327" s="233" t="s">
        <v>55</v>
      </c>
      <c r="E327" s="233" t="s">
        <v>55</v>
      </c>
      <c r="F327" s="214">
        <v>1</v>
      </c>
      <c r="G327" s="218">
        <v>1</v>
      </c>
      <c r="H327" s="234">
        <v>20</v>
      </c>
      <c r="I327" s="235">
        <v>3.86</v>
      </c>
      <c r="J327" s="215">
        <f>H327*I327</f>
        <v>77.2</v>
      </c>
      <c r="K327" s="216" t="s">
        <v>670</v>
      </c>
      <c r="L327" s="233" t="s">
        <v>55</v>
      </c>
      <c r="M327" s="233" t="s">
        <v>55</v>
      </c>
      <c r="N327" s="215">
        <f>60*F327+20*G327</f>
        <v>80</v>
      </c>
      <c r="O327" s="220">
        <f>60*F327+20*G327</f>
        <v>80</v>
      </c>
      <c r="P327" s="356">
        <f>N327/J327</f>
        <v>1.0362694300518134</v>
      </c>
      <c r="Q327" s="356">
        <f>O327/J327</f>
        <v>1.0362694300518134</v>
      </c>
      <c r="R327" s="218" t="s">
        <v>55</v>
      </c>
      <c r="S327" s="608" t="s">
        <v>152</v>
      </c>
      <c r="T327" s="520" t="s">
        <v>140</v>
      </c>
      <c r="Z327" s="261"/>
    </row>
    <row r="328" spans="2:27" ht="24.75" customHeight="1" x14ac:dyDescent="0.25">
      <c r="B328" s="607" t="s">
        <v>104</v>
      </c>
      <c r="C328" s="518" t="s">
        <v>103</v>
      </c>
      <c r="D328" s="233" t="s">
        <v>55</v>
      </c>
      <c r="E328" s="233" t="s">
        <v>55</v>
      </c>
      <c r="F328" s="214">
        <v>14</v>
      </c>
      <c r="G328" s="218" t="s">
        <v>55</v>
      </c>
      <c r="H328" s="234">
        <v>170.9</v>
      </c>
      <c r="I328" s="235">
        <v>3.86</v>
      </c>
      <c r="J328" s="215">
        <f t="shared" ref="J328:J334" si="169">H328*I328</f>
        <v>659.67399999999998</v>
      </c>
      <c r="K328" s="216" t="s">
        <v>559</v>
      </c>
      <c r="L328" s="233" t="s">
        <v>55</v>
      </c>
      <c r="M328" s="233" t="s">
        <v>55</v>
      </c>
      <c r="N328" s="215">
        <f t="shared" ref="N328:N334" si="170">60*F328</f>
        <v>840</v>
      </c>
      <c r="O328" s="220">
        <f>60*F328-O289-O282</f>
        <v>700</v>
      </c>
      <c r="P328" s="356">
        <f t="shared" ref="P328:P334" si="171">N328/J328</f>
        <v>1.2733562335335333</v>
      </c>
      <c r="Q328" s="356">
        <f t="shared" ref="Q328:Q334" si="172">O328/J328</f>
        <v>1.0611301946112777</v>
      </c>
      <c r="R328" s="218" t="s">
        <v>55</v>
      </c>
      <c r="S328" s="608" t="s">
        <v>152</v>
      </c>
      <c r="T328" s="520" t="s">
        <v>140</v>
      </c>
      <c r="Z328" s="206" t="s">
        <v>556</v>
      </c>
      <c r="AA328" s="272">
        <v>16</v>
      </c>
    </row>
    <row r="329" spans="2:27" ht="17.25" customHeight="1" x14ac:dyDescent="0.25">
      <c r="B329" s="607"/>
      <c r="C329" s="518" t="s">
        <v>157</v>
      </c>
      <c r="D329" s="233" t="s">
        <v>55</v>
      </c>
      <c r="E329" s="233" t="s">
        <v>55</v>
      </c>
      <c r="F329" s="233" t="s">
        <v>55</v>
      </c>
      <c r="G329" s="218" t="s">
        <v>55</v>
      </c>
      <c r="H329" s="233" t="s">
        <v>55</v>
      </c>
      <c r="I329" s="233" t="s">
        <v>55</v>
      </c>
      <c r="J329" s="233" t="s">
        <v>55</v>
      </c>
      <c r="K329" s="233" t="s">
        <v>55</v>
      </c>
      <c r="L329" s="233" t="s">
        <v>55</v>
      </c>
      <c r="M329" s="233" t="s">
        <v>55</v>
      </c>
      <c r="N329" s="217" t="s">
        <v>55</v>
      </c>
      <c r="O329" s="218" t="s">
        <v>55</v>
      </c>
      <c r="P329" s="400" t="s">
        <v>55</v>
      </c>
      <c r="Q329" s="400" t="s">
        <v>55</v>
      </c>
      <c r="R329" s="218" t="s">
        <v>55</v>
      </c>
      <c r="S329" s="233" t="s">
        <v>55</v>
      </c>
      <c r="T329" s="250" t="s">
        <v>55</v>
      </c>
      <c r="Z329" s="206"/>
    </row>
    <row r="330" spans="2:27" ht="17.25" customHeight="1" x14ac:dyDescent="0.25">
      <c r="B330" s="607"/>
      <c r="C330" s="518" t="s">
        <v>158</v>
      </c>
      <c r="D330" s="233" t="s">
        <v>55</v>
      </c>
      <c r="E330" s="233" t="s">
        <v>55</v>
      </c>
      <c r="F330" s="233" t="s">
        <v>55</v>
      </c>
      <c r="G330" s="218" t="s">
        <v>55</v>
      </c>
      <c r="H330" s="233" t="s">
        <v>55</v>
      </c>
      <c r="I330" s="233" t="s">
        <v>55</v>
      </c>
      <c r="J330" s="233" t="s">
        <v>55</v>
      </c>
      <c r="K330" s="233" t="s">
        <v>55</v>
      </c>
      <c r="L330" s="233" t="s">
        <v>55</v>
      </c>
      <c r="M330" s="233" t="s">
        <v>55</v>
      </c>
      <c r="N330" s="217" t="s">
        <v>55</v>
      </c>
      <c r="O330" s="218" t="s">
        <v>55</v>
      </c>
      <c r="P330" s="400" t="s">
        <v>55</v>
      </c>
      <c r="Q330" s="400" t="s">
        <v>55</v>
      </c>
      <c r="R330" s="218" t="s">
        <v>55</v>
      </c>
      <c r="S330" s="233" t="s">
        <v>55</v>
      </c>
      <c r="T330" s="250" t="s">
        <v>55</v>
      </c>
      <c r="Z330" s="206"/>
    </row>
    <row r="331" spans="2:27" ht="18" customHeight="1" x14ac:dyDescent="0.25">
      <c r="B331" s="607"/>
      <c r="C331" s="518" t="s">
        <v>159</v>
      </c>
      <c r="D331" s="233" t="s">
        <v>55</v>
      </c>
      <c r="E331" s="233" t="s">
        <v>55</v>
      </c>
      <c r="F331" s="233" t="s">
        <v>55</v>
      </c>
      <c r="G331" s="218" t="s">
        <v>55</v>
      </c>
      <c r="H331" s="233" t="s">
        <v>55</v>
      </c>
      <c r="I331" s="233" t="s">
        <v>55</v>
      </c>
      <c r="J331" s="233" t="s">
        <v>55</v>
      </c>
      <c r="K331" s="233" t="s">
        <v>55</v>
      </c>
      <c r="L331" s="233" t="s">
        <v>55</v>
      </c>
      <c r="M331" s="233" t="s">
        <v>55</v>
      </c>
      <c r="N331" s="217" t="s">
        <v>55</v>
      </c>
      <c r="O331" s="218" t="s">
        <v>55</v>
      </c>
      <c r="P331" s="400" t="s">
        <v>55</v>
      </c>
      <c r="Q331" s="400" t="s">
        <v>55</v>
      </c>
      <c r="R331" s="218" t="s">
        <v>55</v>
      </c>
      <c r="S331" s="233" t="s">
        <v>55</v>
      </c>
      <c r="T331" s="250" t="s">
        <v>55</v>
      </c>
      <c r="Z331" s="206"/>
    </row>
    <row r="332" spans="2:27" ht="24.75" customHeight="1" x14ac:dyDescent="0.25">
      <c r="B332" s="607" t="s">
        <v>147</v>
      </c>
      <c r="C332" s="518" t="s">
        <v>146</v>
      </c>
      <c r="D332" s="233" t="s">
        <v>55</v>
      </c>
      <c r="E332" s="233" t="s">
        <v>55</v>
      </c>
      <c r="F332" s="214">
        <v>8</v>
      </c>
      <c r="G332" s="218" t="s">
        <v>55</v>
      </c>
      <c r="H332" s="234">
        <v>47.8</v>
      </c>
      <c r="I332" s="235">
        <v>3.86</v>
      </c>
      <c r="J332" s="215">
        <f t="shared" si="169"/>
        <v>184.50799999999998</v>
      </c>
      <c r="K332" s="216" t="s">
        <v>559</v>
      </c>
      <c r="L332" s="233" t="s">
        <v>55</v>
      </c>
      <c r="M332" s="233" t="s">
        <v>55</v>
      </c>
      <c r="N332" s="215">
        <f t="shared" si="170"/>
        <v>480</v>
      </c>
      <c r="O332" s="220">
        <f t="shared" ref="O332:O334" si="173">60*F332</f>
        <v>480</v>
      </c>
      <c r="P332" s="356">
        <f t="shared" si="171"/>
        <v>2.6015132135191972</v>
      </c>
      <c r="Q332" s="356">
        <f t="shared" si="172"/>
        <v>2.6015132135191972</v>
      </c>
      <c r="R332" s="218" t="s">
        <v>55</v>
      </c>
      <c r="S332" s="608" t="s">
        <v>152</v>
      </c>
      <c r="T332" s="520" t="s">
        <v>140</v>
      </c>
      <c r="Z332" s="206"/>
    </row>
    <row r="333" spans="2:27" ht="21.75" customHeight="1" x14ac:dyDescent="0.25">
      <c r="B333" s="607" t="s">
        <v>110</v>
      </c>
      <c r="C333" s="518" t="s">
        <v>109</v>
      </c>
      <c r="D333" s="233" t="s">
        <v>55</v>
      </c>
      <c r="E333" s="233" t="s">
        <v>55</v>
      </c>
      <c r="F333" s="214">
        <v>2</v>
      </c>
      <c r="G333" s="218" t="s">
        <v>55</v>
      </c>
      <c r="H333" s="234">
        <v>13.7</v>
      </c>
      <c r="I333" s="235">
        <v>3.86</v>
      </c>
      <c r="J333" s="215">
        <f t="shared" si="169"/>
        <v>52.881999999999998</v>
      </c>
      <c r="K333" s="216" t="s">
        <v>559</v>
      </c>
      <c r="L333" s="233" t="s">
        <v>55</v>
      </c>
      <c r="M333" s="233" t="s">
        <v>55</v>
      </c>
      <c r="N333" s="215">
        <f t="shared" si="170"/>
        <v>120</v>
      </c>
      <c r="O333" s="220">
        <f t="shared" si="173"/>
        <v>120</v>
      </c>
      <c r="P333" s="356">
        <f t="shared" si="171"/>
        <v>2.2692031315003214</v>
      </c>
      <c r="Q333" s="356">
        <f t="shared" si="172"/>
        <v>2.2692031315003214</v>
      </c>
      <c r="R333" s="218" t="s">
        <v>55</v>
      </c>
      <c r="S333" s="608" t="s">
        <v>152</v>
      </c>
      <c r="T333" s="520" t="s">
        <v>140</v>
      </c>
      <c r="Z333" s="206"/>
    </row>
    <row r="334" spans="2:27" ht="21" customHeight="1" x14ac:dyDescent="0.25">
      <c r="B334" s="632" t="s">
        <v>144</v>
      </c>
      <c r="C334" s="518" t="s">
        <v>143</v>
      </c>
      <c r="D334" s="233" t="s">
        <v>55</v>
      </c>
      <c r="E334" s="233" t="s">
        <v>55</v>
      </c>
      <c r="F334" s="214">
        <v>12</v>
      </c>
      <c r="G334" s="218" t="s">
        <v>55</v>
      </c>
      <c r="H334" s="234">
        <v>61.7</v>
      </c>
      <c r="I334" s="235">
        <v>3.86</v>
      </c>
      <c r="J334" s="215">
        <f t="shared" si="169"/>
        <v>238.16200000000001</v>
      </c>
      <c r="K334" s="216" t="s">
        <v>559</v>
      </c>
      <c r="L334" s="233" t="s">
        <v>55</v>
      </c>
      <c r="M334" s="233" t="s">
        <v>55</v>
      </c>
      <c r="N334" s="215">
        <f t="shared" si="170"/>
        <v>720</v>
      </c>
      <c r="O334" s="220">
        <f t="shared" si="173"/>
        <v>720</v>
      </c>
      <c r="P334" s="356">
        <f t="shared" si="171"/>
        <v>3.0231523080928109</v>
      </c>
      <c r="Q334" s="443">
        <f t="shared" si="172"/>
        <v>3.0231523080928109</v>
      </c>
      <c r="R334" s="218" t="s">
        <v>55</v>
      </c>
      <c r="S334" s="608" t="s">
        <v>152</v>
      </c>
      <c r="T334" s="520" t="s">
        <v>140</v>
      </c>
      <c r="Z334" s="206" t="s">
        <v>556</v>
      </c>
    </row>
    <row r="335" spans="2:27" ht="21.75" customHeight="1" x14ac:dyDescent="0.25">
      <c r="B335" s="633" t="s">
        <v>61</v>
      </c>
      <c r="C335" s="518" t="s">
        <v>62</v>
      </c>
      <c r="D335" s="233" t="s">
        <v>55</v>
      </c>
      <c r="E335" s="233" t="s">
        <v>55</v>
      </c>
      <c r="F335" s="214">
        <v>6</v>
      </c>
      <c r="G335" s="218" t="s">
        <v>55</v>
      </c>
      <c r="H335" s="234">
        <v>58.3</v>
      </c>
      <c r="I335" s="235">
        <v>3.86</v>
      </c>
      <c r="J335" s="215">
        <f>H335*I335</f>
        <v>225.03799999999998</v>
      </c>
      <c r="K335" s="216" t="s">
        <v>559</v>
      </c>
      <c r="L335" s="233" t="s">
        <v>55</v>
      </c>
      <c r="M335" s="233" t="s">
        <v>55</v>
      </c>
      <c r="N335" s="215">
        <f>60*F335</f>
        <v>360</v>
      </c>
      <c r="O335" s="220">
        <f>60*F335</f>
        <v>360</v>
      </c>
      <c r="P335" s="356">
        <f>N335/J335</f>
        <v>1.5997298234076025</v>
      </c>
      <c r="Q335" s="444">
        <f>O335/J335</f>
        <v>1.5997298234076025</v>
      </c>
      <c r="R335" s="218" t="s">
        <v>55</v>
      </c>
      <c r="S335" s="634" t="s">
        <v>152</v>
      </c>
      <c r="T335" s="635" t="s">
        <v>140</v>
      </c>
      <c r="Z335" s="206"/>
    </row>
    <row r="336" spans="2:27" ht="17.25" customHeight="1" x14ac:dyDescent="0.25">
      <c r="B336" s="636"/>
      <c r="C336" s="637" t="s">
        <v>160</v>
      </c>
      <c r="D336" s="233" t="s">
        <v>55</v>
      </c>
      <c r="E336" s="233" t="s">
        <v>55</v>
      </c>
      <c r="F336" s="233" t="s">
        <v>55</v>
      </c>
      <c r="G336" s="218" t="s">
        <v>55</v>
      </c>
      <c r="H336" s="233" t="s">
        <v>55</v>
      </c>
      <c r="I336" s="233" t="s">
        <v>55</v>
      </c>
      <c r="J336" s="233" t="s">
        <v>55</v>
      </c>
      <c r="K336" s="233" t="s">
        <v>55</v>
      </c>
      <c r="L336" s="233" t="s">
        <v>55</v>
      </c>
      <c r="M336" s="233" t="s">
        <v>55</v>
      </c>
      <c r="N336" s="217" t="s">
        <v>55</v>
      </c>
      <c r="O336" s="218" t="s">
        <v>55</v>
      </c>
      <c r="P336" s="218" t="s">
        <v>55</v>
      </c>
      <c r="Q336" s="341" t="s">
        <v>55</v>
      </c>
      <c r="R336" s="218" t="s">
        <v>55</v>
      </c>
      <c r="S336" s="233" t="s">
        <v>55</v>
      </c>
      <c r="T336" s="250" t="s">
        <v>55</v>
      </c>
      <c r="Z336" s="206"/>
    </row>
    <row r="337" spans="2:27" ht="17.25" customHeight="1" thickBot="1" x14ac:dyDescent="0.3">
      <c r="B337" s="638"/>
      <c r="C337" s="615"/>
      <c r="D337" s="616" t="s">
        <v>508</v>
      </c>
      <c r="E337" s="617"/>
      <c r="F337" s="618">
        <f>SUM(F276:F335)</f>
        <v>168</v>
      </c>
      <c r="G337" s="639">
        <f>SUM(G277:G335)</f>
        <v>56</v>
      </c>
      <c r="H337" s="619"/>
      <c r="I337" s="620"/>
      <c r="J337" s="620"/>
      <c r="K337" s="640"/>
      <c r="L337" s="640"/>
      <c r="M337" s="618" t="s">
        <v>557</v>
      </c>
      <c r="N337" s="622">
        <f>SUM(N277:N281,N282:N284,N287:N288,N290:N296,N298:N335)</f>
        <v>12830</v>
      </c>
      <c r="O337" s="623">
        <f>SUM(O278:O281,O282:O285,O287:O288,O289:O296,O297:O336)</f>
        <v>12830</v>
      </c>
      <c r="P337" s="641"/>
      <c r="Q337" s="642"/>
      <c r="R337" s="643"/>
      <c r="S337" s="640"/>
      <c r="T337" s="644"/>
      <c r="Z337" s="251">
        <f>N337-O337</f>
        <v>0</v>
      </c>
      <c r="AA337" s="207">
        <v>12780</v>
      </c>
    </row>
    <row r="338" spans="2:27" ht="17.25" customHeight="1" thickBot="1" x14ac:dyDescent="0.3">
      <c r="B338" s="505" t="s">
        <v>592</v>
      </c>
      <c r="C338" s="506"/>
      <c r="D338" s="506"/>
      <c r="E338" s="506"/>
      <c r="F338" s="506"/>
      <c r="G338" s="506"/>
      <c r="H338" s="506"/>
      <c r="I338" s="506"/>
      <c r="J338" s="506"/>
      <c r="K338" s="506"/>
      <c r="L338" s="506"/>
      <c r="M338" s="506"/>
      <c r="N338" s="506"/>
      <c r="O338" s="506"/>
      <c r="P338" s="506"/>
      <c r="Q338" s="506"/>
      <c r="R338" s="506"/>
      <c r="S338" s="506"/>
      <c r="T338" s="507"/>
    </row>
    <row r="339" spans="2:27" ht="21" customHeight="1" x14ac:dyDescent="0.25">
      <c r="B339" s="645" t="s">
        <v>562</v>
      </c>
      <c r="C339" s="509" t="s">
        <v>103</v>
      </c>
      <c r="D339" s="284" t="s">
        <v>55</v>
      </c>
      <c r="E339" s="284" t="s">
        <v>55</v>
      </c>
      <c r="F339" s="209">
        <f>97+9*4+2+3+4+2*4+2*2</f>
        <v>154</v>
      </c>
      <c r="G339" s="284" t="s">
        <v>55</v>
      </c>
      <c r="H339" s="646">
        <v>1618</v>
      </c>
      <c r="I339" s="285">
        <v>3.86</v>
      </c>
      <c r="J339" s="210">
        <f>H339*I339</f>
        <v>6245.48</v>
      </c>
      <c r="K339" s="216" t="s">
        <v>559</v>
      </c>
      <c r="L339" s="284" t="s">
        <v>55</v>
      </c>
      <c r="M339" s="284" t="s">
        <v>55</v>
      </c>
      <c r="N339" s="210">
        <f>60*F339+O347+O358+O359+O363</f>
        <v>9400</v>
      </c>
      <c r="O339" s="287">
        <f>60*F339+N354-O341</f>
        <v>7750</v>
      </c>
      <c r="P339" s="388">
        <f t="shared" ref="P339" si="174">N339/J339</f>
        <v>1.5050884799887279</v>
      </c>
      <c r="Q339" s="442">
        <f t="shared" ref="Q339" si="175">O339/J339</f>
        <v>1.2408974170119831</v>
      </c>
      <c r="R339" s="213" t="s">
        <v>55</v>
      </c>
      <c r="S339" s="605" t="s">
        <v>152</v>
      </c>
      <c r="T339" s="606" t="s">
        <v>140</v>
      </c>
    </row>
    <row r="340" spans="2:27" ht="17.25" customHeight="1" x14ac:dyDescent="0.25">
      <c r="B340" s="647"/>
      <c r="C340" s="637" t="s">
        <v>518</v>
      </c>
      <c r="D340" s="648" t="s">
        <v>55</v>
      </c>
      <c r="E340" s="649" t="s">
        <v>55</v>
      </c>
      <c r="F340" s="650" t="s">
        <v>55</v>
      </c>
      <c r="G340" s="650" t="s">
        <v>55</v>
      </c>
      <c r="H340" s="651" t="s">
        <v>55</v>
      </c>
      <c r="I340" s="235" t="s">
        <v>55</v>
      </c>
      <c r="J340" s="215" t="s">
        <v>55</v>
      </c>
      <c r="K340" s="652" t="s">
        <v>55</v>
      </c>
      <c r="L340" s="651" t="s">
        <v>55</v>
      </c>
      <c r="M340" s="650" t="s">
        <v>55</v>
      </c>
      <c r="N340" s="653" t="s">
        <v>55</v>
      </c>
      <c r="O340" s="653" t="s">
        <v>55</v>
      </c>
      <c r="P340" s="400" t="s">
        <v>55</v>
      </c>
      <c r="Q340" s="400" t="s">
        <v>55</v>
      </c>
      <c r="R340" s="218" t="s">
        <v>55</v>
      </c>
      <c r="S340" s="218" t="s">
        <v>55</v>
      </c>
      <c r="T340" s="654" t="s">
        <v>55</v>
      </c>
    </row>
    <row r="341" spans="2:27" ht="24.75" customHeight="1" x14ac:dyDescent="0.25">
      <c r="B341" s="655"/>
      <c r="C341" s="515" t="s">
        <v>589</v>
      </c>
      <c r="D341" s="648" t="s">
        <v>55</v>
      </c>
      <c r="E341" s="649" t="s">
        <v>55</v>
      </c>
      <c r="F341" s="650" t="s">
        <v>55</v>
      </c>
      <c r="G341" s="650" t="s">
        <v>55</v>
      </c>
      <c r="H341" s="651" t="s">
        <v>55</v>
      </c>
      <c r="I341" s="235" t="s">
        <v>55</v>
      </c>
      <c r="J341" s="215" t="s">
        <v>55</v>
      </c>
      <c r="K341" s="652" t="s">
        <v>55</v>
      </c>
      <c r="L341" s="651" t="s">
        <v>55</v>
      </c>
      <c r="M341" s="650" t="s">
        <v>55</v>
      </c>
      <c r="N341" s="653" t="s">
        <v>55</v>
      </c>
      <c r="O341" s="656">
        <v>1590</v>
      </c>
      <c r="P341" s="657" t="s">
        <v>55</v>
      </c>
      <c r="Q341" s="657" t="s">
        <v>55</v>
      </c>
      <c r="R341" s="658" t="s">
        <v>55</v>
      </c>
      <c r="S341" s="659" t="s">
        <v>55</v>
      </c>
      <c r="T341" s="660" t="s">
        <v>587</v>
      </c>
    </row>
    <row r="342" spans="2:27" ht="20.25" customHeight="1" x14ac:dyDescent="0.25">
      <c r="B342" s="607" t="s">
        <v>563</v>
      </c>
      <c r="C342" s="661" t="s">
        <v>20</v>
      </c>
      <c r="D342" s="233" t="s">
        <v>55</v>
      </c>
      <c r="E342" s="233" t="s">
        <v>55</v>
      </c>
      <c r="F342" s="233" t="s">
        <v>55</v>
      </c>
      <c r="G342" s="579">
        <v>14</v>
      </c>
      <c r="H342" s="662">
        <v>49.34</v>
      </c>
      <c r="I342" s="235">
        <v>3.86</v>
      </c>
      <c r="J342" s="215">
        <f t="shared" ref="J342:J364" si="176">H342*I342</f>
        <v>190.45240000000001</v>
      </c>
      <c r="K342" s="216" t="s">
        <v>558</v>
      </c>
      <c r="L342" s="233" t="s">
        <v>55</v>
      </c>
      <c r="M342" s="233" t="s">
        <v>55</v>
      </c>
      <c r="N342" s="215">
        <f>20*G342</f>
        <v>280</v>
      </c>
      <c r="O342" s="220">
        <f>20*G342</f>
        <v>280</v>
      </c>
      <c r="P342" s="356">
        <f>N342/J342</f>
        <v>1.4701836259348793</v>
      </c>
      <c r="Q342" s="356">
        <f>O342/J342</f>
        <v>1.4701836259348793</v>
      </c>
      <c r="R342" s="218" t="s">
        <v>55</v>
      </c>
      <c r="S342" s="608" t="s">
        <v>152</v>
      </c>
      <c r="T342" s="520" t="s">
        <v>140</v>
      </c>
    </row>
    <row r="343" spans="2:27" ht="36.75" customHeight="1" x14ac:dyDescent="0.25">
      <c r="B343" s="607" t="s">
        <v>564</v>
      </c>
      <c r="C343" s="637" t="s">
        <v>586</v>
      </c>
      <c r="D343" s="233" t="s">
        <v>55</v>
      </c>
      <c r="E343" s="233" t="s">
        <v>55</v>
      </c>
      <c r="F343" s="579">
        <v>1</v>
      </c>
      <c r="G343" s="579">
        <v>2</v>
      </c>
      <c r="H343" s="662">
        <v>27.07</v>
      </c>
      <c r="I343" s="235">
        <v>3.86</v>
      </c>
      <c r="J343" s="215">
        <f t="shared" si="176"/>
        <v>104.4902</v>
      </c>
      <c r="K343" s="216" t="s">
        <v>670</v>
      </c>
      <c r="L343" s="586" t="s">
        <v>55</v>
      </c>
      <c r="M343" s="579" t="s">
        <v>55</v>
      </c>
      <c r="N343" s="215">
        <f>60*F343+20*G343</f>
        <v>100</v>
      </c>
      <c r="O343" s="220">
        <f>60*F343+20*G343</f>
        <v>100</v>
      </c>
      <c r="P343" s="356">
        <f>N343/J343</f>
        <v>0.9570275489950254</v>
      </c>
      <c r="Q343" s="356">
        <f>O343/J343</f>
        <v>0.9570275489950254</v>
      </c>
      <c r="R343" s="218" t="s">
        <v>55</v>
      </c>
      <c r="S343" s="608" t="s">
        <v>152</v>
      </c>
      <c r="T343" s="520" t="s">
        <v>140</v>
      </c>
    </row>
    <row r="344" spans="2:27" ht="24.75" customHeight="1" x14ac:dyDescent="0.25">
      <c r="B344" s="607"/>
      <c r="C344" s="637" t="s">
        <v>584</v>
      </c>
      <c r="D344" s="233" t="s">
        <v>55</v>
      </c>
      <c r="E344" s="233" t="s">
        <v>55</v>
      </c>
      <c r="F344" s="233" t="s">
        <v>55</v>
      </c>
      <c r="G344" s="233" t="s">
        <v>55</v>
      </c>
      <c r="H344" s="233" t="s">
        <v>55</v>
      </c>
      <c r="I344" s="233" t="s">
        <v>55</v>
      </c>
      <c r="J344" s="233" t="s">
        <v>55</v>
      </c>
      <c r="K344" s="350" t="s">
        <v>55</v>
      </c>
      <c r="L344" s="233" t="s">
        <v>55</v>
      </c>
      <c r="M344" s="233" t="s">
        <v>55</v>
      </c>
      <c r="N344" s="217" t="s">
        <v>55</v>
      </c>
      <c r="O344" s="218" t="s">
        <v>55</v>
      </c>
      <c r="P344" s="400" t="s">
        <v>55</v>
      </c>
      <c r="Q344" s="400" t="s">
        <v>55</v>
      </c>
      <c r="R344" s="218" t="s">
        <v>55</v>
      </c>
      <c r="S344" s="233" t="s">
        <v>55</v>
      </c>
      <c r="T344" s="250" t="s">
        <v>55</v>
      </c>
    </row>
    <row r="345" spans="2:27" ht="24.75" customHeight="1" x14ac:dyDescent="0.25">
      <c r="B345" s="607" t="s">
        <v>565</v>
      </c>
      <c r="C345" s="661" t="s">
        <v>20</v>
      </c>
      <c r="D345" s="233" t="s">
        <v>55</v>
      </c>
      <c r="E345" s="233" t="s">
        <v>55</v>
      </c>
      <c r="F345" s="233" t="s">
        <v>55</v>
      </c>
      <c r="G345" s="579">
        <v>6</v>
      </c>
      <c r="H345" s="662">
        <v>8.8699999999999992</v>
      </c>
      <c r="I345" s="235">
        <v>3.86</v>
      </c>
      <c r="J345" s="215">
        <f t="shared" si="176"/>
        <v>34.238199999999999</v>
      </c>
      <c r="K345" s="335" t="s">
        <v>558</v>
      </c>
      <c r="L345" s="233" t="s">
        <v>55</v>
      </c>
      <c r="M345" s="233" t="s">
        <v>55</v>
      </c>
      <c r="N345" s="215">
        <f>20*G345</f>
        <v>120</v>
      </c>
      <c r="O345" s="220">
        <f>20*G345</f>
        <v>120</v>
      </c>
      <c r="P345" s="356">
        <f>N345/J345</f>
        <v>3.5048571478640818</v>
      </c>
      <c r="Q345" s="356">
        <f>O345/J345</f>
        <v>3.5048571478640818</v>
      </c>
      <c r="R345" s="218" t="s">
        <v>55</v>
      </c>
      <c r="S345" s="608" t="s">
        <v>152</v>
      </c>
      <c r="T345" s="520" t="s">
        <v>140</v>
      </c>
    </row>
    <row r="346" spans="2:27" ht="20.25" customHeight="1" x14ac:dyDescent="0.25">
      <c r="B346" s="607" t="s">
        <v>566</v>
      </c>
      <c r="C346" s="661" t="s">
        <v>553</v>
      </c>
      <c r="D346" s="663" t="s">
        <v>55</v>
      </c>
      <c r="E346" s="664" t="s">
        <v>55</v>
      </c>
      <c r="F346" s="579" t="s">
        <v>55</v>
      </c>
      <c r="G346" s="579">
        <v>4</v>
      </c>
      <c r="H346" s="662">
        <v>7.62</v>
      </c>
      <c r="I346" s="235">
        <v>3.86</v>
      </c>
      <c r="J346" s="215">
        <f t="shared" si="176"/>
        <v>29.4132</v>
      </c>
      <c r="K346" s="216" t="s">
        <v>558</v>
      </c>
      <c r="L346" s="233" t="s">
        <v>55</v>
      </c>
      <c r="M346" s="233" t="s">
        <v>55</v>
      </c>
      <c r="N346" s="215">
        <f>20*G346</f>
        <v>80</v>
      </c>
      <c r="O346" s="220">
        <f>20*G346</f>
        <v>80</v>
      </c>
      <c r="P346" s="356">
        <f>N346/J346</f>
        <v>2.7198672704772009</v>
      </c>
      <c r="Q346" s="356">
        <f>O346/J346</f>
        <v>2.7198672704772009</v>
      </c>
      <c r="R346" s="218" t="s">
        <v>55</v>
      </c>
      <c r="S346" s="608" t="s">
        <v>152</v>
      </c>
      <c r="T346" s="520" t="s">
        <v>140</v>
      </c>
    </row>
    <row r="347" spans="2:27" ht="17.25" customHeight="1" x14ac:dyDescent="0.25">
      <c r="B347" s="607" t="s">
        <v>567</v>
      </c>
      <c r="C347" s="665" t="s">
        <v>54</v>
      </c>
      <c r="D347" s="666" t="s">
        <v>305</v>
      </c>
      <c r="E347" s="664" t="s">
        <v>55</v>
      </c>
      <c r="F347" s="579" t="s">
        <v>55</v>
      </c>
      <c r="G347" s="579" t="s">
        <v>55</v>
      </c>
      <c r="H347" s="662">
        <v>6.85</v>
      </c>
      <c r="I347" s="235">
        <v>3.86</v>
      </c>
      <c r="J347" s="215">
        <f t="shared" si="176"/>
        <v>26.440999999999999</v>
      </c>
      <c r="K347" s="667" t="s">
        <v>55</v>
      </c>
      <c r="L347" s="579">
        <v>1</v>
      </c>
      <c r="M347" s="579" t="s">
        <v>55</v>
      </c>
      <c r="N347" s="653" t="s">
        <v>55</v>
      </c>
      <c r="O347" s="220">
        <f>CEILING((J347*L347),10)</f>
        <v>30</v>
      </c>
      <c r="P347" s="356" t="s">
        <v>55</v>
      </c>
      <c r="Q347" s="356">
        <f>O347/J347</f>
        <v>1.1346015657501607</v>
      </c>
      <c r="R347" s="218" t="s">
        <v>55</v>
      </c>
      <c r="S347" s="608">
        <v>0</v>
      </c>
      <c r="T347" s="520" t="s">
        <v>140</v>
      </c>
    </row>
    <row r="348" spans="2:27" ht="23.25" customHeight="1" x14ac:dyDescent="0.25">
      <c r="B348" s="607" t="s">
        <v>568</v>
      </c>
      <c r="C348" s="661" t="s">
        <v>20</v>
      </c>
      <c r="D348" s="663" t="s">
        <v>55</v>
      </c>
      <c r="E348" s="664" t="s">
        <v>55</v>
      </c>
      <c r="F348" s="579" t="s">
        <v>55</v>
      </c>
      <c r="G348" s="579">
        <v>8</v>
      </c>
      <c r="H348" s="662">
        <v>24.35</v>
      </c>
      <c r="I348" s="235">
        <v>3.86</v>
      </c>
      <c r="J348" s="215">
        <f t="shared" si="176"/>
        <v>93.991</v>
      </c>
      <c r="K348" s="335" t="s">
        <v>558</v>
      </c>
      <c r="L348" s="233" t="s">
        <v>55</v>
      </c>
      <c r="M348" s="233" t="s">
        <v>55</v>
      </c>
      <c r="N348" s="215">
        <f>20*G348</f>
        <v>160</v>
      </c>
      <c r="O348" s="220">
        <f>20*G348</f>
        <v>160</v>
      </c>
      <c r="P348" s="356">
        <f>N348/J348</f>
        <v>1.702290644848975</v>
      </c>
      <c r="Q348" s="356">
        <f>O348/J348</f>
        <v>1.702290644848975</v>
      </c>
      <c r="R348" s="218" t="s">
        <v>55</v>
      </c>
      <c r="S348" s="608" t="s">
        <v>152</v>
      </c>
      <c r="T348" s="520" t="s">
        <v>140</v>
      </c>
    </row>
    <row r="349" spans="2:27" ht="38.25" customHeight="1" x14ac:dyDescent="0.25">
      <c r="B349" s="607" t="s">
        <v>569</v>
      </c>
      <c r="C349" s="637" t="s">
        <v>586</v>
      </c>
      <c r="D349" s="663" t="s">
        <v>55</v>
      </c>
      <c r="E349" s="664" t="s">
        <v>55</v>
      </c>
      <c r="F349" s="579">
        <v>1</v>
      </c>
      <c r="G349" s="579">
        <v>2</v>
      </c>
      <c r="H349" s="662">
        <v>21.95</v>
      </c>
      <c r="I349" s="235">
        <v>3.86</v>
      </c>
      <c r="J349" s="215">
        <f t="shared" ref="J349" si="177">H349*I349</f>
        <v>84.72699999999999</v>
      </c>
      <c r="K349" s="216" t="s">
        <v>670</v>
      </c>
      <c r="L349" s="586" t="s">
        <v>55</v>
      </c>
      <c r="M349" s="579" t="s">
        <v>55</v>
      </c>
      <c r="N349" s="215">
        <f>60*F349+20*G349</f>
        <v>100</v>
      </c>
      <c r="O349" s="220">
        <f>60*F349+20*G349</f>
        <v>100</v>
      </c>
      <c r="P349" s="356">
        <f>N349/J349</f>
        <v>1.1802613098540018</v>
      </c>
      <c r="Q349" s="356">
        <f>O349/J349</f>
        <v>1.1802613098540018</v>
      </c>
      <c r="R349" s="218" t="s">
        <v>55</v>
      </c>
      <c r="S349" s="608" t="s">
        <v>152</v>
      </c>
      <c r="T349" s="520" t="s">
        <v>140</v>
      </c>
    </row>
    <row r="350" spans="2:27" ht="21" customHeight="1" x14ac:dyDescent="0.25">
      <c r="B350" s="607"/>
      <c r="C350" s="637" t="s">
        <v>584</v>
      </c>
      <c r="D350" s="663" t="s">
        <v>55</v>
      </c>
      <c r="E350" s="664" t="s">
        <v>55</v>
      </c>
      <c r="F350" s="664" t="s">
        <v>55</v>
      </c>
      <c r="G350" s="664" t="s">
        <v>55</v>
      </c>
      <c r="H350" s="664" t="s">
        <v>55</v>
      </c>
      <c r="I350" s="664" t="s">
        <v>55</v>
      </c>
      <c r="J350" s="664" t="s">
        <v>55</v>
      </c>
      <c r="K350" s="668" t="s">
        <v>55</v>
      </c>
      <c r="L350" s="664" t="s">
        <v>55</v>
      </c>
      <c r="M350" s="664" t="s">
        <v>55</v>
      </c>
      <c r="N350" s="669" t="s">
        <v>55</v>
      </c>
      <c r="O350" s="670" t="s">
        <v>55</v>
      </c>
      <c r="P350" s="671" t="s">
        <v>55</v>
      </c>
      <c r="Q350" s="671" t="s">
        <v>55</v>
      </c>
      <c r="R350" s="670" t="s">
        <v>55</v>
      </c>
      <c r="S350" s="664" t="s">
        <v>55</v>
      </c>
      <c r="T350" s="672" t="s">
        <v>55</v>
      </c>
    </row>
    <row r="351" spans="2:27" ht="36.75" customHeight="1" x14ac:dyDescent="0.25">
      <c r="B351" s="607" t="s">
        <v>570</v>
      </c>
      <c r="C351" s="637" t="s">
        <v>585</v>
      </c>
      <c r="D351" s="663" t="s">
        <v>55</v>
      </c>
      <c r="E351" s="664" t="s">
        <v>55</v>
      </c>
      <c r="F351" s="579">
        <v>1</v>
      </c>
      <c r="G351" s="579">
        <v>2</v>
      </c>
      <c r="H351" s="662">
        <v>21.95</v>
      </c>
      <c r="I351" s="235">
        <v>3.86</v>
      </c>
      <c r="J351" s="215">
        <f t="shared" si="176"/>
        <v>84.72699999999999</v>
      </c>
      <c r="K351" s="216" t="s">
        <v>670</v>
      </c>
      <c r="L351" s="586" t="s">
        <v>55</v>
      </c>
      <c r="M351" s="579" t="s">
        <v>55</v>
      </c>
      <c r="N351" s="215">
        <f>60*F351+20*G351</f>
        <v>100</v>
      </c>
      <c r="O351" s="220">
        <f>60*F351+20*G351</f>
        <v>100</v>
      </c>
      <c r="P351" s="356">
        <f>N351/J351</f>
        <v>1.1802613098540018</v>
      </c>
      <c r="Q351" s="356">
        <f>O351/J351</f>
        <v>1.1802613098540018</v>
      </c>
      <c r="R351" s="218" t="s">
        <v>55</v>
      </c>
      <c r="S351" s="608" t="s">
        <v>152</v>
      </c>
      <c r="T351" s="520" t="s">
        <v>140</v>
      </c>
    </row>
    <row r="352" spans="2:27" ht="17.25" customHeight="1" x14ac:dyDescent="0.25">
      <c r="B352" s="607"/>
      <c r="C352" s="637" t="s">
        <v>584</v>
      </c>
      <c r="D352" s="663" t="s">
        <v>55</v>
      </c>
      <c r="E352" s="664" t="s">
        <v>55</v>
      </c>
      <c r="F352" s="579" t="s">
        <v>55</v>
      </c>
      <c r="G352" s="579" t="s">
        <v>55</v>
      </c>
      <c r="H352" s="579" t="s">
        <v>55</v>
      </c>
      <c r="I352" s="579" t="s">
        <v>55</v>
      </c>
      <c r="J352" s="579" t="s">
        <v>55</v>
      </c>
      <c r="K352" s="667" t="s">
        <v>55</v>
      </c>
      <c r="L352" s="579" t="s">
        <v>55</v>
      </c>
      <c r="M352" s="579" t="s">
        <v>55</v>
      </c>
      <c r="N352" s="673" t="s">
        <v>55</v>
      </c>
      <c r="O352" s="580" t="s">
        <v>55</v>
      </c>
      <c r="P352" s="631" t="s">
        <v>55</v>
      </c>
      <c r="Q352" s="631" t="s">
        <v>55</v>
      </c>
      <c r="R352" s="580" t="s">
        <v>55</v>
      </c>
      <c r="S352" s="579" t="s">
        <v>55</v>
      </c>
      <c r="T352" s="674" t="s">
        <v>55</v>
      </c>
    </row>
    <row r="353" spans="2:26" ht="23.25" customHeight="1" x14ac:dyDescent="0.25">
      <c r="B353" s="607" t="s">
        <v>571</v>
      </c>
      <c r="C353" s="661" t="s">
        <v>553</v>
      </c>
      <c r="D353" s="663" t="s">
        <v>55</v>
      </c>
      <c r="E353" s="664" t="s">
        <v>55</v>
      </c>
      <c r="F353" s="579" t="s">
        <v>55</v>
      </c>
      <c r="G353" s="579">
        <v>8</v>
      </c>
      <c r="H353" s="662">
        <v>17.07</v>
      </c>
      <c r="I353" s="235">
        <v>3.86</v>
      </c>
      <c r="J353" s="215">
        <f t="shared" si="176"/>
        <v>65.890199999999993</v>
      </c>
      <c r="K353" s="335" t="s">
        <v>558</v>
      </c>
      <c r="L353" s="233" t="s">
        <v>55</v>
      </c>
      <c r="M353" s="233" t="s">
        <v>55</v>
      </c>
      <c r="N353" s="215">
        <f>20*G353</f>
        <v>160</v>
      </c>
      <c r="O353" s="220">
        <f>20*G353</f>
        <v>160</v>
      </c>
      <c r="P353" s="356">
        <f>N353/J353</f>
        <v>2.4282822028162006</v>
      </c>
      <c r="Q353" s="356">
        <f t="shared" ref="Q353:Q359" si="178">O353/J353</f>
        <v>2.4282822028162006</v>
      </c>
      <c r="R353" s="218" t="s">
        <v>55</v>
      </c>
      <c r="S353" s="608" t="s">
        <v>152</v>
      </c>
      <c r="T353" s="520" t="s">
        <v>140</v>
      </c>
    </row>
    <row r="354" spans="2:26" ht="17.25" customHeight="1" x14ac:dyDescent="0.25">
      <c r="B354" s="607" t="s">
        <v>572</v>
      </c>
      <c r="C354" s="637" t="s">
        <v>573</v>
      </c>
      <c r="D354" s="663" t="s">
        <v>303</v>
      </c>
      <c r="E354" s="664" t="s">
        <v>55</v>
      </c>
      <c r="F354" s="579" t="s">
        <v>55</v>
      </c>
      <c r="G354" s="579"/>
      <c r="H354" s="662">
        <v>10.33</v>
      </c>
      <c r="I354" s="235">
        <v>3.86</v>
      </c>
      <c r="J354" s="215">
        <f t="shared" si="176"/>
        <v>39.873799999999996</v>
      </c>
      <c r="K354" s="351"/>
      <c r="L354" s="293"/>
      <c r="M354" s="579"/>
      <c r="N354" s="215">
        <v>100</v>
      </c>
      <c r="O354" s="220">
        <f>CEILING((J354*L354),10)</f>
        <v>0</v>
      </c>
      <c r="P354" s="356">
        <f>N354/J354</f>
        <v>2.507912463823363</v>
      </c>
      <c r="Q354" s="356">
        <f t="shared" si="178"/>
        <v>0</v>
      </c>
      <c r="R354" s="218" t="s">
        <v>55</v>
      </c>
      <c r="S354" s="608" t="s">
        <v>152</v>
      </c>
      <c r="T354" s="520" t="s">
        <v>140</v>
      </c>
    </row>
    <row r="355" spans="2:26" ht="24.75" customHeight="1" x14ac:dyDescent="0.25">
      <c r="B355" s="607" t="s">
        <v>574</v>
      </c>
      <c r="C355" s="661" t="s">
        <v>20</v>
      </c>
      <c r="D355" s="663" t="s">
        <v>55</v>
      </c>
      <c r="E355" s="664" t="s">
        <v>55</v>
      </c>
      <c r="F355" s="579" t="s">
        <v>55</v>
      </c>
      <c r="G355" s="579">
        <v>6</v>
      </c>
      <c r="H355" s="662">
        <v>14.44</v>
      </c>
      <c r="I355" s="235">
        <v>3.86</v>
      </c>
      <c r="J355" s="215">
        <f t="shared" si="176"/>
        <v>55.738399999999999</v>
      </c>
      <c r="K355" s="335" t="s">
        <v>558</v>
      </c>
      <c r="L355" s="233" t="s">
        <v>55</v>
      </c>
      <c r="M355" s="233" t="s">
        <v>55</v>
      </c>
      <c r="N355" s="215">
        <f>20*G355</f>
        <v>120</v>
      </c>
      <c r="O355" s="220">
        <f>20*G355</f>
        <v>120</v>
      </c>
      <c r="P355" s="356">
        <f>N355/J355</f>
        <v>2.1529143283624936</v>
      </c>
      <c r="Q355" s="356">
        <f t="shared" si="178"/>
        <v>2.1529143283624936</v>
      </c>
      <c r="R355" s="218" t="s">
        <v>55</v>
      </c>
      <c r="S355" s="608" t="s">
        <v>152</v>
      </c>
      <c r="T355" s="520" t="s">
        <v>140</v>
      </c>
    </row>
    <row r="356" spans="2:26" ht="24" customHeight="1" x14ac:dyDescent="0.25">
      <c r="B356" s="607" t="s">
        <v>575</v>
      </c>
      <c r="C356" s="661" t="s">
        <v>20</v>
      </c>
      <c r="D356" s="663" t="s">
        <v>55</v>
      </c>
      <c r="E356" s="664" t="s">
        <v>55</v>
      </c>
      <c r="F356" s="579" t="s">
        <v>55</v>
      </c>
      <c r="G356" s="579">
        <v>6</v>
      </c>
      <c r="H356" s="662">
        <v>14.45</v>
      </c>
      <c r="I356" s="235">
        <v>3.86</v>
      </c>
      <c r="J356" s="215">
        <f t="shared" si="176"/>
        <v>55.776999999999994</v>
      </c>
      <c r="K356" s="335" t="s">
        <v>558</v>
      </c>
      <c r="L356" s="233" t="s">
        <v>55</v>
      </c>
      <c r="M356" s="233" t="s">
        <v>55</v>
      </c>
      <c r="N356" s="215">
        <f>20*G356</f>
        <v>120</v>
      </c>
      <c r="O356" s="220">
        <f>20*G356</f>
        <v>120</v>
      </c>
      <c r="P356" s="356">
        <f>N356/J356</f>
        <v>2.1514244222529002</v>
      </c>
      <c r="Q356" s="356">
        <f t="shared" si="178"/>
        <v>2.1514244222529002</v>
      </c>
      <c r="R356" s="218" t="s">
        <v>55</v>
      </c>
      <c r="S356" s="608" t="s">
        <v>152</v>
      </c>
      <c r="T356" s="520" t="s">
        <v>140</v>
      </c>
    </row>
    <row r="357" spans="2:26" ht="24.75" customHeight="1" x14ac:dyDescent="0.25">
      <c r="B357" s="607" t="s">
        <v>576</v>
      </c>
      <c r="C357" s="661" t="s">
        <v>553</v>
      </c>
      <c r="D357" s="663" t="s">
        <v>55</v>
      </c>
      <c r="E357" s="664" t="s">
        <v>55</v>
      </c>
      <c r="F357" s="579" t="s">
        <v>55</v>
      </c>
      <c r="G357" s="579">
        <v>4</v>
      </c>
      <c r="H357" s="662">
        <v>9.59</v>
      </c>
      <c r="I357" s="235">
        <v>3.86</v>
      </c>
      <c r="J357" s="215">
        <f t="shared" si="176"/>
        <v>37.017399999999995</v>
      </c>
      <c r="K357" s="335" t="s">
        <v>558</v>
      </c>
      <c r="L357" s="233" t="s">
        <v>55</v>
      </c>
      <c r="M357" s="233" t="s">
        <v>55</v>
      </c>
      <c r="N357" s="215">
        <f>20*G357</f>
        <v>80</v>
      </c>
      <c r="O357" s="220">
        <f>20*G357</f>
        <v>80</v>
      </c>
      <c r="P357" s="356">
        <f>N357/J357</f>
        <v>2.1611458395241159</v>
      </c>
      <c r="Q357" s="356">
        <f t="shared" si="178"/>
        <v>2.1611458395241159</v>
      </c>
      <c r="R357" s="218" t="s">
        <v>55</v>
      </c>
      <c r="S357" s="608" t="s">
        <v>152</v>
      </c>
      <c r="T357" s="520" t="s">
        <v>140</v>
      </c>
    </row>
    <row r="358" spans="2:26" ht="17.25" customHeight="1" x14ac:dyDescent="0.25">
      <c r="B358" s="607" t="s">
        <v>577</v>
      </c>
      <c r="C358" s="665" t="s">
        <v>54</v>
      </c>
      <c r="D358" s="663" t="s">
        <v>303</v>
      </c>
      <c r="E358" s="664" t="s">
        <v>55</v>
      </c>
      <c r="F358" s="579" t="s">
        <v>55</v>
      </c>
      <c r="G358" s="579" t="s">
        <v>55</v>
      </c>
      <c r="H358" s="662">
        <v>7.59</v>
      </c>
      <c r="I358" s="235">
        <v>3.86</v>
      </c>
      <c r="J358" s="215">
        <f t="shared" si="176"/>
        <v>29.2974</v>
      </c>
      <c r="K358" s="667" t="s">
        <v>55</v>
      </c>
      <c r="L358" s="579">
        <v>1</v>
      </c>
      <c r="M358" s="579" t="s">
        <v>55</v>
      </c>
      <c r="N358" s="653" t="s">
        <v>55</v>
      </c>
      <c r="O358" s="220">
        <f>CEILING((J358*L358),10)</f>
        <v>30</v>
      </c>
      <c r="P358" s="356" t="s">
        <v>55</v>
      </c>
      <c r="Q358" s="356">
        <f t="shared" si="178"/>
        <v>1.0239816502488275</v>
      </c>
      <c r="R358" s="218" t="s">
        <v>55</v>
      </c>
      <c r="S358" s="608">
        <v>0</v>
      </c>
      <c r="T358" s="520" t="s">
        <v>140</v>
      </c>
    </row>
    <row r="359" spans="2:26" ht="17.25" customHeight="1" x14ac:dyDescent="0.25">
      <c r="B359" s="607" t="s">
        <v>578</v>
      </c>
      <c r="C359" s="637" t="s">
        <v>95</v>
      </c>
      <c r="D359" s="663" t="s">
        <v>55</v>
      </c>
      <c r="E359" s="664" t="s">
        <v>55</v>
      </c>
      <c r="F359" s="579" t="s">
        <v>55</v>
      </c>
      <c r="G359" s="579" t="s">
        <v>55</v>
      </c>
      <c r="H359" s="662">
        <v>11.17</v>
      </c>
      <c r="I359" s="235">
        <v>3.86</v>
      </c>
      <c r="J359" s="215">
        <f t="shared" si="176"/>
        <v>43.116199999999999</v>
      </c>
      <c r="K359" s="667" t="s">
        <v>55</v>
      </c>
      <c r="L359" s="579">
        <v>1</v>
      </c>
      <c r="M359" s="579" t="s">
        <v>55</v>
      </c>
      <c r="N359" s="653" t="s">
        <v>55</v>
      </c>
      <c r="O359" s="220">
        <f>CEILING((J359*L359),10)</f>
        <v>50</v>
      </c>
      <c r="P359" s="356" t="s">
        <v>55</v>
      </c>
      <c r="Q359" s="356">
        <f t="shared" si="178"/>
        <v>1.1596569270946884</v>
      </c>
      <c r="R359" s="218" t="s">
        <v>55</v>
      </c>
      <c r="S359" s="608">
        <v>0</v>
      </c>
      <c r="T359" s="520" t="s">
        <v>140</v>
      </c>
    </row>
    <row r="360" spans="2:26" ht="38.25" customHeight="1" x14ac:dyDescent="0.25">
      <c r="B360" s="607" t="s">
        <v>579</v>
      </c>
      <c r="C360" s="637" t="s">
        <v>586</v>
      </c>
      <c r="D360" s="663" t="s">
        <v>55</v>
      </c>
      <c r="E360" s="664" t="s">
        <v>55</v>
      </c>
      <c r="F360" s="579">
        <v>1</v>
      </c>
      <c r="G360" s="579">
        <v>2</v>
      </c>
      <c r="H360" s="662">
        <v>32.36</v>
      </c>
      <c r="I360" s="235">
        <v>3.86</v>
      </c>
      <c r="J360" s="215">
        <f t="shared" si="176"/>
        <v>124.9096</v>
      </c>
      <c r="K360" s="216" t="s">
        <v>670</v>
      </c>
      <c r="L360" s="586" t="s">
        <v>55</v>
      </c>
      <c r="M360" s="579" t="s">
        <v>55</v>
      </c>
      <c r="N360" s="215">
        <f>60*F360+20*G360</f>
        <v>100</v>
      </c>
      <c r="O360" s="220">
        <f>60*F360+20*G360</f>
        <v>100</v>
      </c>
      <c r="P360" s="356">
        <f>N360/J360</f>
        <v>0.80057897871740846</v>
      </c>
      <c r="Q360" s="356">
        <f>O360/J360</f>
        <v>0.80057897871740846</v>
      </c>
      <c r="R360" s="218" t="s">
        <v>55</v>
      </c>
      <c r="S360" s="608" t="s">
        <v>152</v>
      </c>
      <c r="T360" s="520" t="s">
        <v>140</v>
      </c>
    </row>
    <row r="361" spans="2:26" ht="17.25" customHeight="1" x14ac:dyDescent="0.25">
      <c r="B361" s="607"/>
      <c r="C361" s="637" t="s">
        <v>584</v>
      </c>
      <c r="D361" s="663" t="s">
        <v>55</v>
      </c>
      <c r="E361" s="664" t="s">
        <v>55</v>
      </c>
      <c r="F361" s="664" t="s">
        <v>55</v>
      </c>
      <c r="G361" s="579" t="s">
        <v>55</v>
      </c>
      <c r="H361" s="664" t="s">
        <v>55</v>
      </c>
      <c r="I361" s="664" t="s">
        <v>55</v>
      </c>
      <c r="J361" s="664" t="s">
        <v>55</v>
      </c>
      <c r="K361" s="668" t="s">
        <v>55</v>
      </c>
      <c r="L361" s="664" t="s">
        <v>55</v>
      </c>
      <c r="M361" s="664" t="s">
        <v>55</v>
      </c>
      <c r="N361" s="669" t="s">
        <v>55</v>
      </c>
      <c r="O361" s="670" t="s">
        <v>55</v>
      </c>
      <c r="P361" s="671" t="s">
        <v>55</v>
      </c>
      <c r="Q361" s="671" t="s">
        <v>55</v>
      </c>
      <c r="R361" s="670" t="s">
        <v>55</v>
      </c>
      <c r="S361" s="664" t="s">
        <v>55</v>
      </c>
      <c r="T361" s="672" t="s">
        <v>55</v>
      </c>
    </row>
    <row r="362" spans="2:26" ht="21.75" customHeight="1" x14ac:dyDescent="0.25">
      <c r="B362" s="607" t="s">
        <v>580</v>
      </c>
      <c r="C362" s="661" t="s">
        <v>20</v>
      </c>
      <c r="D362" s="663" t="s">
        <v>55</v>
      </c>
      <c r="E362" s="664" t="s">
        <v>55</v>
      </c>
      <c r="F362" s="664" t="s">
        <v>55</v>
      </c>
      <c r="G362" s="579">
        <v>8</v>
      </c>
      <c r="H362" s="662">
        <v>20.76</v>
      </c>
      <c r="I362" s="235">
        <v>3.86</v>
      </c>
      <c r="J362" s="215">
        <f t="shared" si="176"/>
        <v>80.133600000000001</v>
      </c>
      <c r="K362" s="335" t="s">
        <v>558</v>
      </c>
      <c r="L362" s="233" t="s">
        <v>55</v>
      </c>
      <c r="M362" s="233" t="s">
        <v>55</v>
      </c>
      <c r="N362" s="215">
        <f>20*G362</f>
        <v>160</v>
      </c>
      <c r="O362" s="220">
        <f>20*G362</f>
        <v>160</v>
      </c>
      <c r="P362" s="356">
        <f>N362/J362</f>
        <v>1.9966655685006041</v>
      </c>
      <c r="Q362" s="356">
        <f>O362/J362</f>
        <v>1.9966655685006041</v>
      </c>
      <c r="R362" s="218" t="s">
        <v>55</v>
      </c>
      <c r="S362" s="608" t="s">
        <v>152</v>
      </c>
      <c r="T362" s="520" t="s">
        <v>140</v>
      </c>
    </row>
    <row r="363" spans="2:26" ht="17.25" customHeight="1" x14ac:dyDescent="0.25">
      <c r="B363" s="607" t="s">
        <v>581</v>
      </c>
      <c r="C363" s="637" t="s">
        <v>95</v>
      </c>
      <c r="D363" s="663" t="s">
        <v>55</v>
      </c>
      <c r="E363" s="664" t="s">
        <v>55</v>
      </c>
      <c r="F363" s="664" t="s">
        <v>55</v>
      </c>
      <c r="G363" s="579" t="s">
        <v>55</v>
      </c>
      <c r="H363" s="662">
        <v>12.12</v>
      </c>
      <c r="I363" s="235">
        <v>3.86</v>
      </c>
      <c r="J363" s="215">
        <f t="shared" si="176"/>
        <v>46.783199999999994</v>
      </c>
      <c r="K363" s="667" t="s">
        <v>55</v>
      </c>
      <c r="L363" s="579">
        <v>1</v>
      </c>
      <c r="M363" s="579" t="s">
        <v>55</v>
      </c>
      <c r="N363" s="653" t="s">
        <v>55</v>
      </c>
      <c r="O363" s="220">
        <f>CEILING((J363*L363),10)</f>
        <v>50</v>
      </c>
      <c r="P363" s="356" t="s">
        <v>55</v>
      </c>
      <c r="Q363" s="356">
        <f>O363/J363</f>
        <v>1.0687597257135042</v>
      </c>
      <c r="R363" s="218" t="s">
        <v>55</v>
      </c>
      <c r="S363" s="608">
        <v>0</v>
      </c>
      <c r="T363" s="520" t="s">
        <v>140</v>
      </c>
    </row>
    <row r="364" spans="2:26" ht="35.25" customHeight="1" x14ac:dyDescent="0.25">
      <c r="B364" s="607" t="s">
        <v>582</v>
      </c>
      <c r="C364" s="637" t="s">
        <v>586</v>
      </c>
      <c r="D364" s="663" t="s">
        <v>55</v>
      </c>
      <c r="E364" s="664" t="s">
        <v>55</v>
      </c>
      <c r="F364" s="579">
        <v>1</v>
      </c>
      <c r="G364" s="579">
        <v>2</v>
      </c>
      <c r="H364" s="662">
        <v>22.02</v>
      </c>
      <c r="I364" s="235">
        <v>3.86</v>
      </c>
      <c r="J364" s="215">
        <f t="shared" si="176"/>
        <v>84.997199999999992</v>
      </c>
      <c r="K364" s="216" t="s">
        <v>670</v>
      </c>
      <c r="L364" s="586" t="s">
        <v>55</v>
      </c>
      <c r="M364" s="579" t="s">
        <v>55</v>
      </c>
      <c r="N364" s="215">
        <f>60*F364+20*G364</f>
        <v>100</v>
      </c>
      <c r="O364" s="220">
        <f>60*F364+20*G364</f>
        <v>100</v>
      </c>
      <c r="P364" s="356">
        <f>N364/J364</f>
        <v>1.176509343837209</v>
      </c>
      <c r="Q364" s="356">
        <f>O364/J364</f>
        <v>1.176509343837209</v>
      </c>
      <c r="R364" s="218" t="s">
        <v>55</v>
      </c>
      <c r="S364" s="608" t="s">
        <v>152</v>
      </c>
      <c r="T364" s="520" t="s">
        <v>140</v>
      </c>
    </row>
    <row r="365" spans="2:26" ht="17.25" customHeight="1" x14ac:dyDescent="0.25">
      <c r="B365" s="675"/>
      <c r="C365" s="637" t="s">
        <v>584</v>
      </c>
      <c r="D365" s="663" t="s">
        <v>55</v>
      </c>
      <c r="E365" s="664" t="s">
        <v>55</v>
      </c>
      <c r="F365" s="664" t="s">
        <v>55</v>
      </c>
      <c r="G365" s="579" t="s">
        <v>55</v>
      </c>
      <c r="H365" s="664" t="s">
        <v>55</v>
      </c>
      <c r="I365" s="664" t="s">
        <v>55</v>
      </c>
      <c r="J365" s="664" t="s">
        <v>55</v>
      </c>
      <c r="K365" s="668" t="s">
        <v>55</v>
      </c>
      <c r="L365" s="664" t="s">
        <v>55</v>
      </c>
      <c r="M365" s="664" t="s">
        <v>55</v>
      </c>
      <c r="N365" s="669" t="s">
        <v>55</v>
      </c>
      <c r="O365" s="670" t="s">
        <v>55</v>
      </c>
      <c r="P365" s="671" t="s">
        <v>55</v>
      </c>
      <c r="Q365" s="671" t="s">
        <v>55</v>
      </c>
      <c r="R365" s="670" t="s">
        <v>55</v>
      </c>
      <c r="S365" s="664" t="s">
        <v>55</v>
      </c>
      <c r="T365" s="672" t="s">
        <v>55</v>
      </c>
    </row>
    <row r="366" spans="2:26" ht="32.25" customHeight="1" x14ac:dyDescent="0.25">
      <c r="B366" s="607" t="s">
        <v>583</v>
      </c>
      <c r="C366" s="637" t="s">
        <v>586</v>
      </c>
      <c r="D366" s="663" t="s">
        <v>55</v>
      </c>
      <c r="E366" s="664" t="s">
        <v>55</v>
      </c>
      <c r="F366" s="579">
        <v>1</v>
      </c>
      <c r="G366" s="579">
        <v>2</v>
      </c>
      <c r="H366" s="662">
        <v>22.02</v>
      </c>
      <c r="I366" s="235">
        <v>3.86</v>
      </c>
      <c r="J366" s="215">
        <f t="shared" ref="J366" si="179">H366*I366</f>
        <v>84.997199999999992</v>
      </c>
      <c r="K366" s="216" t="s">
        <v>670</v>
      </c>
      <c r="L366" s="586" t="s">
        <v>55</v>
      </c>
      <c r="M366" s="579" t="s">
        <v>55</v>
      </c>
      <c r="N366" s="215">
        <f>60*F366+20*G366</f>
        <v>100</v>
      </c>
      <c r="O366" s="220">
        <f>60*F366+20*G366</f>
        <v>100</v>
      </c>
      <c r="P366" s="356">
        <f>N366/J366</f>
        <v>1.176509343837209</v>
      </c>
      <c r="Q366" s="356">
        <f>O366/J366</f>
        <v>1.176509343837209</v>
      </c>
      <c r="R366" s="218" t="s">
        <v>55</v>
      </c>
      <c r="S366" s="608" t="s">
        <v>152</v>
      </c>
      <c r="T366" s="520" t="s">
        <v>140</v>
      </c>
    </row>
    <row r="367" spans="2:26" ht="17.25" customHeight="1" x14ac:dyDescent="0.25">
      <c r="B367" s="647"/>
      <c r="C367" s="637" t="s">
        <v>584</v>
      </c>
      <c r="D367" s="663" t="s">
        <v>55</v>
      </c>
      <c r="E367" s="664" t="s">
        <v>55</v>
      </c>
      <c r="F367" s="664" t="s">
        <v>55</v>
      </c>
      <c r="G367" s="664" t="s">
        <v>55</v>
      </c>
      <c r="H367" s="664" t="s">
        <v>55</v>
      </c>
      <c r="I367" s="664" t="s">
        <v>55</v>
      </c>
      <c r="J367" s="664" t="s">
        <v>55</v>
      </c>
      <c r="K367" s="668" t="s">
        <v>55</v>
      </c>
      <c r="L367" s="664" t="s">
        <v>55</v>
      </c>
      <c r="M367" s="664" t="s">
        <v>55</v>
      </c>
      <c r="N367" s="669" t="s">
        <v>55</v>
      </c>
      <c r="O367" s="670" t="s">
        <v>55</v>
      </c>
      <c r="P367" s="671" t="s">
        <v>55</v>
      </c>
      <c r="Q367" s="671" t="s">
        <v>55</v>
      </c>
      <c r="R367" s="670" t="s">
        <v>55</v>
      </c>
      <c r="S367" s="664" t="s">
        <v>55</v>
      </c>
      <c r="T367" s="672" t="s">
        <v>55</v>
      </c>
    </row>
    <row r="368" spans="2:26" ht="17.25" customHeight="1" thickBot="1" x14ac:dyDescent="0.3">
      <c r="B368" s="676"/>
      <c r="C368" s="615"/>
      <c r="D368" s="616" t="s">
        <v>508</v>
      </c>
      <c r="E368" s="617"/>
      <c r="F368" s="618">
        <f>SUM(F339:F367)</f>
        <v>160</v>
      </c>
      <c r="G368" s="639">
        <f>SUM(G339:G367)</f>
        <v>76</v>
      </c>
      <c r="H368" s="619"/>
      <c r="I368" s="620"/>
      <c r="J368" s="620"/>
      <c r="K368" s="640"/>
      <c r="L368" s="640"/>
      <c r="M368" s="677" t="s">
        <v>557</v>
      </c>
      <c r="N368" s="622">
        <f>SUM(N339:N367)</f>
        <v>11380</v>
      </c>
      <c r="O368" s="623">
        <f>SUM(O339:O367)</f>
        <v>11380</v>
      </c>
      <c r="P368" s="641"/>
      <c r="Q368" s="641"/>
      <c r="R368" s="641"/>
      <c r="S368" s="640"/>
      <c r="T368" s="644"/>
      <c r="Z368" s="207">
        <v>12782</v>
      </c>
    </row>
    <row r="369" spans="1:27" ht="17.25" customHeight="1" thickBot="1" x14ac:dyDescent="0.3">
      <c r="B369" s="505" t="s">
        <v>513</v>
      </c>
      <c r="C369" s="506"/>
      <c r="D369" s="506"/>
      <c r="E369" s="506"/>
      <c r="F369" s="506"/>
      <c r="G369" s="506"/>
      <c r="H369" s="506"/>
      <c r="I369" s="506"/>
      <c r="J369" s="506"/>
      <c r="K369" s="506"/>
      <c r="L369" s="506"/>
      <c r="M369" s="506"/>
      <c r="N369" s="506"/>
      <c r="O369" s="506"/>
      <c r="P369" s="506"/>
      <c r="Q369" s="506"/>
      <c r="R369" s="506"/>
      <c r="S369" s="506"/>
      <c r="T369" s="507"/>
      <c r="AA369" s="251"/>
    </row>
    <row r="370" spans="1:27" ht="17.25" customHeight="1" x14ac:dyDescent="0.25">
      <c r="B370" s="604" t="s">
        <v>531</v>
      </c>
      <c r="C370" s="509" t="s">
        <v>16</v>
      </c>
      <c r="D370" s="284" t="s">
        <v>55</v>
      </c>
      <c r="E370" s="284" t="s">
        <v>55</v>
      </c>
      <c r="F370" s="209" t="s">
        <v>55</v>
      </c>
      <c r="G370" s="209" t="s">
        <v>55</v>
      </c>
      <c r="H370" s="294">
        <v>73.8</v>
      </c>
      <c r="I370" s="285">
        <v>3.855</v>
      </c>
      <c r="J370" s="210">
        <f t="shared" ref="J370" si="180">H370*I370</f>
        <v>284.49899999999997</v>
      </c>
      <c r="K370" s="295" t="s">
        <v>55</v>
      </c>
      <c r="L370" s="678" t="s">
        <v>55</v>
      </c>
      <c r="M370" s="573" t="s">
        <v>55</v>
      </c>
      <c r="N370" s="210">
        <f>1590/2</f>
        <v>795</v>
      </c>
      <c r="O370" s="287" t="s">
        <v>55</v>
      </c>
      <c r="P370" s="388">
        <f>N370/J370</f>
        <v>2.794385920512902</v>
      </c>
      <c r="Q370" s="287" t="s">
        <v>55</v>
      </c>
      <c r="R370" s="212" t="s">
        <v>55</v>
      </c>
      <c r="S370" s="605" t="s">
        <v>249</v>
      </c>
      <c r="T370" s="606" t="s">
        <v>55</v>
      </c>
    </row>
    <row r="371" spans="1:27" ht="20.25" customHeight="1" x14ac:dyDescent="0.25">
      <c r="B371" s="679"/>
      <c r="C371" s="515" t="s">
        <v>589</v>
      </c>
      <c r="D371" s="233" t="s">
        <v>55</v>
      </c>
      <c r="E371" s="233" t="s">
        <v>55</v>
      </c>
      <c r="F371" s="224" t="s">
        <v>55</v>
      </c>
      <c r="G371" s="224" t="s">
        <v>55</v>
      </c>
      <c r="H371" s="224" t="s">
        <v>55</v>
      </c>
      <c r="I371" s="224" t="s">
        <v>55</v>
      </c>
      <c r="J371" s="224" t="s">
        <v>55</v>
      </c>
      <c r="K371" s="224" t="s">
        <v>55</v>
      </c>
      <c r="L371" s="224" t="s">
        <v>55</v>
      </c>
      <c r="M371" s="224" t="s">
        <v>55</v>
      </c>
      <c r="N371" s="240" t="s">
        <v>55</v>
      </c>
      <c r="O371" s="241">
        <v>1590</v>
      </c>
      <c r="P371" s="241" t="s">
        <v>55</v>
      </c>
      <c r="Q371" s="241" t="s">
        <v>55</v>
      </c>
      <c r="R371" s="240" t="s">
        <v>55</v>
      </c>
      <c r="S371" s="543"/>
      <c r="T371" s="544" t="s">
        <v>590</v>
      </c>
    </row>
    <row r="372" spans="1:27" ht="21.75" customHeight="1" x14ac:dyDescent="0.25">
      <c r="B372" s="679" t="s">
        <v>535</v>
      </c>
      <c r="C372" s="518" t="s">
        <v>20</v>
      </c>
      <c r="D372" s="233" t="s">
        <v>55</v>
      </c>
      <c r="E372" s="233" t="s">
        <v>55</v>
      </c>
      <c r="F372" s="224" t="s">
        <v>55</v>
      </c>
      <c r="G372" s="224">
        <v>9</v>
      </c>
      <c r="H372" s="234">
        <v>49.34</v>
      </c>
      <c r="I372" s="235">
        <v>3.855</v>
      </c>
      <c r="J372" s="215">
        <f t="shared" ref="J372" si="181">H372*I372</f>
        <v>190.20570000000001</v>
      </c>
      <c r="K372" s="216" t="s">
        <v>558</v>
      </c>
      <c r="L372" s="586" t="s">
        <v>55</v>
      </c>
      <c r="M372" s="579" t="s">
        <v>55</v>
      </c>
      <c r="N372" s="215">
        <f>20*G372</f>
        <v>180</v>
      </c>
      <c r="O372" s="220">
        <f>20*G372</f>
        <v>180</v>
      </c>
      <c r="P372" s="356">
        <f>N372/J372</f>
        <v>0.94634387928437469</v>
      </c>
      <c r="Q372" s="356">
        <f>O372/J372</f>
        <v>0.94634387928437469</v>
      </c>
      <c r="R372" s="217"/>
      <c r="S372" s="608" t="s">
        <v>249</v>
      </c>
      <c r="T372" s="520" t="s">
        <v>315</v>
      </c>
      <c r="Z372" s="207">
        <v>12</v>
      </c>
    </row>
    <row r="373" spans="1:27" ht="24" customHeight="1" x14ac:dyDescent="0.25">
      <c r="B373" s="607" t="s">
        <v>514</v>
      </c>
      <c r="C373" s="518" t="s">
        <v>515</v>
      </c>
      <c r="D373" s="233" t="s">
        <v>55</v>
      </c>
      <c r="E373" s="233" t="s">
        <v>55</v>
      </c>
      <c r="F373" s="214">
        <v>1</v>
      </c>
      <c r="G373" s="214" t="s">
        <v>55</v>
      </c>
      <c r="H373" s="611">
        <v>13.24</v>
      </c>
      <c r="I373" s="235">
        <v>3.86</v>
      </c>
      <c r="J373" s="215">
        <f t="shared" ref="J373:J380" si="182">H373*I373</f>
        <v>51.106400000000001</v>
      </c>
      <c r="K373" s="216" t="s">
        <v>559</v>
      </c>
      <c r="L373" s="586" t="s">
        <v>55</v>
      </c>
      <c r="M373" s="579" t="s">
        <v>55</v>
      </c>
      <c r="N373" s="215">
        <f>60*F373</f>
        <v>60</v>
      </c>
      <c r="O373" s="220">
        <f>60*F373</f>
        <v>60</v>
      </c>
      <c r="P373" s="356">
        <f>N373/J373</f>
        <v>1.1740212576115712</v>
      </c>
      <c r="Q373" s="356">
        <f>O373/J373</f>
        <v>1.1740212576115712</v>
      </c>
      <c r="R373" s="218" t="s">
        <v>55</v>
      </c>
      <c r="S373" s="608" t="s">
        <v>249</v>
      </c>
      <c r="T373" s="520" t="s">
        <v>315</v>
      </c>
    </row>
    <row r="374" spans="1:27" ht="22.5" customHeight="1" x14ac:dyDescent="0.25">
      <c r="B374" s="607" t="s">
        <v>516</v>
      </c>
      <c r="C374" s="518" t="s">
        <v>517</v>
      </c>
      <c r="D374" s="233" t="s">
        <v>55</v>
      </c>
      <c r="E374" s="233" t="s">
        <v>55</v>
      </c>
      <c r="F374" s="214">
        <f>74-19</f>
        <v>55</v>
      </c>
      <c r="G374" s="214" t="s">
        <v>55</v>
      </c>
      <c r="H374" s="611">
        <v>459.49</v>
      </c>
      <c r="I374" s="235">
        <v>3.86</v>
      </c>
      <c r="J374" s="215">
        <f t="shared" si="182"/>
        <v>1773.6314</v>
      </c>
      <c r="K374" s="216" t="s">
        <v>559</v>
      </c>
      <c r="L374" s="586" t="s">
        <v>55</v>
      </c>
      <c r="M374" s="579" t="s">
        <v>55</v>
      </c>
      <c r="N374" s="215">
        <f>60*F374</f>
        <v>3300</v>
      </c>
      <c r="O374" s="220">
        <f>60*F374-O384-O385-O389</f>
        <v>3190</v>
      </c>
      <c r="P374" s="356">
        <f t="shared" ref="P374" si="183">N374/J374</f>
        <v>1.8605895227159375</v>
      </c>
      <c r="Q374" s="356">
        <f t="shared" ref="Q374" si="184">O374/J374</f>
        <v>1.7985698719587395</v>
      </c>
      <c r="R374" s="217"/>
      <c r="S374" s="608" t="s">
        <v>249</v>
      </c>
      <c r="T374" s="520" t="s">
        <v>315</v>
      </c>
      <c r="Z374" s="207" t="s">
        <v>708</v>
      </c>
    </row>
    <row r="375" spans="1:27" ht="17.25" customHeight="1" x14ac:dyDescent="0.25">
      <c r="B375" s="628"/>
      <c r="C375" s="518" t="s">
        <v>518</v>
      </c>
      <c r="D375" s="233" t="s">
        <v>55</v>
      </c>
      <c r="E375" s="233" t="s">
        <v>55</v>
      </c>
      <c r="F375" s="224" t="s">
        <v>55</v>
      </c>
      <c r="G375" s="214" t="s">
        <v>55</v>
      </c>
      <c r="H375" s="214" t="s">
        <v>55</v>
      </c>
      <c r="I375" s="214" t="s">
        <v>55</v>
      </c>
      <c r="J375" s="214" t="s">
        <v>55</v>
      </c>
      <c r="K375" s="216" t="s">
        <v>55</v>
      </c>
      <c r="L375" s="214" t="s">
        <v>55</v>
      </c>
      <c r="M375" s="214" t="s">
        <v>55</v>
      </c>
      <c r="N375" s="217" t="s">
        <v>55</v>
      </c>
      <c r="O375" s="218" t="s">
        <v>55</v>
      </c>
      <c r="P375" s="356" t="s">
        <v>55</v>
      </c>
      <c r="Q375" s="356" t="s">
        <v>55</v>
      </c>
      <c r="R375" s="218" t="s">
        <v>55</v>
      </c>
      <c r="S375" s="214" t="s">
        <v>55</v>
      </c>
      <c r="T375" s="222" t="s">
        <v>55</v>
      </c>
    </row>
    <row r="376" spans="1:27" ht="34.5" customHeight="1" x14ac:dyDescent="0.25">
      <c r="A376" s="296"/>
      <c r="B376" s="627">
        <v>12.24</v>
      </c>
      <c r="C376" s="518" t="s">
        <v>588</v>
      </c>
      <c r="D376" s="233" t="s">
        <v>55</v>
      </c>
      <c r="E376" s="233" t="s">
        <v>55</v>
      </c>
      <c r="F376" s="214">
        <v>1</v>
      </c>
      <c r="G376" s="214">
        <v>4</v>
      </c>
      <c r="H376" s="611">
        <v>29.95</v>
      </c>
      <c r="I376" s="235">
        <v>3.86</v>
      </c>
      <c r="J376" s="215">
        <f t="shared" si="182"/>
        <v>115.607</v>
      </c>
      <c r="K376" s="216" t="s">
        <v>670</v>
      </c>
      <c r="L376" s="586" t="s">
        <v>55</v>
      </c>
      <c r="M376" s="579" t="s">
        <v>55</v>
      </c>
      <c r="N376" s="215">
        <f>60*F376+20*G376</f>
        <v>140</v>
      </c>
      <c r="O376" s="220">
        <f>60*F376+20*G376</f>
        <v>140</v>
      </c>
      <c r="P376" s="356">
        <f>N376/J376</f>
        <v>1.2109993339503664</v>
      </c>
      <c r="Q376" s="356">
        <f>O376/J376</f>
        <v>1.2109993339503664</v>
      </c>
      <c r="R376" s="218" t="s">
        <v>55</v>
      </c>
      <c r="S376" s="608" t="s">
        <v>249</v>
      </c>
      <c r="T376" s="520" t="s">
        <v>315</v>
      </c>
    </row>
    <row r="377" spans="1:27" ht="21" customHeight="1" x14ac:dyDescent="0.25">
      <c r="A377" s="296"/>
      <c r="B377" s="627">
        <v>12.25</v>
      </c>
      <c r="C377" s="518" t="s">
        <v>517</v>
      </c>
      <c r="D377" s="233" t="s">
        <v>55</v>
      </c>
      <c r="E377" s="233" t="s">
        <v>55</v>
      </c>
      <c r="F377" s="214">
        <f>128-20</f>
        <v>108</v>
      </c>
      <c r="G377" s="214" t="s">
        <v>55</v>
      </c>
      <c r="H377" s="611">
        <v>806.77</v>
      </c>
      <c r="I377" s="235">
        <v>3.86</v>
      </c>
      <c r="J377" s="215">
        <f t="shared" si="182"/>
        <v>3114.1322</v>
      </c>
      <c r="K377" s="216" t="s">
        <v>559</v>
      </c>
      <c r="L377" s="237" t="s">
        <v>55</v>
      </c>
      <c r="M377" s="579" t="s">
        <v>55</v>
      </c>
      <c r="N377" s="215">
        <f>60*F377</f>
        <v>6480</v>
      </c>
      <c r="O377" s="220">
        <f>60*F377-O391-O392-O393-O394-O396</f>
        <v>6200</v>
      </c>
      <c r="P377" s="356">
        <f>N377/J377</f>
        <v>2.0808365168312379</v>
      </c>
      <c r="Q377" s="356">
        <f>O377/J377</f>
        <v>1.9909238278323573</v>
      </c>
      <c r="R377" s="218" t="s">
        <v>55</v>
      </c>
      <c r="S377" s="608" t="s">
        <v>249</v>
      </c>
      <c r="T377" s="520" t="s">
        <v>315</v>
      </c>
      <c r="U377" s="297"/>
      <c r="V377" s="297"/>
      <c r="W377" s="296"/>
      <c r="X377" s="296"/>
      <c r="Y377" s="296"/>
      <c r="Z377" s="296" t="s">
        <v>709</v>
      </c>
    </row>
    <row r="378" spans="1:27" ht="17.25" customHeight="1" x14ac:dyDescent="0.25">
      <c r="B378" s="627"/>
      <c r="C378" s="518" t="s">
        <v>518</v>
      </c>
      <c r="D378" s="233" t="s">
        <v>55</v>
      </c>
      <c r="E378" s="233" t="s">
        <v>55</v>
      </c>
      <c r="F378" s="214"/>
      <c r="G378" s="214" t="s">
        <v>55</v>
      </c>
      <c r="H378" s="611"/>
      <c r="I378" s="235"/>
      <c r="J378" s="215"/>
      <c r="K378" s="216"/>
      <c r="L378" s="237"/>
      <c r="M378" s="579" t="s">
        <v>55</v>
      </c>
      <c r="N378" s="215"/>
      <c r="O378" s="220"/>
      <c r="P378" s="356"/>
      <c r="Q378" s="356"/>
      <c r="R378" s="217"/>
      <c r="S378" s="608"/>
      <c r="T378" s="520"/>
      <c r="U378" s="297"/>
      <c r="V378" s="297"/>
      <c r="W378" s="296"/>
      <c r="X378" s="296"/>
      <c r="Y378" s="296"/>
      <c r="Z378" s="296"/>
    </row>
    <row r="379" spans="1:27" ht="36.75" customHeight="1" x14ac:dyDescent="0.25">
      <c r="B379" s="627">
        <v>12.26</v>
      </c>
      <c r="C379" s="518" t="s">
        <v>519</v>
      </c>
      <c r="D379" s="233" t="s">
        <v>55</v>
      </c>
      <c r="E379" s="233" t="s">
        <v>55</v>
      </c>
      <c r="F379" s="214">
        <v>1</v>
      </c>
      <c r="G379" s="214">
        <v>4</v>
      </c>
      <c r="H379" s="611">
        <v>28.82</v>
      </c>
      <c r="I379" s="235">
        <v>3.86</v>
      </c>
      <c r="J379" s="215">
        <f t="shared" si="182"/>
        <v>111.2452</v>
      </c>
      <c r="K379" s="216" t="s">
        <v>670</v>
      </c>
      <c r="L379" s="586" t="s">
        <v>55</v>
      </c>
      <c r="M379" s="579" t="s">
        <v>55</v>
      </c>
      <c r="N379" s="215">
        <f>60*F379+20*G379</f>
        <v>140</v>
      </c>
      <c r="O379" s="220">
        <f>60*F379+20*G379</f>
        <v>140</v>
      </c>
      <c r="P379" s="356">
        <f>N379/J379</f>
        <v>1.2584812648096277</v>
      </c>
      <c r="Q379" s="356">
        <f>O379/J379</f>
        <v>1.2584812648096277</v>
      </c>
      <c r="R379" s="218" t="s">
        <v>55</v>
      </c>
      <c r="S379" s="608" t="s">
        <v>249</v>
      </c>
      <c r="T379" s="520" t="s">
        <v>315</v>
      </c>
      <c r="U379" s="297"/>
      <c r="V379" s="297"/>
      <c r="W379" s="296"/>
      <c r="X379" s="296"/>
      <c r="Y379" s="296"/>
      <c r="Z379" s="296"/>
    </row>
    <row r="380" spans="1:27" ht="34.5" customHeight="1" x14ac:dyDescent="0.25">
      <c r="B380" s="627">
        <v>12.27</v>
      </c>
      <c r="C380" s="518" t="s">
        <v>520</v>
      </c>
      <c r="D380" s="233" t="s">
        <v>55</v>
      </c>
      <c r="E380" s="233" t="s">
        <v>55</v>
      </c>
      <c r="F380" s="214">
        <v>1</v>
      </c>
      <c r="G380" s="214">
        <v>1</v>
      </c>
      <c r="H380" s="611">
        <v>12.62</v>
      </c>
      <c r="I380" s="235">
        <v>3.86</v>
      </c>
      <c r="J380" s="215">
        <f t="shared" si="182"/>
        <v>48.713199999999993</v>
      </c>
      <c r="K380" s="216" t="s">
        <v>670</v>
      </c>
      <c r="L380" s="237" t="s">
        <v>55</v>
      </c>
      <c r="M380" s="579" t="s">
        <v>55</v>
      </c>
      <c r="N380" s="215">
        <f>60*F380+20*G380</f>
        <v>80</v>
      </c>
      <c r="O380" s="220">
        <f>60*F380+20*G380</f>
        <v>80</v>
      </c>
      <c r="P380" s="356">
        <f>N380/J380</f>
        <v>1.642265340811115</v>
      </c>
      <c r="Q380" s="356">
        <f>O380/J380</f>
        <v>1.642265340811115</v>
      </c>
      <c r="R380" s="218" t="s">
        <v>55</v>
      </c>
      <c r="S380" s="608" t="s">
        <v>249</v>
      </c>
      <c r="T380" s="520" t="s">
        <v>315</v>
      </c>
      <c r="U380" s="297"/>
      <c r="V380" s="297"/>
      <c r="W380" s="296"/>
      <c r="X380" s="296"/>
      <c r="Y380" s="296"/>
      <c r="Z380" s="296"/>
    </row>
    <row r="381" spans="1:27" ht="17.25" customHeight="1" x14ac:dyDescent="0.25">
      <c r="B381" s="627"/>
      <c r="C381" s="518" t="s">
        <v>521</v>
      </c>
      <c r="D381" s="233" t="s">
        <v>55</v>
      </c>
      <c r="E381" s="233" t="s">
        <v>55</v>
      </c>
      <c r="F381" s="214" t="s">
        <v>55</v>
      </c>
      <c r="G381" s="214" t="s">
        <v>55</v>
      </c>
      <c r="H381" s="214" t="s">
        <v>55</v>
      </c>
      <c r="I381" s="214" t="s">
        <v>55</v>
      </c>
      <c r="J381" s="214" t="s">
        <v>55</v>
      </c>
      <c r="K381" s="216" t="s">
        <v>55</v>
      </c>
      <c r="L381" s="214" t="s">
        <v>55</v>
      </c>
      <c r="M381" s="214" t="s">
        <v>55</v>
      </c>
      <c r="N381" s="217" t="s">
        <v>55</v>
      </c>
      <c r="O381" s="218" t="s">
        <v>55</v>
      </c>
      <c r="P381" s="218" t="s">
        <v>55</v>
      </c>
      <c r="Q381" s="218" t="s">
        <v>55</v>
      </c>
      <c r="R381" s="218" t="s">
        <v>55</v>
      </c>
      <c r="S381" s="214" t="s">
        <v>55</v>
      </c>
      <c r="T381" s="222" t="s">
        <v>55</v>
      </c>
      <c r="U381" s="298" t="s">
        <v>55</v>
      </c>
      <c r="V381" s="214" t="s">
        <v>55</v>
      </c>
      <c r="W381" s="214" t="s">
        <v>55</v>
      </c>
      <c r="X381" s="214" t="s">
        <v>55</v>
      </c>
      <c r="Y381" s="214" t="s">
        <v>55</v>
      </c>
      <c r="Z381" s="296"/>
    </row>
    <row r="382" spans="1:27" ht="37.5" customHeight="1" x14ac:dyDescent="0.25">
      <c r="B382" s="627">
        <v>12.28</v>
      </c>
      <c r="C382" s="518" t="s">
        <v>522</v>
      </c>
      <c r="D382" s="233" t="s">
        <v>55</v>
      </c>
      <c r="E382" s="233" t="s">
        <v>55</v>
      </c>
      <c r="F382" s="214">
        <v>1</v>
      </c>
      <c r="G382" s="214">
        <v>4</v>
      </c>
      <c r="H382" s="611">
        <v>29.66</v>
      </c>
      <c r="I382" s="235">
        <v>3.86</v>
      </c>
      <c r="J382" s="215">
        <f t="shared" ref="J382:J385" si="185">H382*I382</f>
        <v>114.4876</v>
      </c>
      <c r="K382" s="216" t="s">
        <v>670</v>
      </c>
      <c r="L382" s="237" t="s">
        <v>55</v>
      </c>
      <c r="M382" s="579" t="s">
        <v>55</v>
      </c>
      <c r="N382" s="215">
        <f>60*F382+20*G382</f>
        <v>140</v>
      </c>
      <c r="O382" s="220">
        <f>60*F382+20*G382</f>
        <v>140</v>
      </c>
      <c r="P382" s="356">
        <f>N382/J382</f>
        <v>1.2228398533989706</v>
      </c>
      <c r="Q382" s="356">
        <f>O382/J382</f>
        <v>1.2228398533989706</v>
      </c>
      <c r="R382" s="218" t="s">
        <v>55</v>
      </c>
      <c r="S382" s="608" t="s">
        <v>249</v>
      </c>
      <c r="T382" s="520" t="s">
        <v>315</v>
      </c>
      <c r="U382" s="297"/>
      <c r="V382" s="297"/>
      <c r="W382" s="296"/>
      <c r="X382" s="296"/>
      <c r="Y382" s="296"/>
      <c r="Z382" s="296"/>
    </row>
    <row r="383" spans="1:27" ht="24" customHeight="1" x14ac:dyDescent="0.25">
      <c r="B383" s="627">
        <v>12.29</v>
      </c>
      <c r="C383" s="518" t="s">
        <v>523</v>
      </c>
      <c r="D383" s="233" t="s">
        <v>55</v>
      </c>
      <c r="E383" s="233" t="s">
        <v>55</v>
      </c>
      <c r="F383" s="214">
        <v>1</v>
      </c>
      <c r="G383" s="214">
        <v>4</v>
      </c>
      <c r="H383" s="611">
        <v>29.66</v>
      </c>
      <c r="I383" s="235">
        <v>3.86</v>
      </c>
      <c r="J383" s="215">
        <f t="shared" si="185"/>
        <v>114.4876</v>
      </c>
      <c r="K383" s="216" t="s">
        <v>670</v>
      </c>
      <c r="L383" s="237" t="s">
        <v>55</v>
      </c>
      <c r="M383" s="579" t="s">
        <v>55</v>
      </c>
      <c r="N383" s="215">
        <f>60*F383+20*G383</f>
        <v>140</v>
      </c>
      <c r="O383" s="220">
        <f>60*F383+20*G383</f>
        <v>140</v>
      </c>
      <c r="P383" s="356">
        <f>N383/J383</f>
        <v>1.2228398533989706</v>
      </c>
      <c r="Q383" s="356">
        <f>O383/J383</f>
        <v>1.2228398533989706</v>
      </c>
      <c r="R383" s="218" t="s">
        <v>55</v>
      </c>
      <c r="S383" s="608" t="s">
        <v>249</v>
      </c>
      <c r="T383" s="520" t="s">
        <v>315</v>
      </c>
      <c r="U383" s="297"/>
      <c r="V383" s="297"/>
      <c r="W383" s="296"/>
      <c r="X383" s="296"/>
      <c r="Y383" s="296"/>
      <c r="Z383" s="296"/>
    </row>
    <row r="384" spans="1:27" ht="17.25" customHeight="1" x14ac:dyDescent="0.25">
      <c r="B384" s="627">
        <v>12.33</v>
      </c>
      <c r="C384" s="518" t="s">
        <v>524</v>
      </c>
      <c r="D384" s="233" t="s">
        <v>55</v>
      </c>
      <c r="E384" s="233" t="s">
        <v>55</v>
      </c>
      <c r="F384" s="214" t="s">
        <v>55</v>
      </c>
      <c r="G384" s="214" t="s">
        <v>55</v>
      </c>
      <c r="H384" s="611">
        <v>11.04</v>
      </c>
      <c r="I384" s="235">
        <v>3.86</v>
      </c>
      <c r="J384" s="215">
        <f t="shared" si="185"/>
        <v>42.614399999999996</v>
      </c>
      <c r="K384" s="216" t="s">
        <v>55</v>
      </c>
      <c r="L384" s="237">
        <v>1</v>
      </c>
      <c r="M384" s="579" t="s">
        <v>55</v>
      </c>
      <c r="N384" s="215" t="s">
        <v>55</v>
      </c>
      <c r="O384" s="220">
        <f>CEILING((J384*L384),10)</f>
        <v>50</v>
      </c>
      <c r="P384" s="356" t="s">
        <v>55</v>
      </c>
      <c r="Q384" s="356">
        <f>O384/J384</f>
        <v>1.1733123075767817</v>
      </c>
      <c r="R384" s="217" t="s">
        <v>55</v>
      </c>
      <c r="S384" s="608" t="s">
        <v>55</v>
      </c>
      <c r="T384" s="520" t="s">
        <v>315</v>
      </c>
      <c r="U384" s="297"/>
      <c r="V384" s="297"/>
      <c r="W384" s="296"/>
      <c r="X384" s="296"/>
      <c r="Y384" s="296"/>
      <c r="Z384" s="296"/>
    </row>
    <row r="385" spans="2:28" ht="17.25" customHeight="1" x14ac:dyDescent="0.25">
      <c r="B385" s="627">
        <v>12.34</v>
      </c>
      <c r="C385" s="518" t="s">
        <v>54</v>
      </c>
      <c r="D385" s="233" t="s">
        <v>303</v>
      </c>
      <c r="E385" s="233" t="s">
        <v>55</v>
      </c>
      <c r="F385" s="214" t="s">
        <v>55</v>
      </c>
      <c r="G385" s="214" t="s">
        <v>55</v>
      </c>
      <c r="H385" s="611">
        <v>7.93</v>
      </c>
      <c r="I385" s="235">
        <v>3.86</v>
      </c>
      <c r="J385" s="215">
        <f t="shared" si="185"/>
        <v>30.609799999999996</v>
      </c>
      <c r="K385" s="216" t="s">
        <v>55</v>
      </c>
      <c r="L385" s="237">
        <v>1</v>
      </c>
      <c r="M385" s="579" t="s">
        <v>55</v>
      </c>
      <c r="N385" s="215" t="s">
        <v>55</v>
      </c>
      <c r="O385" s="220">
        <f>CEILING((J385*L385),10)</f>
        <v>40</v>
      </c>
      <c r="P385" s="356" t="s">
        <v>55</v>
      </c>
      <c r="Q385" s="356">
        <f>O385/J385</f>
        <v>1.3067710341132579</v>
      </c>
      <c r="R385" s="217" t="s">
        <v>55</v>
      </c>
      <c r="S385" s="608" t="s">
        <v>55</v>
      </c>
      <c r="T385" s="520" t="s">
        <v>315</v>
      </c>
      <c r="U385" s="297"/>
      <c r="V385" s="297"/>
      <c r="W385" s="296"/>
      <c r="X385" s="296"/>
      <c r="Y385" s="296"/>
      <c r="Z385" s="296"/>
    </row>
    <row r="386" spans="2:28" ht="21" customHeight="1" x14ac:dyDescent="0.25">
      <c r="B386" s="627">
        <v>12.35</v>
      </c>
      <c r="C386" s="518" t="s">
        <v>20</v>
      </c>
      <c r="D386" s="299" t="s">
        <v>55</v>
      </c>
      <c r="E386" s="233" t="s">
        <v>55</v>
      </c>
      <c r="F386" s="214" t="s">
        <v>55</v>
      </c>
      <c r="G386" s="278">
        <v>9</v>
      </c>
      <c r="H386" s="630">
        <v>38.14</v>
      </c>
      <c r="I386" s="235">
        <v>3.86</v>
      </c>
      <c r="J386" s="215">
        <f t="shared" ref="J386" si="186">H386*I386</f>
        <v>147.22039999999998</v>
      </c>
      <c r="K386" s="216" t="s">
        <v>558</v>
      </c>
      <c r="L386" s="651" t="s">
        <v>55</v>
      </c>
      <c r="M386" s="579" t="s">
        <v>55</v>
      </c>
      <c r="N386" s="215">
        <f>20*G386</f>
        <v>180</v>
      </c>
      <c r="O386" s="220">
        <f>20*G386</f>
        <v>180</v>
      </c>
      <c r="P386" s="356">
        <f>N386/J386</f>
        <v>1.2226566426935399</v>
      </c>
      <c r="Q386" s="356">
        <f>O386/J386</f>
        <v>1.2226566426935399</v>
      </c>
      <c r="R386" s="217" t="s">
        <v>55</v>
      </c>
      <c r="S386" s="608" t="s">
        <v>249</v>
      </c>
      <c r="T386" s="520" t="s">
        <v>315</v>
      </c>
      <c r="U386" s="297"/>
      <c r="V386" s="297"/>
      <c r="W386" s="296"/>
      <c r="X386" s="296"/>
      <c r="Y386" s="296"/>
      <c r="Z386" s="296">
        <v>12</v>
      </c>
    </row>
    <row r="387" spans="2:28" ht="24" customHeight="1" x14ac:dyDescent="0.25">
      <c r="B387" s="679" t="s">
        <v>554</v>
      </c>
      <c r="C387" s="518" t="s">
        <v>20</v>
      </c>
      <c r="D387" s="299" t="s">
        <v>55</v>
      </c>
      <c r="E387" s="233" t="s">
        <v>55</v>
      </c>
      <c r="F387" s="214" t="s">
        <v>55</v>
      </c>
      <c r="G387" s="278">
        <v>3</v>
      </c>
      <c r="H387" s="630">
        <v>9.67</v>
      </c>
      <c r="I387" s="235">
        <v>3.86</v>
      </c>
      <c r="J387" s="215">
        <f t="shared" ref="J387:J388" si="187">H387*I387</f>
        <v>37.3262</v>
      </c>
      <c r="K387" s="216" t="s">
        <v>558</v>
      </c>
      <c r="L387" s="651" t="s">
        <v>55</v>
      </c>
      <c r="M387" s="650" t="s">
        <v>55</v>
      </c>
      <c r="N387" s="215">
        <f t="shared" ref="N387:N388" si="188">20*G387</f>
        <v>60</v>
      </c>
      <c r="O387" s="220">
        <f t="shared" ref="O387:O388" si="189">20*G387</f>
        <v>60</v>
      </c>
      <c r="P387" s="356">
        <f t="shared" ref="P387:P388" si="190">N387/J387</f>
        <v>1.6074499949097416</v>
      </c>
      <c r="Q387" s="356">
        <f t="shared" ref="Q387:Q388" si="191">O387/J387</f>
        <v>1.6074499949097416</v>
      </c>
      <c r="R387" s="217" t="s">
        <v>55</v>
      </c>
      <c r="S387" s="608" t="s">
        <v>249</v>
      </c>
      <c r="T387" s="520" t="s">
        <v>315</v>
      </c>
      <c r="U387" s="297"/>
      <c r="V387" s="297"/>
      <c r="W387" s="296"/>
      <c r="X387" s="296"/>
      <c r="Y387" s="296"/>
      <c r="Z387" s="296">
        <v>4</v>
      </c>
    </row>
    <row r="388" spans="2:28" ht="25.5" customHeight="1" x14ac:dyDescent="0.25">
      <c r="B388" s="679" t="s">
        <v>555</v>
      </c>
      <c r="C388" s="518" t="s">
        <v>20</v>
      </c>
      <c r="D388" s="299" t="s">
        <v>55</v>
      </c>
      <c r="E388" s="233" t="s">
        <v>55</v>
      </c>
      <c r="F388" s="214" t="s">
        <v>55</v>
      </c>
      <c r="G388" s="278">
        <v>3</v>
      </c>
      <c r="H388" s="630">
        <v>9.68</v>
      </c>
      <c r="I388" s="235">
        <v>3.86</v>
      </c>
      <c r="J388" s="215">
        <f t="shared" si="187"/>
        <v>37.364799999999995</v>
      </c>
      <c r="K388" s="216" t="s">
        <v>558</v>
      </c>
      <c r="L388" s="651" t="s">
        <v>55</v>
      </c>
      <c r="M388" s="650" t="s">
        <v>55</v>
      </c>
      <c r="N388" s="215">
        <f t="shared" si="188"/>
        <v>60</v>
      </c>
      <c r="O388" s="220">
        <f t="shared" si="189"/>
        <v>60</v>
      </c>
      <c r="P388" s="356">
        <f t="shared" si="190"/>
        <v>1.6057894060720252</v>
      </c>
      <c r="Q388" s="356">
        <f t="shared" si="191"/>
        <v>1.6057894060720252</v>
      </c>
      <c r="R388" s="217" t="s">
        <v>55</v>
      </c>
      <c r="S388" s="608" t="s">
        <v>249</v>
      </c>
      <c r="T388" s="520" t="s">
        <v>315</v>
      </c>
      <c r="U388" s="297"/>
      <c r="V388" s="297"/>
      <c r="W388" s="296"/>
      <c r="X388" s="296"/>
      <c r="Y388" s="296"/>
      <c r="Z388" s="296">
        <v>4</v>
      </c>
    </row>
    <row r="389" spans="2:28" ht="21.75" customHeight="1" x14ac:dyDescent="0.25">
      <c r="B389" s="627">
        <v>12.38</v>
      </c>
      <c r="C389" s="518" t="s">
        <v>553</v>
      </c>
      <c r="D389" s="299" t="s">
        <v>55</v>
      </c>
      <c r="E389" s="233" t="s">
        <v>55</v>
      </c>
      <c r="F389" s="214" t="s">
        <v>55</v>
      </c>
      <c r="G389" s="278"/>
      <c r="H389" s="630">
        <v>4.87</v>
      </c>
      <c r="I389" s="235">
        <v>3.86</v>
      </c>
      <c r="J389" s="215">
        <f t="shared" ref="J389:J390" si="192">H389*I389</f>
        <v>18.798200000000001</v>
      </c>
      <c r="K389" s="216" t="s">
        <v>55</v>
      </c>
      <c r="L389" s="651">
        <v>1</v>
      </c>
      <c r="M389" s="650" t="s">
        <v>55</v>
      </c>
      <c r="N389" s="215" t="s">
        <v>55</v>
      </c>
      <c r="O389" s="220">
        <f>CEILING((J389*L389),10)</f>
        <v>20</v>
      </c>
      <c r="P389" s="356" t="s">
        <v>55</v>
      </c>
      <c r="Q389" s="356">
        <f>O389/J389</f>
        <v>1.0639316530306093</v>
      </c>
      <c r="R389" s="217" t="s">
        <v>55</v>
      </c>
      <c r="S389" s="608" t="s">
        <v>55</v>
      </c>
      <c r="T389" s="520" t="s">
        <v>315</v>
      </c>
      <c r="U389" s="297"/>
      <c r="V389" s="297"/>
      <c r="W389" s="296"/>
      <c r="X389" s="296"/>
      <c r="Y389" s="296"/>
      <c r="Z389" s="300"/>
    </row>
    <row r="390" spans="2:28" ht="21" customHeight="1" x14ac:dyDescent="0.25">
      <c r="B390" s="627">
        <v>12.39</v>
      </c>
      <c r="C390" s="518" t="s">
        <v>553</v>
      </c>
      <c r="D390" s="299" t="s">
        <v>55</v>
      </c>
      <c r="E390" s="233" t="s">
        <v>55</v>
      </c>
      <c r="F390" s="214" t="s">
        <v>55</v>
      </c>
      <c r="G390" s="278">
        <v>2</v>
      </c>
      <c r="H390" s="630">
        <v>5.51</v>
      </c>
      <c r="I390" s="235">
        <v>3.86</v>
      </c>
      <c r="J390" s="215">
        <f t="shared" si="192"/>
        <v>21.268599999999999</v>
      </c>
      <c r="K390" s="216" t="s">
        <v>558</v>
      </c>
      <c r="L390" s="651" t="s">
        <v>55</v>
      </c>
      <c r="M390" s="650" t="s">
        <v>55</v>
      </c>
      <c r="N390" s="215">
        <f t="shared" ref="N390" si="193">20*G390</f>
        <v>40</v>
      </c>
      <c r="O390" s="220">
        <f t="shared" ref="O390" si="194">20*G390</f>
        <v>40</v>
      </c>
      <c r="P390" s="356">
        <f t="shared" ref="P390" si="195">N390/J390</f>
        <v>1.8807067696040172</v>
      </c>
      <c r="Q390" s="356">
        <f t="shared" ref="Q390" si="196">O390/J390</f>
        <v>1.8807067696040172</v>
      </c>
      <c r="R390" s="217" t="s">
        <v>55</v>
      </c>
      <c r="S390" s="608" t="s">
        <v>249</v>
      </c>
      <c r="T390" s="520" t="s">
        <v>315</v>
      </c>
      <c r="U390" s="297"/>
      <c r="V390" s="297"/>
      <c r="W390" s="296"/>
      <c r="X390" s="296"/>
      <c r="Y390" s="296"/>
      <c r="Z390" s="296">
        <v>3</v>
      </c>
    </row>
    <row r="391" spans="2:28" ht="17.25" customHeight="1" x14ac:dyDescent="0.25">
      <c r="B391" s="627">
        <v>12.4</v>
      </c>
      <c r="C391" s="347" t="s">
        <v>95</v>
      </c>
      <c r="D391" s="299" t="s">
        <v>55</v>
      </c>
      <c r="E391" s="233" t="s">
        <v>55</v>
      </c>
      <c r="F391" s="214" t="s">
        <v>55</v>
      </c>
      <c r="G391" s="278"/>
      <c r="H391" s="630">
        <v>10.5</v>
      </c>
      <c r="I391" s="279">
        <v>3.86</v>
      </c>
      <c r="J391" s="280">
        <f t="shared" ref="J391:J392" si="197">H391*I391</f>
        <v>40.53</v>
      </c>
      <c r="K391" s="216" t="s">
        <v>55</v>
      </c>
      <c r="L391" s="237">
        <v>1</v>
      </c>
      <c r="M391" s="650" t="s">
        <v>55</v>
      </c>
      <c r="N391" s="215" t="s">
        <v>55</v>
      </c>
      <c r="O391" s="220">
        <f t="shared" ref="O391:O392" si="198">CEILING((J391*L391),10)</f>
        <v>50</v>
      </c>
      <c r="P391" s="356" t="s">
        <v>55</v>
      </c>
      <c r="Q391" s="356">
        <f t="shared" ref="Q391:Q392" si="199">O391/J391</f>
        <v>1.233654083395016</v>
      </c>
      <c r="R391" s="217" t="s">
        <v>55</v>
      </c>
      <c r="S391" s="608" t="s">
        <v>55</v>
      </c>
      <c r="T391" s="520" t="s">
        <v>315</v>
      </c>
      <c r="U391" s="297"/>
      <c r="V391" s="297"/>
      <c r="W391" s="296"/>
      <c r="X391" s="296"/>
      <c r="Y391" s="296"/>
      <c r="Z391" s="296"/>
    </row>
    <row r="392" spans="2:28" ht="17.25" customHeight="1" x14ac:dyDescent="0.25">
      <c r="B392" s="627">
        <v>12.41</v>
      </c>
      <c r="C392" s="518" t="s">
        <v>54</v>
      </c>
      <c r="D392" s="233" t="s">
        <v>303</v>
      </c>
      <c r="E392" s="233" t="s">
        <v>55</v>
      </c>
      <c r="F392" s="214" t="s">
        <v>55</v>
      </c>
      <c r="G392" s="214"/>
      <c r="H392" s="611">
        <v>28.16</v>
      </c>
      <c r="I392" s="235">
        <v>3.86</v>
      </c>
      <c r="J392" s="215">
        <f t="shared" si="197"/>
        <v>108.69759999999999</v>
      </c>
      <c r="K392" s="237" t="s">
        <v>55</v>
      </c>
      <c r="L392" s="237">
        <v>1</v>
      </c>
      <c r="M392" s="650" t="s">
        <v>55</v>
      </c>
      <c r="N392" s="215" t="s">
        <v>55</v>
      </c>
      <c r="O392" s="220">
        <f t="shared" si="198"/>
        <v>110</v>
      </c>
      <c r="P392" s="356" t="s">
        <v>55</v>
      </c>
      <c r="Q392" s="356">
        <f t="shared" si="199"/>
        <v>1.0119818652849741</v>
      </c>
      <c r="R392" s="217" t="s">
        <v>55</v>
      </c>
      <c r="S392" s="608" t="s">
        <v>55</v>
      </c>
      <c r="T392" s="520" t="s">
        <v>315</v>
      </c>
      <c r="U392" s="297"/>
      <c r="V392" s="297"/>
      <c r="W392" s="296"/>
      <c r="X392" s="296"/>
      <c r="Y392" s="296"/>
      <c r="Z392" s="296"/>
    </row>
    <row r="393" spans="2:28" ht="17.25" customHeight="1" x14ac:dyDescent="0.25">
      <c r="B393" s="627">
        <v>12.42</v>
      </c>
      <c r="C393" s="518" t="s">
        <v>551</v>
      </c>
      <c r="D393" s="233" t="s">
        <v>55</v>
      </c>
      <c r="E393" s="233" t="s">
        <v>55</v>
      </c>
      <c r="F393" s="214" t="s">
        <v>55</v>
      </c>
      <c r="G393" s="214"/>
      <c r="H393" s="611">
        <v>8.84</v>
      </c>
      <c r="I393" s="235">
        <v>3.86</v>
      </c>
      <c r="J393" s="215">
        <f t="shared" ref="J393" si="200">H393*I393</f>
        <v>34.122399999999999</v>
      </c>
      <c r="K393" s="237" t="s">
        <v>55</v>
      </c>
      <c r="L393" s="237">
        <v>1</v>
      </c>
      <c r="M393" s="650" t="s">
        <v>55</v>
      </c>
      <c r="N393" s="215" t="s">
        <v>55</v>
      </c>
      <c r="O393" s="220">
        <f t="shared" ref="O393" si="201">CEILING((J393*L393),10)</f>
        <v>40</v>
      </c>
      <c r="P393" s="356" t="s">
        <v>55</v>
      </c>
      <c r="Q393" s="356">
        <f t="shared" ref="Q393" si="202">O393/J393</f>
        <v>1.172250486483952</v>
      </c>
      <c r="R393" s="217" t="s">
        <v>55</v>
      </c>
      <c r="S393" s="608" t="s">
        <v>55</v>
      </c>
      <c r="T393" s="520" t="s">
        <v>315</v>
      </c>
      <c r="U393" s="301"/>
      <c r="V393" s="301"/>
      <c r="W393" s="300"/>
      <c r="X393" s="300"/>
      <c r="Y393" s="300"/>
      <c r="Z393" s="300"/>
    </row>
    <row r="394" spans="2:28" ht="17.25" customHeight="1" x14ac:dyDescent="0.25">
      <c r="B394" s="627">
        <v>12.43</v>
      </c>
      <c r="C394" s="518" t="s">
        <v>553</v>
      </c>
      <c r="D394" s="233" t="s">
        <v>55</v>
      </c>
      <c r="E394" s="233" t="s">
        <v>55</v>
      </c>
      <c r="F394" s="214" t="s">
        <v>55</v>
      </c>
      <c r="G394" s="214"/>
      <c r="H394" s="611">
        <v>10</v>
      </c>
      <c r="I394" s="235">
        <v>3.86</v>
      </c>
      <c r="J394" s="215">
        <f t="shared" ref="J394" si="203">H394*I394</f>
        <v>38.6</v>
      </c>
      <c r="K394" s="237" t="s">
        <v>55</v>
      </c>
      <c r="L394" s="237">
        <v>1</v>
      </c>
      <c r="M394" s="650" t="s">
        <v>55</v>
      </c>
      <c r="N394" s="215" t="s">
        <v>55</v>
      </c>
      <c r="O394" s="220">
        <f t="shared" ref="O394" si="204">CEILING((J394*L394),10)</f>
        <v>40</v>
      </c>
      <c r="P394" s="356" t="s">
        <v>55</v>
      </c>
      <c r="Q394" s="356">
        <f t="shared" ref="Q394:Q395" si="205">O394/J394</f>
        <v>1.0362694300518134</v>
      </c>
      <c r="R394" s="217" t="s">
        <v>55</v>
      </c>
      <c r="S394" s="608" t="s">
        <v>55</v>
      </c>
      <c r="T394" s="520" t="s">
        <v>315</v>
      </c>
      <c r="U394" s="301"/>
      <c r="V394" s="301"/>
      <c r="W394" s="300"/>
      <c r="X394" s="300"/>
      <c r="Y394" s="300"/>
      <c r="Z394" s="300"/>
      <c r="AB394" s="251">
        <f>SUM(O392:O394)</f>
        <v>190</v>
      </c>
    </row>
    <row r="395" spans="2:28" ht="23.25" customHeight="1" x14ac:dyDescent="0.25">
      <c r="B395" s="627">
        <v>12.44</v>
      </c>
      <c r="C395" s="518" t="s">
        <v>553</v>
      </c>
      <c r="D395" s="233" t="s">
        <v>55</v>
      </c>
      <c r="E395" s="233" t="s">
        <v>55</v>
      </c>
      <c r="F395" s="214" t="s">
        <v>55</v>
      </c>
      <c r="G395" s="214">
        <v>2</v>
      </c>
      <c r="H395" s="611">
        <v>7.34</v>
      </c>
      <c r="I395" s="235">
        <v>3.86</v>
      </c>
      <c r="J395" s="215">
        <f t="shared" ref="J395:J396" si="206">H395*I395</f>
        <v>28.3324</v>
      </c>
      <c r="K395" s="291" t="s">
        <v>558</v>
      </c>
      <c r="L395" s="586" t="s">
        <v>55</v>
      </c>
      <c r="M395" s="579" t="s">
        <v>55</v>
      </c>
      <c r="N395" s="215">
        <f t="shared" ref="N395" si="207">20*G395</f>
        <v>40</v>
      </c>
      <c r="O395" s="220">
        <f t="shared" ref="O395" si="208">20*G395</f>
        <v>40</v>
      </c>
      <c r="P395" s="356">
        <f t="shared" ref="P395" si="209">N395/J395</f>
        <v>1.4118112126046505</v>
      </c>
      <c r="Q395" s="356">
        <f t="shared" si="205"/>
        <v>1.4118112126046505</v>
      </c>
      <c r="R395" s="217"/>
      <c r="S395" s="608" t="s">
        <v>249</v>
      </c>
      <c r="T395" s="520" t="s">
        <v>315</v>
      </c>
      <c r="Z395" s="207">
        <v>3</v>
      </c>
    </row>
    <row r="396" spans="2:28" ht="17.25" customHeight="1" x14ac:dyDescent="0.25">
      <c r="B396" s="627">
        <v>12.45</v>
      </c>
      <c r="C396" s="518" t="s">
        <v>551</v>
      </c>
      <c r="D396" s="233" t="s">
        <v>55</v>
      </c>
      <c r="E396" s="233" t="s">
        <v>55</v>
      </c>
      <c r="F396" s="214" t="s">
        <v>55</v>
      </c>
      <c r="G396" s="214" t="s">
        <v>55</v>
      </c>
      <c r="H396" s="611">
        <v>10.31</v>
      </c>
      <c r="I396" s="235">
        <v>3.86</v>
      </c>
      <c r="J396" s="215">
        <f t="shared" si="206"/>
        <v>39.796599999999998</v>
      </c>
      <c r="K396" s="237" t="s">
        <v>55</v>
      </c>
      <c r="L396" s="237">
        <v>1</v>
      </c>
      <c r="M396" s="579" t="s">
        <v>55</v>
      </c>
      <c r="N396" s="215" t="s">
        <v>55</v>
      </c>
      <c r="O396" s="220">
        <f t="shared" ref="O396" si="210">CEILING((J396*L396),10)</f>
        <v>40</v>
      </c>
      <c r="P396" s="356" t="s">
        <v>55</v>
      </c>
      <c r="Q396" s="356">
        <f t="shared" ref="Q396" si="211">O396/J396</f>
        <v>1.0051109893810024</v>
      </c>
      <c r="R396" s="217" t="s">
        <v>55</v>
      </c>
      <c r="S396" s="608" t="s">
        <v>55</v>
      </c>
      <c r="T396" s="520" t="s">
        <v>315</v>
      </c>
    </row>
    <row r="397" spans="2:28" ht="36.75" customHeight="1" x14ac:dyDescent="0.25">
      <c r="B397" s="627">
        <v>12.46</v>
      </c>
      <c r="C397" s="518" t="s">
        <v>525</v>
      </c>
      <c r="D397" s="233" t="s">
        <v>55</v>
      </c>
      <c r="E397" s="233" t="s">
        <v>55</v>
      </c>
      <c r="F397" s="214">
        <v>1</v>
      </c>
      <c r="G397" s="214">
        <v>1</v>
      </c>
      <c r="H397" s="611">
        <v>13.05</v>
      </c>
      <c r="I397" s="279">
        <v>3.86</v>
      </c>
      <c r="J397" s="215">
        <f t="shared" ref="J397" si="212">H397*I397</f>
        <v>50.373000000000005</v>
      </c>
      <c r="K397" s="216" t="s">
        <v>670</v>
      </c>
      <c r="L397" s="237" t="s">
        <v>55</v>
      </c>
      <c r="M397" s="579" t="s">
        <v>55</v>
      </c>
      <c r="N397" s="215">
        <f>60*F397+20*G397</f>
        <v>80</v>
      </c>
      <c r="O397" s="220">
        <f>60*F397+20*G397</f>
        <v>80</v>
      </c>
      <c r="P397" s="356">
        <f>N397/J397</f>
        <v>1.5881523832211699</v>
      </c>
      <c r="Q397" s="356">
        <f>O397/J397</f>
        <v>1.5881523832211699</v>
      </c>
      <c r="R397" s="218" t="s">
        <v>55</v>
      </c>
      <c r="S397" s="608" t="s">
        <v>249</v>
      </c>
      <c r="T397" s="520" t="s">
        <v>315</v>
      </c>
    </row>
    <row r="398" spans="2:28" ht="17.25" customHeight="1" x14ac:dyDescent="0.25">
      <c r="B398" s="680"/>
      <c r="C398" s="518" t="s">
        <v>526</v>
      </c>
      <c r="D398" s="233" t="s">
        <v>55</v>
      </c>
      <c r="E398" s="233" t="s">
        <v>55</v>
      </c>
      <c r="F398" s="233" t="s">
        <v>55</v>
      </c>
      <c r="G398" s="233" t="s">
        <v>55</v>
      </c>
      <c r="H398" s="233" t="s">
        <v>55</v>
      </c>
      <c r="I398" s="233" t="s">
        <v>55</v>
      </c>
      <c r="J398" s="233" t="s">
        <v>55</v>
      </c>
      <c r="K398" s="233" t="s">
        <v>55</v>
      </c>
      <c r="L398" s="233" t="s">
        <v>55</v>
      </c>
      <c r="M398" s="233" t="s">
        <v>55</v>
      </c>
      <c r="N398" s="217" t="s">
        <v>55</v>
      </c>
      <c r="O398" s="218" t="s">
        <v>55</v>
      </c>
      <c r="P398" s="356" t="s">
        <v>55</v>
      </c>
      <c r="Q398" s="356" t="s">
        <v>55</v>
      </c>
      <c r="R398" s="218" t="s">
        <v>55</v>
      </c>
      <c r="S398" s="233" t="s">
        <v>55</v>
      </c>
      <c r="T398" s="250" t="s">
        <v>55</v>
      </c>
    </row>
    <row r="399" spans="2:28" ht="39" customHeight="1" x14ac:dyDescent="0.25">
      <c r="B399" s="681">
        <v>12.47</v>
      </c>
      <c r="C399" s="518" t="s">
        <v>527</v>
      </c>
      <c r="D399" s="233" t="s">
        <v>55</v>
      </c>
      <c r="E399" s="233" t="s">
        <v>55</v>
      </c>
      <c r="F399" s="682">
        <v>1</v>
      </c>
      <c r="G399" s="214">
        <v>1</v>
      </c>
      <c r="H399" s="683">
        <v>12.95</v>
      </c>
      <c r="I399" s="302">
        <v>3.86</v>
      </c>
      <c r="J399" s="303">
        <f>H399*I399</f>
        <v>49.986999999999995</v>
      </c>
      <c r="K399" s="216" t="s">
        <v>670</v>
      </c>
      <c r="L399" s="237" t="s">
        <v>55</v>
      </c>
      <c r="M399" s="579" t="s">
        <v>55</v>
      </c>
      <c r="N399" s="215">
        <f>60*F399+20*G399</f>
        <v>80</v>
      </c>
      <c r="O399" s="220">
        <f>60*F399+20*G399</f>
        <v>80</v>
      </c>
      <c r="P399" s="356">
        <f>N399/J399</f>
        <v>1.6004161081881292</v>
      </c>
      <c r="Q399" s="356">
        <f>O399/J399</f>
        <v>1.6004161081881292</v>
      </c>
      <c r="R399" s="218" t="s">
        <v>55</v>
      </c>
      <c r="S399" s="608" t="s">
        <v>249</v>
      </c>
      <c r="T399" s="520" t="s">
        <v>315</v>
      </c>
    </row>
    <row r="400" spans="2:28" ht="17.25" customHeight="1" x14ac:dyDescent="0.25">
      <c r="B400" s="684"/>
      <c r="C400" s="518" t="s">
        <v>528</v>
      </c>
      <c r="D400" s="233" t="s">
        <v>55</v>
      </c>
      <c r="E400" s="233" t="s">
        <v>55</v>
      </c>
      <c r="F400" s="233" t="s">
        <v>55</v>
      </c>
      <c r="G400" s="214" t="s">
        <v>55</v>
      </c>
      <c r="H400" s="214" t="s">
        <v>55</v>
      </c>
      <c r="I400" s="214" t="s">
        <v>55</v>
      </c>
      <c r="J400" s="214" t="s">
        <v>55</v>
      </c>
      <c r="K400" s="214" t="s">
        <v>55</v>
      </c>
      <c r="L400" s="214" t="s">
        <v>55</v>
      </c>
      <c r="M400" s="214" t="s">
        <v>55</v>
      </c>
      <c r="N400" s="217" t="s">
        <v>55</v>
      </c>
      <c r="O400" s="218" t="s">
        <v>55</v>
      </c>
      <c r="P400" s="356" t="s">
        <v>55</v>
      </c>
      <c r="Q400" s="356" t="s">
        <v>55</v>
      </c>
      <c r="R400" s="218" t="s">
        <v>55</v>
      </c>
      <c r="S400" s="214" t="s">
        <v>55</v>
      </c>
      <c r="T400" s="222" t="s">
        <v>55</v>
      </c>
    </row>
    <row r="401" spans="2:28" ht="34.5" customHeight="1" x14ac:dyDescent="0.25">
      <c r="B401" s="627">
        <v>12.48</v>
      </c>
      <c r="C401" s="518" t="s">
        <v>529</v>
      </c>
      <c r="D401" s="233" t="s">
        <v>55</v>
      </c>
      <c r="E401" s="233" t="s">
        <v>55</v>
      </c>
      <c r="F401" s="214">
        <v>1</v>
      </c>
      <c r="G401" s="214">
        <v>1</v>
      </c>
      <c r="H401" s="234">
        <v>13</v>
      </c>
      <c r="I401" s="235">
        <v>3.86</v>
      </c>
      <c r="J401" s="215">
        <f>H401*I401</f>
        <v>50.18</v>
      </c>
      <c r="K401" s="216" t="s">
        <v>670</v>
      </c>
      <c r="L401" s="237" t="s">
        <v>55</v>
      </c>
      <c r="M401" s="579" t="s">
        <v>55</v>
      </c>
      <c r="N401" s="215">
        <f>60*F401+20*G401</f>
        <v>80</v>
      </c>
      <c r="O401" s="220">
        <f>60*F401+20*G401</f>
        <v>80</v>
      </c>
      <c r="P401" s="356">
        <f>N401/J401</f>
        <v>1.5942606616181745</v>
      </c>
      <c r="Q401" s="356">
        <f>O401/J401</f>
        <v>1.5942606616181745</v>
      </c>
      <c r="R401" s="218" t="s">
        <v>55</v>
      </c>
      <c r="S401" s="608" t="s">
        <v>249</v>
      </c>
      <c r="T401" s="520" t="s">
        <v>315</v>
      </c>
    </row>
    <row r="402" spans="2:28" ht="17.25" customHeight="1" x14ac:dyDescent="0.25">
      <c r="B402" s="684"/>
      <c r="C402" s="518" t="s">
        <v>530</v>
      </c>
      <c r="D402" s="233" t="s">
        <v>55</v>
      </c>
      <c r="E402" s="233" t="s">
        <v>55</v>
      </c>
      <c r="F402" s="233" t="s">
        <v>55</v>
      </c>
      <c r="G402" s="233" t="s">
        <v>55</v>
      </c>
      <c r="H402" s="233" t="s">
        <v>55</v>
      </c>
      <c r="I402" s="233" t="s">
        <v>55</v>
      </c>
      <c r="J402" s="233" t="s">
        <v>55</v>
      </c>
      <c r="K402" s="233" t="s">
        <v>55</v>
      </c>
      <c r="L402" s="233" t="s">
        <v>55</v>
      </c>
      <c r="M402" s="233" t="s">
        <v>55</v>
      </c>
      <c r="N402" s="673" t="s">
        <v>55</v>
      </c>
      <c r="O402" s="580" t="s">
        <v>55</v>
      </c>
      <c r="P402" s="356" t="s">
        <v>55</v>
      </c>
      <c r="Q402" s="356" t="s">
        <v>55</v>
      </c>
      <c r="R402" s="580" t="s">
        <v>55</v>
      </c>
      <c r="S402" s="579" t="s">
        <v>55</v>
      </c>
      <c r="T402" s="674" t="s">
        <v>55</v>
      </c>
    </row>
    <row r="403" spans="2:28" ht="17.25" customHeight="1" x14ac:dyDescent="0.25">
      <c r="B403" s="627">
        <v>12.51</v>
      </c>
      <c r="C403" s="518" t="s">
        <v>16</v>
      </c>
      <c r="D403" s="233" t="s">
        <v>55</v>
      </c>
      <c r="E403" s="233" t="s">
        <v>55</v>
      </c>
      <c r="F403" s="233" t="s">
        <v>55</v>
      </c>
      <c r="G403" s="214" t="s">
        <v>55</v>
      </c>
      <c r="H403" s="234">
        <v>76.75</v>
      </c>
      <c r="I403" s="279">
        <v>3.86</v>
      </c>
      <c r="J403" s="215">
        <f>H403*I403</f>
        <v>296.255</v>
      </c>
      <c r="K403" s="233" t="s">
        <v>55</v>
      </c>
      <c r="L403" s="237" t="s">
        <v>55</v>
      </c>
      <c r="M403" s="579" t="s">
        <v>55</v>
      </c>
      <c r="N403" s="673" t="s">
        <v>55</v>
      </c>
      <c r="O403" s="580" t="s">
        <v>55</v>
      </c>
      <c r="P403" s="356" t="s">
        <v>55</v>
      </c>
      <c r="Q403" s="356" t="s">
        <v>55</v>
      </c>
      <c r="R403" s="580" t="s">
        <v>55</v>
      </c>
      <c r="S403" s="579" t="s">
        <v>55</v>
      </c>
      <c r="T403" s="674" t="s">
        <v>55</v>
      </c>
    </row>
    <row r="404" spans="2:28" ht="17.25" customHeight="1" x14ac:dyDescent="0.25">
      <c r="B404" s="627">
        <v>12.53</v>
      </c>
      <c r="C404" s="518" t="s">
        <v>16</v>
      </c>
      <c r="D404" s="233" t="s">
        <v>55</v>
      </c>
      <c r="E404" s="233" t="s">
        <v>55</v>
      </c>
      <c r="F404" s="233" t="s">
        <v>55</v>
      </c>
      <c r="G404" s="304" t="s">
        <v>55</v>
      </c>
      <c r="H404" s="234">
        <v>101.14</v>
      </c>
      <c r="I404" s="279">
        <v>3.86</v>
      </c>
      <c r="J404" s="215">
        <f t="shared" ref="J404:J405" si="213">H404*I404</f>
        <v>390.40039999999999</v>
      </c>
      <c r="K404" s="233" t="s">
        <v>55</v>
      </c>
      <c r="L404" s="237" t="s">
        <v>55</v>
      </c>
      <c r="M404" s="579" t="s">
        <v>55</v>
      </c>
      <c r="N404" s="226">
        <f>1590/2</f>
        <v>795</v>
      </c>
      <c r="O404" s="241" t="s">
        <v>55</v>
      </c>
      <c r="P404" s="356">
        <f>N404/J404</f>
        <v>2.0363708643741143</v>
      </c>
      <c r="Q404" s="356" t="s">
        <v>55</v>
      </c>
      <c r="R404" s="342" t="s">
        <v>55</v>
      </c>
      <c r="S404" s="543" t="s">
        <v>249</v>
      </c>
      <c r="T404" s="674" t="s">
        <v>55</v>
      </c>
    </row>
    <row r="405" spans="2:28" ht="17.25" customHeight="1" x14ac:dyDescent="0.25">
      <c r="B405" s="685">
        <v>12.52</v>
      </c>
      <c r="C405" s="523" t="s">
        <v>16</v>
      </c>
      <c r="D405" s="299" t="s">
        <v>55</v>
      </c>
      <c r="E405" s="299" t="s">
        <v>55</v>
      </c>
      <c r="F405" s="299" t="s">
        <v>55</v>
      </c>
      <c r="G405" s="353" t="s">
        <v>55</v>
      </c>
      <c r="H405" s="354">
        <v>56.27</v>
      </c>
      <c r="I405" s="279">
        <v>3.86</v>
      </c>
      <c r="J405" s="280">
        <f t="shared" si="213"/>
        <v>217.2022</v>
      </c>
      <c r="K405" s="299" t="s">
        <v>55</v>
      </c>
      <c r="L405" s="333" t="s">
        <v>55</v>
      </c>
      <c r="M405" s="686" t="s">
        <v>55</v>
      </c>
      <c r="N405" s="687" t="s">
        <v>55</v>
      </c>
      <c r="O405" s="688" t="s">
        <v>55</v>
      </c>
      <c r="P405" s="688" t="s">
        <v>55</v>
      </c>
      <c r="Q405" s="688" t="s">
        <v>55</v>
      </c>
      <c r="R405" s="688" t="s">
        <v>55</v>
      </c>
      <c r="S405" s="686" t="s">
        <v>55</v>
      </c>
      <c r="T405" s="689" t="s">
        <v>55</v>
      </c>
      <c r="U405" s="306" t="s">
        <v>55</v>
      </c>
      <c r="V405" s="288" t="s">
        <v>55</v>
      </c>
      <c r="W405" s="288" t="s">
        <v>55</v>
      </c>
      <c r="X405" s="288" t="s">
        <v>55</v>
      </c>
      <c r="Y405" s="288" t="s">
        <v>55</v>
      </c>
    </row>
    <row r="406" spans="2:28" ht="17.25" customHeight="1" thickBot="1" x14ac:dyDescent="0.3">
      <c r="B406" s="690"/>
      <c r="C406" s="691"/>
      <c r="D406" s="526" t="s">
        <v>508</v>
      </c>
      <c r="E406" s="527"/>
      <c r="F406" s="384">
        <f>SUM(F370:F405)</f>
        <v>172</v>
      </c>
      <c r="G406" s="384">
        <f>SUM(G370:G405)</f>
        <v>48</v>
      </c>
      <c r="H406" s="438"/>
      <c r="I406" s="427"/>
      <c r="J406" s="305"/>
      <c r="K406" s="439"/>
      <c r="L406" s="439"/>
      <c r="M406" s="692" t="s">
        <v>557</v>
      </c>
      <c r="N406" s="305">
        <f>SUM(N370:N405)</f>
        <v>12870</v>
      </c>
      <c r="O406" s="336">
        <f>SUM(O370:O405)</f>
        <v>12870</v>
      </c>
      <c r="P406" s="440"/>
      <c r="Q406" s="440"/>
      <c r="R406" s="441"/>
      <c r="S406" s="693"/>
      <c r="T406" s="694"/>
      <c r="Z406" s="207">
        <v>12850</v>
      </c>
      <c r="AA406" s="251"/>
    </row>
    <row r="407" spans="2:28" ht="17.25" customHeight="1" thickBot="1" x14ac:dyDescent="0.3">
      <c r="B407" s="601" t="s">
        <v>532</v>
      </c>
      <c r="C407" s="602"/>
      <c r="D407" s="602"/>
      <c r="E407" s="602"/>
      <c r="F407" s="602"/>
      <c r="G407" s="602"/>
      <c r="H407" s="602"/>
      <c r="I407" s="602"/>
      <c r="J407" s="602"/>
      <c r="K407" s="602"/>
      <c r="L407" s="602"/>
      <c r="M407" s="602"/>
      <c r="N407" s="602"/>
      <c r="O407" s="602"/>
      <c r="P407" s="602"/>
      <c r="Q407" s="602"/>
      <c r="R407" s="602"/>
      <c r="S407" s="602"/>
      <c r="T407" s="603"/>
      <c r="AA407" s="307">
        <f>AA406/60</f>
        <v>0</v>
      </c>
    </row>
    <row r="408" spans="2:28" ht="17.25" customHeight="1" x14ac:dyDescent="0.25">
      <c r="B408" s="604" t="s">
        <v>533</v>
      </c>
      <c r="C408" s="509" t="s">
        <v>16</v>
      </c>
      <c r="D408" s="284" t="s">
        <v>55</v>
      </c>
      <c r="E408" s="284" t="s">
        <v>55</v>
      </c>
      <c r="F408" s="209" t="s">
        <v>55</v>
      </c>
      <c r="G408" s="209" t="s">
        <v>55</v>
      </c>
      <c r="H408" s="285">
        <v>94.01</v>
      </c>
      <c r="I408" s="285">
        <v>3.86</v>
      </c>
      <c r="J408" s="210">
        <f>H408*I408</f>
        <v>362.87860000000001</v>
      </c>
      <c r="K408" s="295" t="s">
        <v>55</v>
      </c>
      <c r="L408" s="295" t="s">
        <v>55</v>
      </c>
      <c r="M408" s="312" t="s">
        <v>55</v>
      </c>
      <c r="N408" s="210">
        <f>1590+O419</f>
        <v>1690</v>
      </c>
      <c r="O408" s="287"/>
      <c r="P408" s="287" t="s">
        <v>55</v>
      </c>
      <c r="Q408" s="287" t="s">
        <v>55</v>
      </c>
      <c r="R408" s="212" t="s">
        <v>55</v>
      </c>
      <c r="S408" s="605" t="s">
        <v>249</v>
      </c>
      <c r="T408" s="606" t="s">
        <v>315</v>
      </c>
      <c r="AA408" s="307">
        <v>16</v>
      </c>
      <c r="AB408" s="308"/>
    </row>
    <row r="409" spans="2:28" ht="23.25" customHeight="1" x14ac:dyDescent="0.25">
      <c r="B409" s="679"/>
      <c r="C409" s="515" t="s">
        <v>589</v>
      </c>
      <c r="D409" s="233" t="s">
        <v>55</v>
      </c>
      <c r="E409" s="233" t="s">
        <v>55</v>
      </c>
      <c r="F409" s="224" t="s">
        <v>55</v>
      </c>
      <c r="G409" s="214" t="s">
        <v>55</v>
      </c>
      <c r="H409" s="235" t="s">
        <v>55</v>
      </c>
      <c r="I409" s="235" t="s">
        <v>55</v>
      </c>
      <c r="J409" s="215" t="s">
        <v>55</v>
      </c>
      <c r="K409" s="237" t="s">
        <v>55</v>
      </c>
      <c r="L409" s="237" t="s">
        <v>55</v>
      </c>
      <c r="M409" s="238" t="s">
        <v>55</v>
      </c>
      <c r="N409" s="215" t="s">
        <v>55</v>
      </c>
      <c r="O409" s="241">
        <v>1590</v>
      </c>
      <c r="P409" s="356" t="s">
        <v>55</v>
      </c>
      <c r="Q409" s="356" t="s">
        <v>55</v>
      </c>
      <c r="R409" s="217" t="s">
        <v>55</v>
      </c>
      <c r="S409" s="608" t="s">
        <v>55</v>
      </c>
      <c r="T409" s="544" t="s">
        <v>590</v>
      </c>
      <c r="AA409" s="307"/>
      <c r="AB409" s="308"/>
    </row>
    <row r="410" spans="2:28" ht="27" customHeight="1" x14ac:dyDescent="0.25">
      <c r="B410" s="679" t="s">
        <v>534</v>
      </c>
      <c r="C410" s="518" t="s">
        <v>20</v>
      </c>
      <c r="D410" s="233" t="s">
        <v>55</v>
      </c>
      <c r="E410" s="233" t="s">
        <v>55</v>
      </c>
      <c r="F410" s="214" t="s">
        <v>55</v>
      </c>
      <c r="G410" s="214">
        <v>9</v>
      </c>
      <c r="H410" s="235">
        <v>49.34</v>
      </c>
      <c r="I410" s="235">
        <v>3.86</v>
      </c>
      <c r="J410" s="215">
        <f>H410*I410</f>
        <v>190.45240000000001</v>
      </c>
      <c r="K410" s="216" t="s">
        <v>558</v>
      </c>
      <c r="L410" s="237" t="s">
        <v>55</v>
      </c>
      <c r="M410" s="238" t="s">
        <v>55</v>
      </c>
      <c r="N410" s="215">
        <f t="shared" ref="N410" si="214">20*G410</f>
        <v>180</v>
      </c>
      <c r="O410" s="220">
        <f t="shared" ref="O410" si="215">20*G410</f>
        <v>180</v>
      </c>
      <c r="P410" s="356">
        <f t="shared" ref="P410" si="216">N410/J410</f>
        <v>0.9451180452438509</v>
      </c>
      <c r="Q410" s="356">
        <f t="shared" ref="Q410" si="217">O410/J410</f>
        <v>0.9451180452438509</v>
      </c>
      <c r="R410" s="217"/>
      <c r="S410" s="608" t="s">
        <v>249</v>
      </c>
      <c r="T410" s="520" t="s">
        <v>315</v>
      </c>
      <c r="Z410" s="207">
        <v>12</v>
      </c>
    </row>
    <row r="411" spans="2:28" ht="40.5" customHeight="1" x14ac:dyDescent="0.25">
      <c r="B411" s="607" t="s">
        <v>536</v>
      </c>
      <c r="C411" s="518" t="s">
        <v>537</v>
      </c>
      <c r="D411" s="233" t="s">
        <v>55</v>
      </c>
      <c r="E411" s="233" t="s">
        <v>55</v>
      </c>
      <c r="F411" s="214">
        <v>1</v>
      </c>
      <c r="G411" s="214">
        <v>1</v>
      </c>
      <c r="H411" s="235">
        <v>18.649999999999999</v>
      </c>
      <c r="I411" s="235">
        <v>3.86</v>
      </c>
      <c r="J411" s="215">
        <f t="shared" ref="J411:J412" si="218">H411*I411</f>
        <v>71.98899999999999</v>
      </c>
      <c r="K411" s="216" t="s">
        <v>670</v>
      </c>
      <c r="L411" s="237" t="s">
        <v>55</v>
      </c>
      <c r="M411" s="579" t="s">
        <v>55</v>
      </c>
      <c r="N411" s="215">
        <f>60*F411+20*G411</f>
        <v>80</v>
      </c>
      <c r="O411" s="220">
        <f>60*F411+20*G411</f>
        <v>80</v>
      </c>
      <c r="P411" s="356">
        <f>N411/J411</f>
        <v>1.1112808901359932</v>
      </c>
      <c r="Q411" s="356">
        <f>O411/J411</f>
        <v>1.1112808901359932</v>
      </c>
      <c r="R411" s="218" t="s">
        <v>55</v>
      </c>
      <c r="S411" s="608" t="s">
        <v>249</v>
      </c>
      <c r="T411" s="520" t="s">
        <v>315</v>
      </c>
    </row>
    <row r="412" spans="2:28" ht="24.75" customHeight="1" x14ac:dyDescent="0.25">
      <c r="B412" s="607" t="s">
        <v>538</v>
      </c>
      <c r="C412" s="518" t="s">
        <v>517</v>
      </c>
      <c r="D412" s="233" t="s">
        <v>55</v>
      </c>
      <c r="E412" s="233" t="s">
        <v>55</v>
      </c>
      <c r="F412" s="214">
        <f>56-6</f>
        <v>50</v>
      </c>
      <c r="G412" s="304" t="s">
        <v>55</v>
      </c>
      <c r="H412" s="235">
        <v>365.1</v>
      </c>
      <c r="I412" s="235">
        <v>3.86</v>
      </c>
      <c r="J412" s="215">
        <f t="shared" si="218"/>
        <v>1409.2860000000001</v>
      </c>
      <c r="K412" s="216" t="s">
        <v>559</v>
      </c>
      <c r="L412" s="237" t="s">
        <v>55</v>
      </c>
      <c r="M412" s="238" t="s">
        <v>55</v>
      </c>
      <c r="N412" s="215">
        <f>60*F412</f>
        <v>3000</v>
      </c>
      <c r="O412" s="220">
        <f>60*F412-O444-O443-O415-O418</f>
        <v>2830</v>
      </c>
      <c r="P412" s="356">
        <f>N412/J412</f>
        <v>2.1287375309199126</v>
      </c>
      <c r="Q412" s="356">
        <f>O412/J412</f>
        <v>2.0081090708344509</v>
      </c>
      <c r="R412" s="218" t="s">
        <v>55</v>
      </c>
      <c r="S412" s="608" t="s">
        <v>249</v>
      </c>
      <c r="T412" s="520" t="s">
        <v>315</v>
      </c>
      <c r="Z412" s="207">
        <v>7</v>
      </c>
      <c r="AA412" s="207" t="s">
        <v>711</v>
      </c>
    </row>
    <row r="413" spans="2:28" ht="17.25" customHeight="1" x14ac:dyDescent="0.25">
      <c r="B413" s="628"/>
      <c r="C413" s="518" t="s">
        <v>518</v>
      </c>
      <c r="D413" s="233" t="s">
        <v>55</v>
      </c>
      <c r="E413" s="233" t="s">
        <v>55</v>
      </c>
      <c r="F413" s="214" t="s">
        <v>55</v>
      </c>
      <c r="G413" s="214" t="s">
        <v>55</v>
      </c>
      <c r="H413" s="235" t="s">
        <v>55</v>
      </c>
      <c r="I413" s="235" t="s">
        <v>55</v>
      </c>
      <c r="J413" s="215" t="s">
        <v>55</v>
      </c>
      <c r="K413" s="216" t="s">
        <v>55</v>
      </c>
      <c r="L413" s="237" t="s">
        <v>55</v>
      </c>
      <c r="M413" s="238" t="s">
        <v>55</v>
      </c>
      <c r="N413" s="215" t="s">
        <v>55</v>
      </c>
      <c r="O413" s="220" t="s">
        <v>55</v>
      </c>
      <c r="P413" s="356" t="s">
        <v>55</v>
      </c>
      <c r="Q413" s="356" t="s">
        <v>55</v>
      </c>
      <c r="R413" s="217" t="s">
        <v>55</v>
      </c>
      <c r="S413" s="608" t="s">
        <v>55</v>
      </c>
      <c r="T413" s="520" t="s">
        <v>55</v>
      </c>
    </row>
    <row r="414" spans="2:28" ht="43.5" customHeight="1" x14ac:dyDescent="0.25">
      <c r="B414" s="627">
        <v>13.24</v>
      </c>
      <c r="C414" s="518" t="s">
        <v>539</v>
      </c>
      <c r="D414" s="233" t="s">
        <v>55</v>
      </c>
      <c r="E414" s="233" t="s">
        <v>55</v>
      </c>
      <c r="F414" s="214">
        <v>1</v>
      </c>
      <c r="G414" s="214">
        <v>1</v>
      </c>
      <c r="H414" s="235">
        <v>12.92</v>
      </c>
      <c r="I414" s="235">
        <v>3.86</v>
      </c>
      <c r="J414" s="215">
        <f t="shared" ref="J414" si="219">H414*I414</f>
        <v>49.871199999999995</v>
      </c>
      <c r="K414" s="216" t="s">
        <v>670</v>
      </c>
      <c r="L414" s="237" t="s">
        <v>55</v>
      </c>
      <c r="M414" s="579" t="s">
        <v>55</v>
      </c>
      <c r="N414" s="215">
        <f>60*F414+20*G414</f>
        <v>80</v>
      </c>
      <c r="O414" s="220">
        <f>60*F414+20*G414</f>
        <v>80</v>
      </c>
      <c r="P414" s="356">
        <f>N414/J414</f>
        <v>1.6041322446622501</v>
      </c>
      <c r="Q414" s="356">
        <f>O414/J414</f>
        <v>1.6041322446622501</v>
      </c>
      <c r="R414" s="218" t="s">
        <v>55</v>
      </c>
      <c r="S414" s="608" t="s">
        <v>249</v>
      </c>
      <c r="T414" s="520" t="s">
        <v>315</v>
      </c>
    </row>
    <row r="415" spans="2:28" ht="17.25" customHeight="1" x14ac:dyDescent="0.25">
      <c r="B415" s="627">
        <v>13.28</v>
      </c>
      <c r="C415" s="518" t="s">
        <v>550</v>
      </c>
      <c r="D415" s="233" t="s">
        <v>55</v>
      </c>
      <c r="E415" s="233" t="s">
        <v>55</v>
      </c>
      <c r="F415" s="214" t="s">
        <v>55</v>
      </c>
      <c r="G415" s="214" t="s">
        <v>55</v>
      </c>
      <c r="H415" s="235">
        <v>10.38</v>
      </c>
      <c r="I415" s="235">
        <v>3.86</v>
      </c>
      <c r="J415" s="215">
        <f t="shared" ref="J415" si="220">H415*I415</f>
        <v>40.066800000000001</v>
      </c>
      <c r="K415" s="216" t="s">
        <v>55</v>
      </c>
      <c r="L415" s="237">
        <v>1</v>
      </c>
      <c r="M415" s="579" t="s">
        <v>55</v>
      </c>
      <c r="N415" s="215" t="s">
        <v>55</v>
      </c>
      <c r="O415" s="220">
        <f t="shared" ref="O415" si="221">CEILING((J415*L415),10)</f>
        <v>50</v>
      </c>
      <c r="P415" s="356" t="s">
        <v>55</v>
      </c>
      <c r="Q415" s="356">
        <f t="shared" ref="Q415:Q418" si="222">O415/J415</f>
        <v>1.2479159803128774</v>
      </c>
      <c r="R415" s="217" t="s">
        <v>55</v>
      </c>
      <c r="S415" s="608" t="s">
        <v>55</v>
      </c>
      <c r="T415" s="520" t="s">
        <v>315</v>
      </c>
    </row>
    <row r="416" spans="2:28" ht="27.75" customHeight="1" x14ac:dyDescent="0.25">
      <c r="B416" s="627">
        <v>13.29</v>
      </c>
      <c r="C416" s="518" t="s">
        <v>20</v>
      </c>
      <c r="D416" s="233" t="s">
        <v>55</v>
      </c>
      <c r="E416" s="233" t="s">
        <v>55</v>
      </c>
      <c r="F416" s="214" t="s">
        <v>55</v>
      </c>
      <c r="G416" s="214">
        <v>3</v>
      </c>
      <c r="H416" s="235">
        <v>8.76</v>
      </c>
      <c r="I416" s="235">
        <v>3.86</v>
      </c>
      <c r="J416" s="215">
        <f t="shared" ref="J416:J417" si="223">H416*I416</f>
        <v>33.813600000000001</v>
      </c>
      <c r="K416" s="216" t="s">
        <v>558</v>
      </c>
      <c r="L416" s="237" t="s">
        <v>55</v>
      </c>
      <c r="M416" s="238" t="s">
        <v>55</v>
      </c>
      <c r="N416" s="215">
        <f t="shared" ref="N416:N417" si="224">20*G416</f>
        <v>60</v>
      </c>
      <c r="O416" s="220">
        <f t="shared" ref="O416:O417" si="225">20*G416</f>
        <v>60</v>
      </c>
      <c r="P416" s="356">
        <f t="shared" ref="P416:P417" si="226">N416/J416</f>
        <v>1.7744339555681736</v>
      </c>
      <c r="Q416" s="356">
        <f t="shared" si="222"/>
        <v>1.7744339555681736</v>
      </c>
      <c r="R416" s="217" t="s">
        <v>55</v>
      </c>
      <c r="S416" s="608" t="s">
        <v>249</v>
      </c>
      <c r="T416" s="520" t="s">
        <v>315</v>
      </c>
      <c r="Z416" s="207">
        <v>4</v>
      </c>
    </row>
    <row r="417" spans="2:27" ht="23.25" customHeight="1" x14ac:dyDescent="0.25">
      <c r="B417" s="627">
        <v>13.3</v>
      </c>
      <c r="C417" s="518" t="s">
        <v>20</v>
      </c>
      <c r="D417" s="233" t="s">
        <v>55</v>
      </c>
      <c r="E417" s="233" t="s">
        <v>55</v>
      </c>
      <c r="F417" s="214" t="s">
        <v>55</v>
      </c>
      <c r="G417" s="214">
        <v>5</v>
      </c>
      <c r="H417" s="235">
        <v>19.579999999999998</v>
      </c>
      <c r="I417" s="235">
        <v>3.86</v>
      </c>
      <c r="J417" s="215">
        <f t="shared" si="223"/>
        <v>75.578799999999987</v>
      </c>
      <c r="K417" s="216" t="s">
        <v>558</v>
      </c>
      <c r="L417" s="237" t="s">
        <v>55</v>
      </c>
      <c r="M417" s="238" t="s">
        <v>55</v>
      </c>
      <c r="N417" s="215">
        <f t="shared" si="224"/>
        <v>100</v>
      </c>
      <c r="O417" s="220">
        <f t="shared" si="225"/>
        <v>100</v>
      </c>
      <c r="P417" s="356">
        <f t="shared" si="226"/>
        <v>1.3231223570630919</v>
      </c>
      <c r="Q417" s="356">
        <f t="shared" si="222"/>
        <v>1.3231223570630919</v>
      </c>
      <c r="R417" s="217" t="s">
        <v>55</v>
      </c>
      <c r="S417" s="608" t="s">
        <v>249</v>
      </c>
      <c r="T417" s="520" t="s">
        <v>315</v>
      </c>
      <c r="Z417" s="207">
        <v>6</v>
      </c>
    </row>
    <row r="418" spans="2:27" ht="17.25" customHeight="1" x14ac:dyDescent="0.25">
      <c r="B418" s="627">
        <v>13.31</v>
      </c>
      <c r="C418" s="518" t="s">
        <v>551</v>
      </c>
      <c r="D418" s="233" t="s">
        <v>55</v>
      </c>
      <c r="E418" s="233" t="s">
        <v>55</v>
      </c>
      <c r="F418" s="214" t="s">
        <v>55</v>
      </c>
      <c r="G418" s="304" t="s">
        <v>55</v>
      </c>
      <c r="H418" s="235">
        <v>8.84</v>
      </c>
      <c r="I418" s="235">
        <v>3.86</v>
      </c>
      <c r="J418" s="215">
        <f t="shared" ref="J418" si="227">H418*I418</f>
        <v>34.122399999999999</v>
      </c>
      <c r="K418" s="216" t="s">
        <v>55</v>
      </c>
      <c r="L418" s="237">
        <v>1</v>
      </c>
      <c r="M418" s="579" t="s">
        <v>55</v>
      </c>
      <c r="N418" s="215" t="s">
        <v>55</v>
      </c>
      <c r="O418" s="220">
        <f t="shared" ref="O418" si="228">CEILING((J418*L418),10)</f>
        <v>40</v>
      </c>
      <c r="P418" s="356" t="s">
        <v>55</v>
      </c>
      <c r="Q418" s="356">
        <f t="shared" si="222"/>
        <v>1.172250486483952</v>
      </c>
      <c r="R418" s="217" t="s">
        <v>55</v>
      </c>
      <c r="S418" s="608" t="s">
        <v>55</v>
      </c>
      <c r="T418" s="520" t="s">
        <v>315</v>
      </c>
      <c r="U418" s="309" t="s">
        <v>315</v>
      </c>
    </row>
    <row r="419" spans="2:27" ht="27.75" customHeight="1" x14ac:dyDescent="0.25">
      <c r="B419" s="627">
        <v>13.32</v>
      </c>
      <c r="C419" s="518" t="s">
        <v>552</v>
      </c>
      <c r="D419" s="233" t="s">
        <v>55</v>
      </c>
      <c r="E419" s="233" t="s">
        <v>55</v>
      </c>
      <c r="F419" s="214">
        <v>2</v>
      </c>
      <c r="G419" s="304" t="s">
        <v>55</v>
      </c>
      <c r="H419" s="235">
        <v>8.6</v>
      </c>
      <c r="I419" s="235">
        <v>3.86</v>
      </c>
      <c r="J419" s="215">
        <f t="shared" ref="J419" si="229">H419*I419</f>
        <v>33.195999999999998</v>
      </c>
      <c r="K419" s="695" t="s">
        <v>55</v>
      </c>
      <c r="L419" s="216" t="s">
        <v>591</v>
      </c>
      <c r="M419" s="310" t="s">
        <v>55</v>
      </c>
      <c r="N419" s="311" t="s">
        <v>55</v>
      </c>
      <c r="O419" s="220">
        <f>F419*50</f>
        <v>100</v>
      </c>
      <c r="P419" s="356" t="s">
        <v>55</v>
      </c>
      <c r="Q419" s="356">
        <f t="shared" ref="Q419:Q420" si="230">O419/J419</f>
        <v>3.0124111338715509</v>
      </c>
      <c r="R419" s="217" t="s">
        <v>55</v>
      </c>
      <c r="S419" s="608" t="s">
        <v>55</v>
      </c>
      <c r="T419" s="696" t="s">
        <v>1042</v>
      </c>
    </row>
    <row r="420" spans="2:27" ht="24" customHeight="1" x14ac:dyDescent="0.25">
      <c r="B420" s="627">
        <v>13.33</v>
      </c>
      <c r="C420" s="518" t="s">
        <v>540</v>
      </c>
      <c r="D420" s="233" t="s">
        <v>55</v>
      </c>
      <c r="E420" s="233" t="s">
        <v>55</v>
      </c>
      <c r="F420" s="214" t="s">
        <v>55</v>
      </c>
      <c r="G420" s="214">
        <v>2</v>
      </c>
      <c r="H420" s="235">
        <v>19.16</v>
      </c>
      <c r="I420" s="235">
        <v>3.86</v>
      </c>
      <c r="J420" s="215">
        <f t="shared" ref="J420:J424" si="231">H420*I420</f>
        <v>73.957599999999999</v>
      </c>
      <c r="K420" s="216" t="s">
        <v>558</v>
      </c>
      <c r="L420" s="237" t="s">
        <v>55</v>
      </c>
      <c r="M420" s="238" t="s">
        <v>55</v>
      </c>
      <c r="N420" s="215">
        <f t="shared" ref="N420" si="232">20*G420</f>
        <v>40</v>
      </c>
      <c r="O420" s="220">
        <f t="shared" ref="O420" si="233">20*G420</f>
        <v>40</v>
      </c>
      <c r="P420" s="356">
        <f t="shared" ref="P420" si="234">N420/J420</f>
        <v>0.54085043322119697</v>
      </c>
      <c r="Q420" s="356">
        <f t="shared" si="230"/>
        <v>0.54085043322119697</v>
      </c>
      <c r="R420" s="217" t="s">
        <v>55</v>
      </c>
      <c r="S420" s="608" t="s">
        <v>249</v>
      </c>
      <c r="T420" s="520" t="s">
        <v>315</v>
      </c>
    </row>
    <row r="421" spans="2:27" ht="36" customHeight="1" x14ac:dyDescent="0.25">
      <c r="B421" s="627">
        <v>13.34</v>
      </c>
      <c r="C421" s="518" t="s">
        <v>541</v>
      </c>
      <c r="D421" s="233" t="s">
        <v>55</v>
      </c>
      <c r="E421" s="233" t="s">
        <v>55</v>
      </c>
      <c r="F421" s="214">
        <v>1</v>
      </c>
      <c r="G421" s="214">
        <v>6</v>
      </c>
      <c r="H421" s="235">
        <v>61.32</v>
      </c>
      <c r="I421" s="235">
        <v>3.86</v>
      </c>
      <c r="J421" s="215">
        <f t="shared" si="231"/>
        <v>236.6952</v>
      </c>
      <c r="K421" s="216" t="s">
        <v>670</v>
      </c>
      <c r="L421" s="237" t="s">
        <v>55</v>
      </c>
      <c r="M421" s="579" t="s">
        <v>55</v>
      </c>
      <c r="N421" s="215">
        <f>60*F421+20*G421</f>
        <v>180</v>
      </c>
      <c r="O421" s="220">
        <f>60*F421+20*G421</f>
        <v>180</v>
      </c>
      <c r="P421" s="356">
        <f>N421/J421</f>
        <v>0.760471695243503</v>
      </c>
      <c r="Q421" s="356">
        <f>O421/J421</f>
        <v>0.760471695243503</v>
      </c>
      <c r="R421" s="218" t="s">
        <v>55</v>
      </c>
      <c r="S421" s="608" t="s">
        <v>249</v>
      </c>
      <c r="T421" s="520" t="s">
        <v>315</v>
      </c>
      <c r="Z421" s="207">
        <v>7</v>
      </c>
    </row>
    <row r="422" spans="2:27" ht="17.25" customHeight="1" x14ac:dyDescent="0.25">
      <c r="B422" s="627" t="s">
        <v>55</v>
      </c>
      <c r="C422" s="518" t="s">
        <v>542</v>
      </c>
      <c r="D422" s="233" t="s">
        <v>55</v>
      </c>
      <c r="E422" s="233" t="s">
        <v>55</v>
      </c>
      <c r="F422" s="214" t="s">
        <v>55</v>
      </c>
      <c r="G422" s="214" t="s">
        <v>55</v>
      </c>
      <c r="H422" s="235" t="s">
        <v>55</v>
      </c>
      <c r="I422" s="235" t="s">
        <v>55</v>
      </c>
      <c r="J422" s="215" t="s">
        <v>55</v>
      </c>
      <c r="K422" s="216" t="s">
        <v>55</v>
      </c>
      <c r="L422" s="237" t="s">
        <v>55</v>
      </c>
      <c r="M422" s="238" t="s">
        <v>55</v>
      </c>
      <c r="N422" s="215" t="s">
        <v>55</v>
      </c>
      <c r="O422" s="220" t="s">
        <v>55</v>
      </c>
      <c r="P422" s="356" t="s">
        <v>55</v>
      </c>
      <c r="Q422" s="356" t="s">
        <v>55</v>
      </c>
      <c r="R422" s="217" t="s">
        <v>55</v>
      </c>
      <c r="S422" s="608" t="s">
        <v>55</v>
      </c>
      <c r="T422" s="520" t="s">
        <v>55</v>
      </c>
    </row>
    <row r="423" spans="2:27" ht="21" customHeight="1" x14ac:dyDescent="0.25">
      <c r="B423" s="627">
        <v>13.35</v>
      </c>
      <c r="C423" s="518" t="s">
        <v>543</v>
      </c>
      <c r="D423" s="233" t="s">
        <v>55</v>
      </c>
      <c r="E423" s="233" t="s">
        <v>55</v>
      </c>
      <c r="F423" s="214">
        <v>1</v>
      </c>
      <c r="G423" s="214" t="s">
        <v>55</v>
      </c>
      <c r="H423" s="235">
        <v>19.96</v>
      </c>
      <c r="I423" s="235">
        <v>3.86</v>
      </c>
      <c r="J423" s="215">
        <f t="shared" si="231"/>
        <v>77.045600000000007</v>
      </c>
      <c r="K423" s="216" t="s">
        <v>559</v>
      </c>
      <c r="L423" s="237" t="s">
        <v>55</v>
      </c>
      <c r="M423" s="238" t="s">
        <v>55</v>
      </c>
      <c r="N423" s="215">
        <f>60*F423</f>
        <v>60</v>
      </c>
      <c r="O423" s="220">
        <f>60*F423</f>
        <v>60</v>
      </c>
      <c r="P423" s="356">
        <f>N423/J423</f>
        <v>0.77875959172230469</v>
      </c>
      <c r="Q423" s="356">
        <f>O423/J423</f>
        <v>0.77875959172230469</v>
      </c>
      <c r="R423" s="218" t="s">
        <v>55</v>
      </c>
      <c r="S423" s="608" t="s">
        <v>249</v>
      </c>
      <c r="T423" s="520" t="s">
        <v>315</v>
      </c>
    </row>
    <row r="424" spans="2:27" ht="23.25" customHeight="1" x14ac:dyDescent="0.25">
      <c r="B424" s="627">
        <v>13.36</v>
      </c>
      <c r="C424" s="518" t="s">
        <v>517</v>
      </c>
      <c r="D424" s="233" t="s">
        <v>55</v>
      </c>
      <c r="E424" s="233" t="s">
        <v>55</v>
      </c>
      <c r="F424" s="214">
        <f>55-6</f>
        <v>49</v>
      </c>
      <c r="G424" s="304" t="s">
        <v>55</v>
      </c>
      <c r="H424" s="235">
        <v>351.49</v>
      </c>
      <c r="I424" s="235">
        <v>3.86</v>
      </c>
      <c r="J424" s="215">
        <f t="shared" si="231"/>
        <v>1356.7514000000001</v>
      </c>
      <c r="K424" s="216" t="s">
        <v>559</v>
      </c>
      <c r="L424" s="237" t="s">
        <v>55</v>
      </c>
      <c r="M424" s="238" t="s">
        <v>55</v>
      </c>
      <c r="N424" s="215">
        <f>60*F424</f>
        <v>2940</v>
      </c>
      <c r="O424" s="220">
        <f>60*F424-O428</f>
        <v>2900</v>
      </c>
      <c r="P424" s="356">
        <f>N424/J424</f>
        <v>2.1669408264476453</v>
      </c>
      <c r="Q424" s="356">
        <f>O424/J424</f>
        <v>2.1374586383327112</v>
      </c>
      <c r="R424" s="218" t="s">
        <v>55</v>
      </c>
      <c r="S424" s="608" t="s">
        <v>249</v>
      </c>
      <c r="T424" s="520" t="s">
        <v>315</v>
      </c>
      <c r="Z424" s="207">
        <v>7</v>
      </c>
      <c r="AA424" s="207" t="s">
        <v>711</v>
      </c>
    </row>
    <row r="425" spans="2:27" ht="17.25" customHeight="1" x14ac:dyDescent="0.25">
      <c r="B425" s="627" t="s">
        <v>55</v>
      </c>
      <c r="C425" s="518" t="s">
        <v>518</v>
      </c>
      <c r="D425" s="233" t="s">
        <v>55</v>
      </c>
      <c r="E425" s="233" t="s">
        <v>55</v>
      </c>
      <c r="F425" s="214" t="s">
        <v>55</v>
      </c>
      <c r="G425" s="214" t="s">
        <v>55</v>
      </c>
      <c r="H425" s="235" t="s">
        <v>55</v>
      </c>
      <c r="I425" s="235" t="s">
        <v>55</v>
      </c>
      <c r="J425" s="215" t="s">
        <v>55</v>
      </c>
      <c r="K425" s="216" t="s">
        <v>55</v>
      </c>
      <c r="L425" s="237" t="s">
        <v>55</v>
      </c>
      <c r="M425" s="238" t="s">
        <v>55</v>
      </c>
      <c r="N425" s="215" t="s">
        <v>55</v>
      </c>
      <c r="O425" s="220" t="s">
        <v>55</v>
      </c>
      <c r="P425" s="356" t="s">
        <v>55</v>
      </c>
      <c r="Q425" s="356" t="s">
        <v>55</v>
      </c>
      <c r="R425" s="217" t="s">
        <v>55</v>
      </c>
      <c r="S425" s="608" t="s">
        <v>55</v>
      </c>
      <c r="T425" s="520" t="s">
        <v>55</v>
      </c>
    </row>
    <row r="426" spans="2:27" ht="25.5" customHeight="1" x14ac:dyDescent="0.25">
      <c r="B426" s="627">
        <v>13.37</v>
      </c>
      <c r="C426" s="518" t="s">
        <v>544</v>
      </c>
      <c r="D426" s="233" t="s">
        <v>55</v>
      </c>
      <c r="E426" s="233" t="s">
        <v>55</v>
      </c>
      <c r="F426" s="214">
        <v>1</v>
      </c>
      <c r="G426" s="214" t="s">
        <v>55</v>
      </c>
      <c r="H426" s="648">
        <v>12.04</v>
      </c>
      <c r="I426" s="235">
        <v>3.86</v>
      </c>
      <c r="J426" s="215">
        <f t="shared" ref="J426" si="235">H426*I426</f>
        <v>46.474399999999996</v>
      </c>
      <c r="K426" s="216" t="s">
        <v>559</v>
      </c>
      <c r="L426" s="237" t="s">
        <v>55</v>
      </c>
      <c r="M426" s="238" t="s">
        <v>55</v>
      </c>
      <c r="N426" s="215">
        <f>60*F426</f>
        <v>60</v>
      </c>
      <c r="O426" s="220">
        <f>60*F426</f>
        <v>60</v>
      </c>
      <c r="P426" s="356">
        <f>N426/J426</f>
        <v>1.2910333430878076</v>
      </c>
      <c r="Q426" s="356">
        <f>O426/J426</f>
        <v>1.2910333430878076</v>
      </c>
      <c r="R426" s="218" t="s">
        <v>55</v>
      </c>
      <c r="S426" s="608" t="s">
        <v>249</v>
      </c>
      <c r="T426" s="520" t="s">
        <v>315</v>
      </c>
    </row>
    <row r="427" spans="2:27" ht="34.5" customHeight="1" x14ac:dyDescent="0.25">
      <c r="B427" s="627">
        <v>13.38</v>
      </c>
      <c r="C427" s="518" t="s">
        <v>715</v>
      </c>
      <c r="D427" s="233" t="s">
        <v>55</v>
      </c>
      <c r="E427" s="233" t="s">
        <v>55</v>
      </c>
      <c r="F427" s="214">
        <v>1</v>
      </c>
      <c r="G427" s="214">
        <v>4</v>
      </c>
      <c r="H427" s="648">
        <v>29.66</v>
      </c>
      <c r="I427" s="235">
        <v>3.86</v>
      </c>
      <c r="J427" s="215">
        <f t="shared" ref="J427" si="236">H427*I427</f>
        <v>114.4876</v>
      </c>
      <c r="K427" s="216" t="s">
        <v>670</v>
      </c>
      <c r="L427" s="237" t="s">
        <v>55</v>
      </c>
      <c r="M427" s="579" t="s">
        <v>55</v>
      </c>
      <c r="N427" s="215">
        <f>60*F427+20*G427</f>
        <v>140</v>
      </c>
      <c r="O427" s="220">
        <f>60*F427+20*G427</f>
        <v>140</v>
      </c>
      <c r="P427" s="356">
        <f>N427/J427</f>
        <v>1.2228398533989706</v>
      </c>
      <c r="Q427" s="356">
        <f>O427/J427</f>
        <v>1.2228398533989706</v>
      </c>
      <c r="R427" s="218" t="s">
        <v>55</v>
      </c>
      <c r="S427" s="608" t="s">
        <v>249</v>
      </c>
      <c r="T427" s="520" t="s">
        <v>315</v>
      </c>
    </row>
    <row r="428" spans="2:27" ht="17.25" customHeight="1" x14ac:dyDescent="0.25">
      <c r="B428" s="627">
        <v>13.39</v>
      </c>
      <c r="C428" s="518" t="s">
        <v>551</v>
      </c>
      <c r="D428" s="233" t="s">
        <v>55</v>
      </c>
      <c r="E428" s="233" t="s">
        <v>55</v>
      </c>
      <c r="F428" s="214" t="s">
        <v>55</v>
      </c>
      <c r="G428" s="214" t="s">
        <v>55</v>
      </c>
      <c r="H428" s="648">
        <v>10.28</v>
      </c>
      <c r="I428" s="235">
        <v>3.86</v>
      </c>
      <c r="J428" s="215">
        <f t="shared" ref="J428" si="237">H428*I428</f>
        <v>39.680799999999998</v>
      </c>
      <c r="K428" s="216" t="s">
        <v>55</v>
      </c>
      <c r="L428" s="237">
        <v>1</v>
      </c>
      <c r="M428" s="650" t="s">
        <v>55</v>
      </c>
      <c r="N428" s="215" t="s">
        <v>55</v>
      </c>
      <c r="O428" s="220">
        <f t="shared" ref="O428" si="238">CEILING((J428*L428),10)</f>
        <v>40</v>
      </c>
      <c r="P428" s="356" t="s">
        <v>55</v>
      </c>
      <c r="Q428" s="356">
        <f t="shared" ref="Q428:Q430" si="239">O428/J428</f>
        <v>1.0080441926574062</v>
      </c>
      <c r="R428" s="217" t="s">
        <v>55</v>
      </c>
      <c r="S428" s="608" t="s">
        <v>55</v>
      </c>
      <c r="T428" s="520" t="s">
        <v>315</v>
      </c>
    </row>
    <row r="429" spans="2:27" ht="26.25" customHeight="1" x14ac:dyDescent="0.25">
      <c r="B429" s="627">
        <v>13.4</v>
      </c>
      <c r="C429" s="518" t="s">
        <v>553</v>
      </c>
      <c r="D429" s="233" t="s">
        <v>55</v>
      </c>
      <c r="E429" s="233" t="s">
        <v>55</v>
      </c>
      <c r="F429" s="214" t="s">
        <v>55</v>
      </c>
      <c r="G429" s="214">
        <v>2</v>
      </c>
      <c r="H429" s="648">
        <v>7.34</v>
      </c>
      <c r="I429" s="235">
        <v>3.86</v>
      </c>
      <c r="J429" s="215">
        <f t="shared" ref="J429" si="240">H429*I429</f>
        <v>28.3324</v>
      </c>
      <c r="K429" s="216" t="s">
        <v>558</v>
      </c>
      <c r="L429" s="237" t="s">
        <v>55</v>
      </c>
      <c r="M429" s="238" t="s">
        <v>55</v>
      </c>
      <c r="N429" s="215">
        <f t="shared" ref="N429:N430" si="241">20*G429</f>
        <v>40</v>
      </c>
      <c r="O429" s="220">
        <f t="shared" ref="O429:O430" si="242">20*G429</f>
        <v>40</v>
      </c>
      <c r="P429" s="356">
        <f t="shared" ref="P429:P430" si="243">N429/J429</f>
        <v>1.4118112126046505</v>
      </c>
      <c r="Q429" s="356">
        <f t="shared" si="239"/>
        <v>1.4118112126046505</v>
      </c>
      <c r="R429" s="217" t="s">
        <v>55</v>
      </c>
      <c r="S429" s="608" t="s">
        <v>249</v>
      </c>
      <c r="T429" s="520" t="s">
        <v>315</v>
      </c>
      <c r="Z429" s="207">
        <v>3</v>
      </c>
    </row>
    <row r="430" spans="2:27" ht="23.25" customHeight="1" x14ac:dyDescent="0.25">
      <c r="B430" s="627">
        <v>13.42</v>
      </c>
      <c r="C430" s="518" t="s">
        <v>20</v>
      </c>
      <c r="D430" s="233" t="s">
        <v>55</v>
      </c>
      <c r="E430" s="233" t="s">
        <v>55</v>
      </c>
      <c r="F430" s="214" t="s">
        <v>55</v>
      </c>
      <c r="G430" s="214">
        <v>9</v>
      </c>
      <c r="H430" s="648">
        <v>37.729999999999997</v>
      </c>
      <c r="I430" s="235">
        <v>3.86</v>
      </c>
      <c r="J430" s="215">
        <f>H430*I430</f>
        <v>145.63779999999997</v>
      </c>
      <c r="K430" s="216" t="s">
        <v>558</v>
      </c>
      <c r="L430" s="237" t="s">
        <v>55</v>
      </c>
      <c r="M430" s="238" t="s">
        <v>55</v>
      </c>
      <c r="N430" s="215">
        <f t="shared" si="241"/>
        <v>180</v>
      </c>
      <c r="O430" s="220">
        <f t="shared" si="242"/>
        <v>180</v>
      </c>
      <c r="P430" s="356">
        <f t="shared" si="243"/>
        <v>1.2359428664810923</v>
      </c>
      <c r="Q430" s="356">
        <f t="shared" si="239"/>
        <v>1.2359428664810923</v>
      </c>
      <c r="R430" s="217" t="s">
        <v>55</v>
      </c>
      <c r="S430" s="608" t="s">
        <v>249</v>
      </c>
      <c r="T430" s="520" t="s">
        <v>315</v>
      </c>
      <c r="Z430" s="207">
        <v>12</v>
      </c>
    </row>
    <row r="431" spans="2:27" ht="37.5" customHeight="1" x14ac:dyDescent="0.25">
      <c r="B431" s="627">
        <v>13.43</v>
      </c>
      <c r="C431" s="518" t="s">
        <v>545</v>
      </c>
      <c r="D431" s="233" t="s">
        <v>55</v>
      </c>
      <c r="E431" s="233" t="s">
        <v>55</v>
      </c>
      <c r="F431" s="214">
        <v>1</v>
      </c>
      <c r="G431" s="214">
        <v>1</v>
      </c>
      <c r="H431" s="235">
        <v>13.23</v>
      </c>
      <c r="I431" s="235">
        <v>3.86</v>
      </c>
      <c r="J431" s="215">
        <f>H431*I431</f>
        <v>51.067799999999998</v>
      </c>
      <c r="K431" s="216" t="s">
        <v>670</v>
      </c>
      <c r="L431" s="237" t="s">
        <v>55</v>
      </c>
      <c r="M431" s="579" t="s">
        <v>55</v>
      </c>
      <c r="N431" s="215">
        <f>60*F431+20*G431</f>
        <v>80</v>
      </c>
      <c r="O431" s="220">
        <f>60*F431+20*G431</f>
        <v>80</v>
      </c>
      <c r="P431" s="356">
        <f>N431/J431</f>
        <v>1.566544867803195</v>
      </c>
      <c r="Q431" s="356">
        <f>O431/J431</f>
        <v>1.566544867803195</v>
      </c>
      <c r="R431" s="218" t="s">
        <v>55</v>
      </c>
      <c r="S431" s="608" t="s">
        <v>249</v>
      </c>
      <c r="T431" s="520" t="s">
        <v>315</v>
      </c>
    </row>
    <row r="432" spans="2:27" ht="21.75" customHeight="1" x14ac:dyDescent="0.25">
      <c r="B432" s="627">
        <v>13.44</v>
      </c>
      <c r="C432" s="518" t="s">
        <v>517</v>
      </c>
      <c r="D432" s="233" t="s">
        <v>55</v>
      </c>
      <c r="E432" s="233" t="s">
        <v>55</v>
      </c>
      <c r="F432" s="214">
        <f>66-7</f>
        <v>59</v>
      </c>
      <c r="G432" s="214" t="s">
        <v>55</v>
      </c>
      <c r="H432" s="235">
        <v>435.55</v>
      </c>
      <c r="I432" s="235">
        <v>3.86</v>
      </c>
      <c r="J432" s="215">
        <f>H432*I432</f>
        <v>1681.223</v>
      </c>
      <c r="K432" s="216" t="s">
        <v>559</v>
      </c>
      <c r="L432" s="237" t="s">
        <v>55</v>
      </c>
      <c r="M432" s="238" t="s">
        <v>55</v>
      </c>
      <c r="N432" s="215">
        <f>60*F432</f>
        <v>3540</v>
      </c>
      <c r="O432" s="220">
        <f>60*F432-O441-O442-O434-O445</f>
        <v>3310</v>
      </c>
      <c r="P432" s="356">
        <f>N432/J432</f>
        <v>2.1056100231795543</v>
      </c>
      <c r="Q432" s="356">
        <f>O432/J432</f>
        <v>1.9688048521820127</v>
      </c>
      <c r="R432" s="218" t="s">
        <v>55</v>
      </c>
      <c r="S432" s="608" t="s">
        <v>249</v>
      </c>
      <c r="T432" s="520" t="s">
        <v>315</v>
      </c>
      <c r="Z432" s="207">
        <v>13</v>
      </c>
      <c r="AA432" s="207" t="s">
        <v>710</v>
      </c>
    </row>
    <row r="433" spans="2:28" ht="17.25" customHeight="1" x14ac:dyDescent="0.25">
      <c r="B433" s="697"/>
      <c r="C433" s="518" t="s">
        <v>518</v>
      </c>
      <c r="D433" s="233" t="s">
        <v>55</v>
      </c>
      <c r="E433" s="233" t="s">
        <v>55</v>
      </c>
      <c r="F433" s="214" t="s">
        <v>55</v>
      </c>
      <c r="G433" s="214" t="s">
        <v>55</v>
      </c>
      <c r="H433" s="235" t="s">
        <v>55</v>
      </c>
      <c r="I433" s="235" t="s">
        <v>55</v>
      </c>
      <c r="J433" s="215" t="s">
        <v>55</v>
      </c>
      <c r="K433" s="216" t="s">
        <v>55</v>
      </c>
      <c r="L433" s="237" t="s">
        <v>55</v>
      </c>
      <c r="M433" s="238" t="s">
        <v>55</v>
      </c>
      <c r="N433" s="215" t="s">
        <v>55</v>
      </c>
      <c r="O433" s="220" t="s">
        <v>55</v>
      </c>
      <c r="P433" s="356" t="s">
        <v>55</v>
      </c>
      <c r="Q433" s="356" t="s">
        <v>55</v>
      </c>
      <c r="R433" s="217" t="s">
        <v>55</v>
      </c>
      <c r="S433" s="608" t="s">
        <v>55</v>
      </c>
      <c r="T433" s="520" t="s">
        <v>55</v>
      </c>
    </row>
    <row r="434" spans="2:28" ht="17.25" customHeight="1" x14ac:dyDescent="0.25">
      <c r="B434" s="627">
        <v>13.48</v>
      </c>
      <c r="C434" s="518" t="s">
        <v>54</v>
      </c>
      <c r="D434" s="233" t="s">
        <v>303</v>
      </c>
      <c r="E434" s="233" t="s">
        <v>55</v>
      </c>
      <c r="F434" s="214" t="s">
        <v>55</v>
      </c>
      <c r="G434" s="214" t="s">
        <v>55</v>
      </c>
      <c r="H434" s="235">
        <v>30.76</v>
      </c>
      <c r="I434" s="235">
        <v>3.86</v>
      </c>
      <c r="J434" s="215">
        <f>H434*I434</f>
        <v>118.7336</v>
      </c>
      <c r="K434" s="216" t="s">
        <v>55</v>
      </c>
      <c r="L434" s="237">
        <v>1</v>
      </c>
      <c r="M434" s="650" t="s">
        <v>55</v>
      </c>
      <c r="N434" s="215" t="s">
        <v>55</v>
      </c>
      <c r="O434" s="220">
        <f t="shared" ref="O434" si="244">CEILING((J434*L434),10)</f>
        <v>120</v>
      </c>
      <c r="P434" s="356" t="s">
        <v>55</v>
      </c>
      <c r="Q434" s="356">
        <f t="shared" ref="Q434" si="245">O434/J434</f>
        <v>1.0106658940687387</v>
      </c>
      <c r="R434" s="217" t="s">
        <v>55</v>
      </c>
      <c r="S434" s="608" t="s">
        <v>55</v>
      </c>
      <c r="T434" s="520" t="s">
        <v>315</v>
      </c>
    </row>
    <row r="435" spans="2:28" ht="25.5" customHeight="1" x14ac:dyDescent="0.25">
      <c r="B435" s="681">
        <v>13.49</v>
      </c>
      <c r="C435" s="518" t="s">
        <v>515</v>
      </c>
      <c r="D435" s="233" t="s">
        <v>55</v>
      </c>
      <c r="E435" s="233" t="s">
        <v>55</v>
      </c>
      <c r="F435" s="214">
        <v>1</v>
      </c>
      <c r="G435" s="214" t="s">
        <v>55</v>
      </c>
      <c r="H435" s="235">
        <v>13.24</v>
      </c>
      <c r="I435" s="235">
        <v>3.86</v>
      </c>
      <c r="J435" s="215">
        <f>H435*I435</f>
        <v>51.106400000000001</v>
      </c>
      <c r="K435" s="216" t="s">
        <v>559</v>
      </c>
      <c r="L435" s="237" t="s">
        <v>55</v>
      </c>
      <c r="M435" s="238" t="s">
        <v>55</v>
      </c>
      <c r="N435" s="215">
        <f>60*F435</f>
        <v>60</v>
      </c>
      <c r="O435" s="220">
        <f>60*F435</f>
        <v>60</v>
      </c>
      <c r="P435" s="356">
        <f>N435/J435</f>
        <v>1.1740212576115712</v>
      </c>
      <c r="Q435" s="356">
        <f>O435/J435</f>
        <v>1.1740212576115712</v>
      </c>
      <c r="R435" s="218" t="s">
        <v>55</v>
      </c>
      <c r="S435" s="608" t="s">
        <v>249</v>
      </c>
      <c r="T435" s="520" t="s">
        <v>315</v>
      </c>
    </row>
    <row r="436" spans="2:28" ht="41.25" customHeight="1" x14ac:dyDescent="0.25">
      <c r="B436" s="627">
        <v>13.52</v>
      </c>
      <c r="C436" s="518" t="s">
        <v>546</v>
      </c>
      <c r="D436" s="233" t="s">
        <v>55</v>
      </c>
      <c r="E436" s="233" t="s">
        <v>55</v>
      </c>
      <c r="F436" s="214">
        <v>1</v>
      </c>
      <c r="G436" s="214">
        <v>4</v>
      </c>
      <c r="H436" s="235">
        <v>29.93</v>
      </c>
      <c r="I436" s="235">
        <v>3.86</v>
      </c>
      <c r="J436" s="215">
        <f>H436*I436</f>
        <v>115.52979999999999</v>
      </c>
      <c r="K436" s="216" t="s">
        <v>670</v>
      </c>
      <c r="L436" s="237" t="s">
        <v>55</v>
      </c>
      <c r="M436" s="579" t="s">
        <v>55</v>
      </c>
      <c r="N436" s="215">
        <f>60*F436+20*G436</f>
        <v>140</v>
      </c>
      <c r="O436" s="220">
        <f>60*F436+20*G436</f>
        <v>140</v>
      </c>
      <c r="P436" s="356">
        <f>N436/J436</f>
        <v>1.2118085550221676</v>
      </c>
      <c r="Q436" s="356">
        <f>O436/J436</f>
        <v>1.2118085550221676</v>
      </c>
      <c r="R436" s="218" t="s">
        <v>55</v>
      </c>
      <c r="S436" s="608" t="s">
        <v>249</v>
      </c>
      <c r="T436" s="520" t="s">
        <v>315</v>
      </c>
    </row>
    <row r="437" spans="2:28" ht="17.25" customHeight="1" x14ac:dyDescent="0.25">
      <c r="B437" s="627"/>
      <c r="C437" s="518" t="s">
        <v>547</v>
      </c>
      <c r="D437" s="233" t="s">
        <v>55</v>
      </c>
      <c r="E437" s="233" t="s">
        <v>55</v>
      </c>
      <c r="F437" s="214" t="s">
        <v>55</v>
      </c>
      <c r="G437" s="214" t="s">
        <v>55</v>
      </c>
      <c r="H437" s="235" t="s">
        <v>55</v>
      </c>
      <c r="I437" s="235" t="s">
        <v>55</v>
      </c>
      <c r="J437" s="215" t="s">
        <v>55</v>
      </c>
      <c r="K437" s="216" t="s">
        <v>55</v>
      </c>
      <c r="L437" s="237" t="s">
        <v>55</v>
      </c>
      <c r="M437" s="238" t="s">
        <v>55</v>
      </c>
      <c r="N437" s="215" t="s">
        <v>55</v>
      </c>
      <c r="O437" s="220" t="s">
        <v>55</v>
      </c>
      <c r="P437" s="356" t="s">
        <v>55</v>
      </c>
      <c r="Q437" s="356" t="s">
        <v>55</v>
      </c>
      <c r="R437" s="217" t="s">
        <v>55</v>
      </c>
      <c r="S437" s="608" t="s">
        <v>55</v>
      </c>
      <c r="T437" s="520" t="s">
        <v>55</v>
      </c>
    </row>
    <row r="438" spans="2:28" ht="17.25" customHeight="1" x14ac:dyDescent="0.25">
      <c r="B438" s="627">
        <v>13.53</v>
      </c>
      <c r="C438" s="518" t="s">
        <v>517</v>
      </c>
      <c r="D438" s="233" t="s">
        <v>55</v>
      </c>
      <c r="E438" s="233" t="s">
        <v>55</v>
      </c>
      <c r="F438" s="214" t="s">
        <v>55</v>
      </c>
      <c r="G438" s="214" t="s">
        <v>55</v>
      </c>
      <c r="H438" s="235">
        <v>3.39</v>
      </c>
      <c r="I438" s="235" t="s">
        <v>55</v>
      </c>
      <c r="J438" s="215" t="s">
        <v>55</v>
      </c>
      <c r="K438" s="216" t="s">
        <v>55</v>
      </c>
      <c r="L438" s="237" t="s">
        <v>55</v>
      </c>
      <c r="M438" s="238" t="s">
        <v>55</v>
      </c>
      <c r="N438" s="215" t="s">
        <v>55</v>
      </c>
      <c r="O438" s="220" t="s">
        <v>55</v>
      </c>
      <c r="P438" s="356" t="s">
        <v>55</v>
      </c>
      <c r="Q438" s="356" t="s">
        <v>55</v>
      </c>
      <c r="R438" s="217" t="s">
        <v>55</v>
      </c>
      <c r="S438" s="608" t="s">
        <v>55</v>
      </c>
      <c r="T438" s="520" t="s">
        <v>55</v>
      </c>
    </row>
    <row r="439" spans="2:28" ht="17.25" customHeight="1" x14ac:dyDescent="0.25">
      <c r="B439" s="684"/>
      <c r="C439" s="518" t="s">
        <v>518</v>
      </c>
      <c r="D439" s="233" t="s">
        <v>55</v>
      </c>
      <c r="E439" s="233" t="s">
        <v>55</v>
      </c>
      <c r="F439" s="214" t="s">
        <v>55</v>
      </c>
      <c r="G439" s="214" t="s">
        <v>55</v>
      </c>
      <c r="H439" s="235" t="s">
        <v>55</v>
      </c>
      <c r="I439" s="235" t="s">
        <v>55</v>
      </c>
      <c r="J439" s="215" t="s">
        <v>55</v>
      </c>
      <c r="K439" s="216" t="s">
        <v>55</v>
      </c>
      <c r="L439" s="237" t="s">
        <v>55</v>
      </c>
      <c r="M439" s="238" t="s">
        <v>55</v>
      </c>
      <c r="N439" s="215" t="s">
        <v>55</v>
      </c>
      <c r="O439" s="220" t="s">
        <v>55</v>
      </c>
      <c r="P439" s="356" t="s">
        <v>55</v>
      </c>
      <c r="Q439" s="356" t="s">
        <v>55</v>
      </c>
      <c r="R439" s="217" t="s">
        <v>55</v>
      </c>
      <c r="S439" s="608" t="s">
        <v>55</v>
      </c>
      <c r="T439" s="520" t="s">
        <v>55</v>
      </c>
    </row>
    <row r="440" spans="2:28" ht="36.75" customHeight="1" x14ac:dyDescent="0.25">
      <c r="B440" s="627">
        <v>13.54</v>
      </c>
      <c r="C440" s="518" t="s">
        <v>548</v>
      </c>
      <c r="D440" s="233" t="s">
        <v>55</v>
      </c>
      <c r="E440" s="233" t="s">
        <v>55</v>
      </c>
      <c r="F440" s="214">
        <v>1</v>
      </c>
      <c r="G440" s="214">
        <v>4</v>
      </c>
      <c r="H440" s="235">
        <v>29.66</v>
      </c>
      <c r="I440" s="235">
        <v>3.86</v>
      </c>
      <c r="J440" s="215">
        <f t="shared" ref="J440:J445" si="246">H440*I440</f>
        <v>114.4876</v>
      </c>
      <c r="K440" s="216" t="s">
        <v>670</v>
      </c>
      <c r="L440" s="237" t="s">
        <v>55</v>
      </c>
      <c r="M440" s="579" t="s">
        <v>55</v>
      </c>
      <c r="N440" s="215">
        <f>60*F440+20*G440</f>
        <v>140</v>
      </c>
      <c r="O440" s="220">
        <f>60*F440+20*G440</f>
        <v>140</v>
      </c>
      <c r="P440" s="356">
        <f>N440/J440</f>
        <v>1.2228398533989706</v>
      </c>
      <c r="Q440" s="356">
        <f>O440/J440</f>
        <v>1.2228398533989706</v>
      </c>
      <c r="R440" s="218" t="s">
        <v>55</v>
      </c>
      <c r="S440" s="608" t="s">
        <v>249</v>
      </c>
      <c r="T440" s="520" t="s">
        <v>315</v>
      </c>
    </row>
    <row r="441" spans="2:28" ht="17.25" customHeight="1" x14ac:dyDescent="0.25">
      <c r="B441" s="627">
        <v>13.55</v>
      </c>
      <c r="C441" s="518" t="s">
        <v>553</v>
      </c>
      <c r="D441" s="233" t="s">
        <v>55</v>
      </c>
      <c r="E441" s="233" t="s">
        <v>55</v>
      </c>
      <c r="F441" s="214" t="s">
        <v>55</v>
      </c>
      <c r="G441" s="214" t="s">
        <v>55</v>
      </c>
      <c r="H441" s="235">
        <v>4.88</v>
      </c>
      <c r="I441" s="235">
        <v>3.86</v>
      </c>
      <c r="J441" s="215">
        <f t="shared" si="246"/>
        <v>18.8368</v>
      </c>
      <c r="K441" s="216" t="s">
        <v>55</v>
      </c>
      <c r="L441" s="237">
        <v>1</v>
      </c>
      <c r="M441" s="579" t="s">
        <v>55</v>
      </c>
      <c r="N441" s="215" t="s">
        <v>55</v>
      </c>
      <c r="O441" s="220">
        <f t="shared" ref="O441" si="247">CEILING((J441*L441),10)</f>
        <v>20</v>
      </c>
      <c r="P441" s="356" t="s">
        <v>55</v>
      </c>
      <c r="Q441" s="356">
        <f t="shared" ref="Q441" si="248">O441/J441</f>
        <v>1.0617514652170219</v>
      </c>
      <c r="R441" s="217" t="s">
        <v>55</v>
      </c>
      <c r="S441" s="608" t="s">
        <v>55</v>
      </c>
      <c r="T441" s="520" t="s">
        <v>315</v>
      </c>
    </row>
    <row r="442" spans="2:28" ht="17.25" customHeight="1" x14ac:dyDescent="0.25">
      <c r="B442" s="627">
        <v>13.56</v>
      </c>
      <c r="C442" s="518" t="s">
        <v>95</v>
      </c>
      <c r="D442" s="233" t="s">
        <v>55</v>
      </c>
      <c r="E442" s="233" t="s">
        <v>55</v>
      </c>
      <c r="F442" s="214" t="s">
        <v>55</v>
      </c>
      <c r="G442" s="214" t="s">
        <v>55</v>
      </c>
      <c r="H442" s="235">
        <v>10.93</v>
      </c>
      <c r="I442" s="235">
        <v>3.86</v>
      </c>
      <c r="J442" s="215">
        <f t="shared" si="246"/>
        <v>42.189799999999998</v>
      </c>
      <c r="K442" s="216" t="s">
        <v>55</v>
      </c>
      <c r="L442" s="237">
        <v>1</v>
      </c>
      <c r="M442" s="579" t="s">
        <v>55</v>
      </c>
      <c r="N442" s="215" t="s">
        <v>55</v>
      </c>
      <c r="O442" s="220">
        <f t="shared" ref="O442" si="249">CEILING((J442*L442),10)</f>
        <v>50</v>
      </c>
      <c r="P442" s="356" t="s">
        <v>55</v>
      </c>
      <c r="Q442" s="356">
        <f t="shared" ref="Q442" si="250">O442/J442</f>
        <v>1.1851205741672157</v>
      </c>
      <c r="R442" s="217" t="s">
        <v>55</v>
      </c>
      <c r="S442" s="608" t="s">
        <v>55</v>
      </c>
      <c r="T442" s="520" t="s">
        <v>315</v>
      </c>
    </row>
    <row r="443" spans="2:28" ht="17.25" customHeight="1" x14ac:dyDescent="0.25">
      <c r="B443" s="627">
        <v>13.58</v>
      </c>
      <c r="C443" s="518" t="s">
        <v>54</v>
      </c>
      <c r="D443" s="233" t="s">
        <v>303</v>
      </c>
      <c r="E443" s="233" t="s">
        <v>55</v>
      </c>
      <c r="F443" s="214" t="s">
        <v>55</v>
      </c>
      <c r="G443" s="214" t="s">
        <v>55</v>
      </c>
      <c r="H443" s="235">
        <v>10.92</v>
      </c>
      <c r="I443" s="235">
        <v>3.86</v>
      </c>
      <c r="J443" s="215">
        <f t="shared" si="246"/>
        <v>42.151199999999996</v>
      </c>
      <c r="K443" s="216" t="s">
        <v>55</v>
      </c>
      <c r="L443" s="237">
        <v>1</v>
      </c>
      <c r="M443" s="579" t="s">
        <v>55</v>
      </c>
      <c r="N443" s="215" t="s">
        <v>55</v>
      </c>
      <c r="O443" s="220">
        <f t="shared" ref="O443" si="251">CEILING((J443*L443),10)</f>
        <v>50</v>
      </c>
      <c r="P443" s="356" t="s">
        <v>55</v>
      </c>
      <c r="Q443" s="356">
        <f t="shared" ref="Q443" si="252">O443/J443</f>
        <v>1.1862058494182848</v>
      </c>
      <c r="R443" s="217" t="s">
        <v>55</v>
      </c>
      <c r="S443" s="608" t="s">
        <v>55</v>
      </c>
      <c r="T443" s="520" t="s">
        <v>315</v>
      </c>
    </row>
    <row r="444" spans="2:28" ht="17.25" customHeight="1" x14ac:dyDescent="0.25">
      <c r="B444" s="627">
        <v>13.59</v>
      </c>
      <c r="C444" s="518" t="s">
        <v>553</v>
      </c>
      <c r="D444" s="233" t="s">
        <v>55</v>
      </c>
      <c r="E444" s="233" t="s">
        <v>55</v>
      </c>
      <c r="F444" s="214" t="s">
        <v>55</v>
      </c>
      <c r="G444" s="214" t="s">
        <v>55</v>
      </c>
      <c r="H444" s="235">
        <v>5.51</v>
      </c>
      <c r="I444" s="235">
        <v>3.86</v>
      </c>
      <c r="J444" s="215">
        <f t="shared" si="246"/>
        <v>21.268599999999999</v>
      </c>
      <c r="K444" s="216" t="s">
        <v>55</v>
      </c>
      <c r="L444" s="237">
        <v>1</v>
      </c>
      <c r="M444" s="579" t="s">
        <v>55</v>
      </c>
      <c r="N444" s="215" t="s">
        <v>55</v>
      </c>
      <c r="O444" s="220">
        <f t="shared" ref="O444" si="253">CEILING((J444*L444),10)</f>
        <v>30</v>
      </c>
      <c r="P444" s="356" t="s">
        <v>55</v>
      </c>
      <c r="Q444" s="356">
        <f t="shared" ref="Q444" si="254">O444/J444</f>
        <v>1.4105300772030129</v>
      </c>
      <c r="R444" s="217" t="s">
        <v>55</v>
      </c>
      <c r="S444" s="608" t="s">
        <v>55</v>
      </c>
      <c r="T444" s="520" t="s">
        <v>315</v>
      </c>
    </row>
    <row r="445" spans="2:28" ht="17.25" customHeight="1" x14ac:dyDescent="0.25">
      <c r="B445" s="627">
        <v>13.6</v>
      </c>
      <c r="C445" s="518" t="s">
        <v>549</v>
      </c>
      <c r="D445" s="233" t="s">
        <v>560</v>
      </c>
      <c r="E445" s="233" t="s">
        <v>55</v>
      </c>
      <c r="F445" s="214" t="s">
        <v>55</v>
      </c>
      <c r="G445" s="214" t="s">
        <v>55</v>
      </c>
      <c r="H445" s="235">
        <v>9.2899999999999991</v>
      </c>
      <c r="I445" s="235">
        <v>3.86</v>
      </c>
      <c r="J445" s="215">
        <f t="shared" si="246"/>
        <v>35.859399999999994</v>
      </c>
      <c r="K445" s="216" t="s">
        <v>55</v>
      </c>
      <c r="L445" s="237">
        <v>1</v>
      </c>
      <c r="M445" s="579" t="s">
        <v>55</v>
      </c>
      <c r="N445" s="215" t="s">
        <v>55</v>
      </c>
      <c r="O445" s="220">
        <f t="shared" ref="O445" si="255">CEILING((J445*L445),10)</f>
        <v>40</v>
      </c>
      <c r="P445" s="356" t="s">
        <v>55</v>
      </c>
      <c r="Q445" s="356">
        <f t="shared" ref="Q445:Q446" si="256">O445/J445</f>
        <v>1.115467631917991</v>
      </c>
      <c r="R445" s="217" t="s">
        <v>55</v>
      </c>
      <c r="S445" s="608" t="s">
        <v>55</v>
      </c>
      <c r="T445" s="520" t="s">
        <v>315</v>
      </c>
    </row>
    <row r="446" spans="2:28" ht="21" customHeight="1" x14ac:dyDescent="0.25">
      <c r="B446" s="685">
        <v>13.61</v>
      </c>
      <c r="C446" s="523" t="s">
        <v>20</v>
      </c>
      <c r="D446" s="299" t="s">
        <v>55</v>
      </c>
      <c r="E446" s="299" t="s">
        <v>55</v>
      </c>
      <c r="F446" s="278" t="s">
        <v>55</v>
      </c>
      <c r="G446" s="278">
        <v>3</v>
      </c>
      <c r="H446" s="279">
        <v>9.68</v>
      </c>
      <c r="I446" s="279">
        <v>3.86</v>
      </c>
      <c r="J446" s="280">
        <f t="shared" ref="J446" si="257">H446*I446</f>
        <v>37.364799999999995</v>
      </c>
      <c r="K446" s="352" t="s">
        <v>558</v>
      </c>
      <c r="L446" s="333" t="s">
        <v>55</v>
      </c>
      <c r="M446" s="334" t="s">
        <v>55</v>
      </c>
      <c r="N446" s="280">
        <f t="shared" ref="N446" si="258">20*G446</f>
        <v>60</v>
      </c>
      <c r="O446" s="281">
        <f t="shared" ref="O446" si="259">20*G446</f>
        <v>60</v>
      </c>
      <c r="P446" s="356">
        <f t="shared" ref="P446" si="260">N446/J446</f>
        <v>1.6057894060720252</v>
      </c>
      <c r="Q446" s="356">
        <f t="shared" si="256"/>
        <v>1.6057894060720252</v>
      </c>
      <c r="R446" s="343" t="s">
        <v>55</v>
      </c>
      <c r="S446" s="634" t="s">
        <v>249</v>
      </c>
      <c r="T446" s="635" t="s">
        <v>315</v>
      </c>
      <c r="Z446" s="207">
        <v>4</v>
      </c>
    </row>
    <row r="447" spans="2:28" ht="17.25" customHeight="1" thickBot="1" x14ac:dyDescent="0.3">
      <c r="B447" s="698"/>
      <c r="C447" s="699"/>
      <c r="D447" s="526" t="s">
        <v>508</v>
      </c>
      <c r="E447" s="700"/>
      <c r="F447" s="701">
        <f>SUM(F408:F446)</f>
        <v>170</v>
      </c>
      <c r="G447" s="701">
        <f>SUM(G408:G446)</f>
        <v>54</v>
      </c>
      <c r="H447" s="702"/>
      <c r="I447" s="701"/>
      <c r="J447" s="703"/>
      <c r="K447" s="704"/>
      <c r="L447" s="704"/>
      <c r="M447" s="692" t="s">
        <v>557</v>
      </c>
      <c r="N447" s="705">
        <f>SUM(N408:N446)</f>
        <v>12850</v>
      </c>
      <c r="O447" s="706">
        <f>SUM(O408:O446)-Z447</f>
        <v>12850</v>
      </c>
      <c r="P447" s="336"/>
      <c r="Q447" s="707"/>
      <c r="R447" s="707"/>
      <c r="S447" s="597"/>
      <c r="T447" s="600"/>
      <c r="AA447" s="207">
        <v>12850</v>
      </c>
      <c r="AB447" s="251"/>
    </row>
    <row r="448" spans="2:28" ht="17.25" customHeight="1" thickBot="1" x14ac:dyDescent="0.3">
      <c r="B448" s="601" t="s">
        <v>722</v>
      </c>
      <c r="C448" s="602"/>
      <c r="D448" s="602"/>
      <c r="E448" s="602"/>
      <c r="F448" s="602"/>
      <c r="G448" s="602"/>
      <c r="H448" s="602"/>
      <c r="I448" s="602"/>
      <c r="J448" s="602"/>
      <c r="K448" s="602"/>
      <c r="L448" s="602"/>
      <c r="M448" s="602"/>
      <c r="N448" s="602"/>
      <c r="O448" s="602"/>
      <c r="P448" s="602"/>
      <c r="Q448" s="602"/>
      <c r="R448" s="602"/>
      <c r="S448" s="602"/>
      <c r="T448" s="603"/>
      <c r="AB448" s="251"/>
    </row>
    <row r="449" spans="2:28" ht="22.5" customHeight="1" x14ac:dyDescent="0.25">
      <c r="B449" s="604" t="s">
        <v>723</v>
      </c>
      <c r="C449" s="509" t="s">
        <v>20</v>
      </c>
      <c r="D449" s="284" t="s">
        <v>55</v>
      </c>
      <c r="E449" s="284" t="s">
        <v>55</v>
      </c>
      <c r="F449" s="209" t="s">
        <v>55</v>
      </c>
      <c r="G449" s="209">
        <v>13</v>
      </c>
      <c r="H449" s="285">
        <v>49.34</v>
      </c>
      <c r="I449" s="285">
        <v>3.86</v>
      </c>
      <c r="J449" s="210">
        <f>H449*I449</f>
        <v>190.45240000000001</v>
      </c>
      <c r="K449" s="358" t="s">
        <v>558</v>
      </c>
      <c r="L449" s="295" t="s">
        <v>55</v>
      </c>
      <c r="M449" s="312" t="s">
        <v>55</v>
      </c>
      <c r="N449" s="210">
        <f t="shared" ref="N449" si="261">20*G449</f>
        <v>260</v>
      </c>
      <c r="O449" s="287">
        <f t="shared" ref="O449" si="262">20*G449</f>
        <v>260</v>
      </c>
      <c r="P449" s="388">
        <f t="shared" ref="P449" si="263">N449/J449</f>
        <v>1.3651705097966735</v>
      </c>
      <c r="Q449" s="388">
        <f t="shared" ref="Q449:Q451" si="264">O449/J449</f>
        <v>1.3651705097966735</v>
      </c>
      <c r="R449" s="212"/>
      <c r="S449" s="708" t="s">
        <v>254</v>
      </c>
      <c r="T449" s="606" t="s">
        <v>317</v>
      </c>
      <c r="AA449" s="206">
        <v>16</v>
      </c>
      <c r="AB449" s="251" t="s">
        <v>773</v>
      </c>
    </row>
    <row r="450" spans="2:28" ht="22.5" customHeight="1" x14ac:dyDescent="0.25">
      <c r="B450" s="607" t="s">
        <v>724</v>
      </c>
      <c r="C450" s="518" t="s">
        <v>718</v>
      </c>
      <c r="D450" s="233" t="s">
        <v>55</v>
      </c>
      <c r="E450" s="233" t="s">
        <v>55</v>
      </c>
      <c r="F450" s="214" t="s">
        <v>55</v>
      </c>
      <c r="G450" s="214" t="s">
        <v>55</v>
      </c>
      <c r="H450" s="214">
        <v>28.26</v>
      </c>
      <c r="I450" s="235">
        <v>3.855</v>
      </c>
      <c r="J450" s="215">
        <f>H450*I450</f>
        <v>108.9423</v>
      </c>
      <c r="K450" s="313">
        <v>1</v>
      </c>
      <c r="L450" s="214">
        <v>1</v>
      </c>
      <c r="M450" s="214" t="s">
        <v>55</v>
      </c>
      <c r="N450" s="215">
        <f>CEILING((K450*J450),10)</f>
        <v>110</v>
      </c>
      <c r="O450" s="220">
        <f>CEILING((J450*L450),10)</f>
        <v>110</v>
      </c>
      <c r="P450" s="356">
        <f>N450/J450</f>
        <v>1.0097088091586097</v>
      </c>
      <c r="Q450" s="356">
        <f>O450/J450</f>
        <v>1.0097088091586097</v>
      </c>
      <c r="R450" s="217" t="s">
        <v>55</v>
      </c>
      <c r="S450" s="519" t="s">
        <v>254</v>
      </c>
      <c r="T450" s="709" t="s">
        <v>772</v>
      </c>
      <c r="Z450" s="219" t="s">
        <v>719</v>
      </c>
      <c r="AB450" s="251"/>
    </row>
    <row r="451" spans="2:28" ht="17.25" customHeight="1" x14ac:dyDescent="0.25">
      <c r="B451" s="710">
        <v>14.21</v>
      </c>
      <c r="C451" s="518" t="s">
        <v>720</v>
      </c>
      <c r="D451" s="233" t="s">
        <v>305</v>
      </c>
      <c r="E451" s="233" t="s">
        <v>55</v>
      </c>
      <c r="F451" s="233" t="s">
        <v>55</v>
      </c>
      <c r="G451" s="233" t="s">
        <v>55</v>
      </c>
      <c r="H451" s="234">
        <v>8.4499999999999993</v>
      </c>
      <c r="I451" s="235">
        <v>3.86</v>
      </c>
      <c r="J451" s="215">
        <f t="shared" ref="J451" si="265">H451*I451</f>
        <v>32.616999999999997</v>
      </c>
      <c r="K451" s="236" t="s">
        <v>55</v>
      </c>
      <c r="L451" s="237">
        <v>1</v>
      </c>
      <c r="M451" s="238" t="s">
        <v>55</v>
      </c>
      <c r="N451" s="217" t="s">
        <v>55</v>
      </c>
      <c r="O451" s="220">
        <f>CEILING((J451*L451),10)</f>
        <v>40</v>
      </c>
      <c r="P451" s="400" t="s">
        <v>55</v>
      </c>
      <c r="Q451" s="356">
        <f t="shared" si="264"/>
        <v>1.2263543550909035</v>
      </c>
      <c r="R451" s="217" t="s">
        <v>55</v>
      </c>
      <c r="S451" s="519"/>
      <c r="T451" s="709" t="s">
        <v>772</v>
      </c>
      <c r="Z451" s="239" t="s">
        <v>721</v>
      </c>
      <c r="AB451" s="251"/>
    </row>
    <row r="452" spans="2:28" ht="37.5" customHeight="1" x14ac:dyDescent="0.25">
      <c r="B452" s="710">
        <v>14.23</v>
      </c>
      <c r="C452" s="518" t="s">
        <v>586</v>
      </c>
      <c r="D452" s="233" t="s">
        <v>55</v>
      </c>
      <c r="E452" s="233" t="s">
        <v>55</v>
      </c>
      <c r="F452" s="214">
        <v>1</v>
      </c>
      <c r="G452" s="214">
        <v>4</v>
      </c>
      <c r="H452" s="593">
        <v>21.36</v>
      </c>
      <c r="I452" s="235">
        <v>3.86</v>
      </c>
      <c r="J452" s="215">
        <f t="shared" ref="J452" si="266">H452*I452</f>
        <v>82.44959999999999</v>
      </c>
      <c r="K452" s="216" t="s">
        <v>670</v>
      </c>
      <c r="L452" s="237" t="s">
        <v>55</v>
      </c>
      <c r="M452" s="579" t="s">
        <v>55</v>
      </c>
      <c r="N452" s="215">
        <f>60*F452+20*G452</f>
        <v>140</v>
      </c>
      <c r="O452" s="220">
        <f>60*F452+20*G452</f>
        <v>140</v>
      </c>
      <c r="P452" s="356">
        <f>N452/J452</f>
        <v>1.6980070248976347</v>
      </c>
      <c r="Q452" s="356">
        <f>O452/J452</f>
        <v>1.6980070248976347</v>
      </c>
      <c r="R452" s="218" t="s">
        <v>55</v>
      </c>
      <c r="S452" s="608" t="s">
        <v>254</v>
      </c>
      <c r="T452" s="711" t="s">
        <v>317</v>
      </c>
      <c r="AA452" s="206"/>
      <c r="AB452" s="251"/>
    </row>
    <row r="453" spans="2:28" ht="17.25" customHeight="1" x14ac:dyDescent="0.25">
      <c r="B453" s="710"/>
      <c r="C453" s="637" t="s">
        <v>725</v>
      </c>
      <c r="D453" s="237" t="s">
        <v>55</v>
      </c>
      <c r="E453" s="237" t="s">
        <v>55</v>
      </c>
      <c r="F453" s="237" t="s">
        <v>55</v>
      </c>
      <c r="G453" s="237" t="s">
        <v>55</v>
      </c>
      <c r="H453" s="237" t="s">
        <v>55</v>
      </c>
      <c r="I453" s="237" t="s">
        <v>55</v>
      </c>
      <c r="J453" s="237" t="s">
        <v>55</v>
      </c>
      <c r="K453" s="237" t="s">
        <v>55</v>
      </c>
      <c r="L453" s="237" t="s">
        <v>55</v>
      </c>
      <c r="M453" s="237" t="s">
        <v>55</v>
      </c>
      <c r="N453" s="237" t="s">
        <v>55</v>
      </c>
      <c r="O453" s="237" t="s">
        <v>55</v>
      </c>
      <c r="P453" s="405" t="s">
        <v>55</v>
      </c>
      <c r="Q453" s="405" t="s">
        <v>55</v>
      </c>
      <c r="R453" s="237" t="s">
        <v>55</v>
      </c>
      <c r="S453" s="237" t="s">
        <v>55</v>
      </c>
      <c r="T453" s="364" t="s">
        <v>55</v>
      </c>
      <c r="AB453" s="251"/>
    </row>
    <row r="454" spans="2:28" ht="17.25" customHeight="1" x14ac:dyDescent="0.25">
      <c r="B454" s="710"/>
      <c r="C454" s="637" t="s">
        <v>726</v>
      </c>
      <c r="D454" s="237" t="s">
        <v>55</v>
      </c>
      <c r="E454" s="237" t="s">
        <v>55</v>
      </c>
      <c r="F454" s="237" t="s">
        <v>55</v>
      </c>
      <c r="G454" s="237" t="s">
        <v>55</v>
      </c>
      <c r="H454" s="237" t="s">
        <v>55</v>
      </c>
      <c r="I454" s="237" t="s">
        <v>55</v>
      </c>
      <c r="J454" s="237" t="s">
        <v>55</v>
      </c>
      <c r="K454" s="237" t="s">
        <v>55</v>
      </c>
      <c r="L454" s="237" t="s">
        <v>55</v>
      </c>
      <c r="M454" s="237" t="s">
        <v>55</v>
      </c>
      <c r="N454" s="237" t="s">
        <v>55</v>
      </c>
      <c r="O454" s="237" t="s">
        <v>55</v>
      </c>
      <c r="P454" s="405" t="s">
        <v>55</v>
      </c>
      <c r="Q454" s="405" t="s">
        <v>55</v>
      </c>
      <c r="R454" s="237" t="s">
        <v>55</v>
      </c>
      <c r="S454" s="237" t="s">
        <v>55</v>
      </c>
      <c r="T454" s="364" t="s">
        <v>55</v>
      </c>
      <c r="AB454" s="251"/>
    </row>
    <row r="455" spans="2:28" ht="17.25" customHeight="1" x14ac:dyDescent="0.25">
      <c r="B455" s="710"/>
      <c r="C455" s="637" t="s">
        <v>727</v>
      </c>
      <c r="D455" s="237" t="s">
        <v>55</v>
      </c>
      <c r="E455" s="237" t="s">
        <v>55</v>
      </c>
      <c r="F455" s="237" t="s">
        <v>55</v>
      </c>
      <c r="G455" s="237" t="s">
        <v>55</v>
      </c>
      <c r="H455" s="237" t="s">
        <v>55</v>
      </c>
      <c r="I455" s="237" t="s">
        <v>55</v>
      </c>
      <c r="J455" s="237" t="s">
        <v>55</v>
      </c>
      <c r="K455" s="237" t="s">
        <v>55</v>
      </c>
      <c r="L455" s="237" t="s">
        <v>55</v>
      </c>
      <c r="M455" s="237" t="s">
        <v>55</v>
      </c>
      <c r="N455" s="237" t="s">
        <v>55</v>
      </c>
      <c r="O455" s="237" t="s">
        <v>55</v>
      </c>
      <c r="P455" s="405" t="s">
        <v>55</v>
      </c>
      <c r="Q455" s="405" t="s">
        <v>55</v>
      </c>
      <c r="R455" s="237" t="s">
        <v>55</v>
      </c>
      <c r="S455" s="237" t="s">
        <v>55</v>
      </c>
      <c r="T455" s="364" t="s">
        <v>55</v>
      </c>
      <c r="AB455" s="251"/>
    </row>
    <row r="456" spans="2:28" ht="38.25" customHeight="1" x14ac:dyDescent="0.25">
      <c r="B456" s="710">
        <v>14.24</v>
      </c>
      <c r="C456" s="518" t="s">
        <v>586</v>
      </c>
      <c r="D456" s="586" t="s">
        <v>55</v>
      </c>
      <c r="E456" s="695" t="s">
        <v>55</v>
      </c>
      <c r="F456" s="214">
        <v>1</v>
      </c>
      <c r="G456" s="214">
        <v>4</v>
      </c>
      <c r="H456" s="593">
        <v>29.53</v>
      </c>
      <c r="I456" s="235">
        <v>3.86</v>
      </c>
      <c r="J456" s="215">
        <f t="shared" ref="J456" si="267">H456*I456</f>
        <v>113.9858</v>
      </c>
      <c r="K456" s="216" t="s">
        <v>670</v>
      </c>
      <c r="L456" s="237" t="s">
        <v>55</v>
      </c>
      <c r="M456" s="579" t="s">
        <v>55</v>
      </c>
      <c r="N456" s="215">
        <f>60*F456+20*G456</f>
        <v>140</v>
      </c>
      <c r="O456" s="220">
        <f>60*F456+20*G456</f>
        <v>140</v>
      </c>
      <c r="P456" s="356">
        <f>N456/J456</f>
        <v>1.2282231646398061</v>
      </c>
      <c r="Q456" s="356">
        <f>O456/J456</f>
        <v>1.2282231646398061</v>
      </c>
      <c r="R456" s="218" t="s">
        <v>55</v>
      </c>
      <c r="S456" s="608" t="s">
        <v>254</v>
      </c>
      <c r="T456" s="520" t="s">
        <v>317</v>
      </c>
      <c r="AA456" s="206"/>
      <c r="AB456" s="251"/>
    </row>
    <row r="457" spans="2:28" ht="20.25" customHeight="1" x14ac:dyDescent="0.25">
      <c r="B457" s="710"/>
      <c r="C457" s="518" t="s">
        <v>826</v>
      </c>
      <c r="D457" s="237" t="s">
        <v>55</v>
      </c>
      <c r="E457" s="237" t="s">
        <v>55</v>
      </c>
      <c r="F457" s="237" t="s">
        <v>55</v>
      </c>
      <c r="G457" s="237" t="s">
        <v>55</v>
      </c>
      <c r="H457" s="237" t="s">
        <v>55</v>
      </c>
      <c r="I457" s="237" t="s">
        <v>55</v>
      </c>
      <c r="J457" s="237" t="s">
        <v>55</v>
      </c>
      <c r="K457" s="237" t="s">
        <v>55</v>
      </c>
      <c r="L457" s="237" t="s">
        <v>55</v>
      </c>
      <c r="M457" s="237" t="s">
        <v>55</v>
      </c>
      <c r="N457" s="237" t="s">
        <v>55</v>
      </c>
      <c r="O457" s="237" t="s">
        <v>55</v>
      </c>
      <c r="P457" s="405" t="s">
        <v>55</v>
      </c>
      <c r="Q457" s="405" t="s">
        <v>55</v>
      </c>
      <c r="R457" s="237" t="s">
        <v>55</v>
      </c>
      <c r="S457" s="237" t="s">
        <v>55</v>
      </c>
      <c r="T457" s="364" t="s">
        <v>55</v>
      </c>
      <c r="AB457" s="251"/>
    </row>
    <row r="458" spans="2:28" ht="17.25" customHeight="1" x14ac:dyDescent="0.25">
      <c r="B458" s="710"/>
      <c r="C458" s="518" t="s">
        <v>827</v>
      </c>
      <c r="D458" s="237" t="s">
        <v>55</v>
      </c>
      <c r="E458" s="237" t="s">
        <v>55</v>
      </c>
      <c r="F458" s="237" t="s">
        <v>55</v>
      </c>
      <c r="G458" s="237" t="s">
        <v>55</v>
      </c>
      <c r="H458" s="237" t="s">
        <v>55</v>
      </c>
      <c r="I458" s="237" t="s">
        <v>55</v>
      </c>
      <c r="J458" s="237" t="s">
        <v>55</v>
      </c>
      <c r="K458" s="237" t="s">
        <v>55</v>
      </c>
      <c r="L458" s="237" t="s">
        <v>55</v>
      </c>
      <c r="M458" s="237" t="s">
        <v>55</v>
      </c>
      <c r="N458" s="237" t="s">
        <v>55</v>
      </c>
      <c r="O458" s="237" t="s">
        <v>55</v>
      </c>
      <c r="P458" s="405" t="s">
        <v>55</v>
      </c>
      <c r="Q458" s="405" t="s">
        <v>55</v>
      </c>
      <c r="R458" s="237" t="s">
        <v>55</v>
      </c>
      <c r="S458" s="237" t="s">
        <v>55</v>
      </c>
      <c r="T458" s="364" t="s">
        <v>55</v>
      </c>
      <c r="AB458" s="251"/>
    </row>
    <row r="459" spans="2:28" ht="27.75" customHeight="1" x14ac:dyDescent="0.25">
      <c r="B459" s="712">
        <v>14.25</v>
      </c>
      <c r="C459" s="518" t="s">
        <v>728</v>
      </c>
      <c r="D459" s="233" t="s">
        <v>55</v>
      </c>
      <c r="E459" s="233" t="s">
        <v>55</v>
      </c>
      <c r="F459" s="713">
        <f>45-6</f>
        <v>39</v>
      </c>
      <c r="G459" s="713" t="s">
        <v>55</v>
      </c>
      <c r="H459" s="662">
        <v>290.39</v>
      </c>
      <c r="I459" s="235">
        <v>3.86</v>
      </c>
      <c r="J459" s="215">
        <f t="shared" ref="J459:J462" si="268">H459*I459</f>
        <v>1120.9053999999999</v>
      </c>
      <c r="K459" s="216" t="s">
        <v>729</v>
      </c>
      <c r="L459" s="237" t="s">
        <v>55</v>
      </c>
      <c r="M459" s="579" t="s">
        <v>55</v>
      </c>
      <c r="N459" s="215">
        <f>60*F459+O460+O461+O462</f>
        <v>2450</v>
      </c>
      <c r="O459" s="220">
        <f>60*F459</f>
        <v>2340</v>
      </c>
      <c r="P459" s="356">
        <f>N459/J459</f>
        <v>2.1857330689994003</v>
      </c>
      <c r="Q459" s="356">
        <f>O459/J459</f>
        <v>2.0875981148810596</v>
      </c>
      <c r="R459" s="218" t="s">
        <v>55</v>
      </c>
      <c r="S459" s="608" t="s">
        <v>254</v>
      </c>
      <c r="T459" s="520" t="s">
        <v>317</v>
      </c>
      <c r="Z459" s="207">
        <v>6</v>
      </c>
      <c r="AA459" s="315">
        <v>8</v>
      </c>
      <c r="AB459" s="251"/>
    </row>
    <row r="460" spans="2:28" ht="17.25" customHeight="1" x14ac:dyDescent="0.25">
      <c r="B460" s="710">
        <v>14.26</v>
      </c>
      <c r="C460" s="518" t="s">
        <v>553</v>
      </c>
      <c r="D460" s="233" t="s">
        <v>55</v>
      </c>
      <c r="E460" s="233" t="s">
        <v>55</v>
      </c>
      <c r="F460" s="214" t="s">
        <v>55</v>
      </c>
      <c r="G460" s="214" t="s">
        <v>55</v>
      </c>
      <c r="H460" s="235">
        <v>7.86</v>
      </c>
      <c r="I460" s="235">
        <v>3.86</v>
      </c>
      <c r="J460" s="215">
        <f t="shared" si="268"/>
        <v>30.339600000000001</v>
      </c>
      <c r="K460" s="714" t="s">
        <v>55</v>
      </c>
      <c r="L460" s="586">
        <v>1</v>
      </c>
      <c r="M460" s="650" t="s">
        <v>55</v>
      </c>
      <c r="N460" s="653" t="s">
        <v>55</v>
      </c>
      <c r="O460" s="220">
        <f>CEILING((J460*L460),10)</f>
        <v>40</v>
      </c>
      <c r="P460" s="400" t="s">
        <v>55</v>
      </c>
      <c r="Q460" s="356">
        <f t="shared" ref="Q460:Q463" si="269">O460/J460</f>
        <v>1.3184089440862767</v>
      </c>
      <c r="R460" s="217" t="s">
        <v>55</v>
      </c>
      <c r="S460" s="519"/>
      <c r="T460" s="520" t="s">
        <v>317</v>
      </c>
      <c r="AA460" s="206"/>
      <c r="AB460" s="251"/>
    </row>
    <row r="461" spans="2:28" ht="17.25" customHeight="1" x14ac:dyDescent="0.25">
      <c r="B461" s="627">
        <v>14.27</v>
      </c>
      <c r="C461" s="518" t="s">
        <v>551</v>
      </c>
      <c r="D461" s="233" t="s">
        <v>55</v>
      </c>
      <c r="E461" s="233" t="s">
        <v>55</v>
      </c>
      <c r="F461" s="214" t="s">
        <v>55</v>
      </c>
      <c r="G461" s="214" t="s">
        <v>55</v>
      </c>
      <c r="H461" s="648">
        <v>4.7300000000000004</v>
      </c>
      <c r="I461" s="235">
        <v>3.86</v>
      </c>
      <c r="J461" s="215">
        <f t="shared" si="268"/>
        <v>18.2578</v>
      </c>
      <c r="K461" s="313" t="s">
        <v>55</v>
      </c>
      <c r="L461" s="237">
        <v>1</v>
      </c>
      <c r="M461" s="650" t="s">
        <v>55</v>
      </c>
      <c r="N461" s="215" t="s">
        <v>55</v>
      </c>
      <c r="O461" s="220">
        <f t="shared" ref="O461:O462" si="270">CEILING((J461*L461),10)</f>
        <v>20</v>
      </c>
      <c r="P461" s="356" t="s">
        <v>55</v>
      </c>
      <c r="Q461" s="356">
        <f t="shared" si="269"/>
        <v>1.0954222304987458</v>
      </c>
      <c r="R461" s="217" t="s">
        <v>55</v>
      </c>
      <c r="S461" s="608" t="s">
        <v>55</v>
      </c>
      <c r="T461" s="520" t="s">
        <v>317</v>
      </c>
      <c r="AA461" s="206"/>
      <c r="AB461" s="251"/>
    </row>
    <row r="462" spans="2:28" ht="17.25" customHeight="1" x14ac:dyDescent="0.25">
      <c r="B462" s="627">
        <v>14.28</v>
      </c>
      <c r="C462" s="518" t="s">
        <v>54</v>
      </c>
      <c r="D462" s="233" t="s">
        <v>303</v>
      </c>
      <c r="E462" s="233" t="s">
        <v>55</v>
      </c>
      <c r="F462" s="214" t="s">
        <v>55</v>
      </c>
      <c r="G462" s="214" t="s">
        <v>55</v>
      </c>
      <c r="H462" s="235">
        <v>11.85</v>
      </c>
      <c r="I462" s="235">
        <v>3.86</v>
      </c>
      <c r="J462" s="215">
        <f t="shared" si="268"/>
        <v>45.741</v>
      </c>
      <c r="K462" s="313" t="s">
        <v>55</v>
      </c>
      <c r="L462" s="237">
        <v>1</v>
      </c>
      <c r="M462" s="579" t="s">
        <v>55</v>
      </c>
      <c r="N462" s="215" t="s">
        <v>55</v>
      </c>
      <c r="O462" s="220">
        <f t="shared" si="270"/>
        <v>50</v>
      </c>
      <c r="P462" s="356" t="s">
        <v>55</v>
      </c>
      <c r="Q462" s="356">
        <f t="shared" si="269"/>
        <v>1.0931112131348244</v>
      </c>
      <c r="R462" s="217" t="s">
        <v>55</v>
      </c>
      <c r="S462" s="608" t="s">
        <v>55</v>
      </c>
      <c r="T462" s="520" t="s">
        <v>317</v>
      </c>
      <c r="AA462" s="206"/>
      <c r="AB462" s="251"/>
    </row>
    <row r="463" spans="2:28" ht="21.75" customHeight="1" x14ac:dyDescent="0.25">
      <c r="B463" s="679" t="s">
        <v>730</v>
      </c>
      <c r="C463" s="515" t="s">
        <v>20</v>
      </c>
      <c r="D463" s="223" t="s">
        <v>55</v>
      </c>
      <c r="E463" s="223" t="s">
        <v>55</v>
      </c>
      <c r="F463" s="224" t="s">
        <v>55</v>
      </c>
      <c r="G463" s="224">
        <v>6</v>
      </c>
      <c r="H463" s="225">
        <v>20.57</v>
      </c>
      <c r="I463" s="225">
        <v>3.86</v>
      </c>
      <c r="J463" s="226">
        <f>H463*I463</f>
        <v>79.400199999999998</v>
      </c>
      <c r="K463" s="216" t="s">
        <v>558</v>
      </c>
      <c r="L463" s="317" t="s">
        <v>55</v>
      </c>
      <c r="M463" s="228" t="s">
        <v>55</v>
      </c>
      <c r="N463" s="226">
        <f t="shared" ref="N463" si="271">20*G463</f>
        <v>120</v>
      </c>
      <c r="O463" s="241">
        <f t="shared" ref="O463" si="272">20*G463</f>
        <v>120</v>
      </c>
      <c r="P463" s="406">
        <f t="shared" ref="P463" si="273">N463/J463</f>
        <v>1.5113312057148471</v>
      </c>
      <c r="Q463" s="406">
        <f t="shared" si="269"/>
        <v>1.5113312057148471</v>
      </c>
      <c r="R463" s="240"/>
      <c r="S463" s="715" t="s">
        <v>254</v>
      </c>
      <c r="T463" s="711" t="s">
        <v>317</v>
      </c>
      <c r="AA463" s="206">
        <v>8</v>
      </c>
      <c r="AB463" s="251" t="s">
        <v>773</v>
      </c>
    </row>
    <row r="464" spans="2:28" ht="27" customHeight="1" x14ac:dyDescent="0.25">
      <c r="B464" s="679" t="s">
        <v>731</v>
      </c>
      <c r="C464" s="637" t="s">
        <v>136</v>
      </c>
      <c r="D464" s="223" t="s">
        <v>55</v>
      </c>
      <c r="E464" s="223" t="s">
        <v>55</v>
      </c>
      <c r="F464" s="224">
        <v>3</v>
      </c>
      <c r="G464" s="713" t="s">
        <v>55</v>
      </c>
      <c r="H464" s="225">
        <v>21.32</v>
      </c>
      <c r="I464" s="225">
        <v>3.86</v>
      </c>
      <c r="J464" s="226">
        <f>H464*I464</f>
        <v>82.295199999999994</v>
      </c>
      <c r="K464" s="216" t="s">
        <v>729</v>
      </c>
      <c r="L464" s="237" t="s">
        <v>55</v>
      </c>
      <c r="M464" s="579" t="s">
        <v>55</v>
      </c>
      <c r="N464" s="215">
        <f>60*F464</f>
        <v>180</v>
      </c>
      <c r="O464" s="220">
        <f>60*F464</f>
        <v>180</v>
      </c>
      <c r="P464" s="356">
        <f>N464/J464</f>
        <v>2.1872478589273738</v>
      </c>
      <c r="Q464" s="356">
        <f>O464/J464</f>
        <v>2.1872478589273738</v>
      </c>
      <c r="R464" s="218" t="s">
        <v>55</v>
      </c>
      <c r="S464" s="608" t="s">
        <v>254</v>
      </c>
      <c r="T464" s="520" t="s">
        <v>317</v>
      </c>
      <c r="AA464" s="206">
        <v>1</v>
      </c>
      <c r="AB464" s="251"/>
    </row>
    <row r="465" spans="2:28" ht="17.25" customHeight="1" x14ac:dyDescent="0.25">
      <c r="B465" s="710">
        <v>14.31</v>
      </c>
      <c r="C465" s="518" t="s">
        <v>549</v>
      </c>
      <c r="D465" s="233" t="s">
        <v>560</v>
      </c>
      <c r="E465" s="233" t="s">
        <v>55</v>
      </c>
      <c r="F465" s="214" t="s">
        <v>55</v>
      </c>
      <c r="G465" s="214" t="s">
        <v>55</v>
      </c>
      <c r="H465" s="235">
        <v>11.59</v>
      </c>
      <c r="I465" s="235">
        <v>3.86</v>
      </c>
      <c r="J465" s="215">
        <f t="shared" ref="J465:J468" si="274">H465*I465</f>
        <v>44.737400000000001</v>
      </c>
      <c r="K465" s="714" t="s">
        <v>55</v>
      </c>
      <c r="L465" s="586">
        <v>1</v>
      </c>
      <c r="M465" s="650" t="s">
        <v>55</v>
      </c>
      <c r="N465" s="653" t="s">
        <v>55</v>
      </c>
      <c r="O465" s="220">
        <f>CEILING((J465*L465),10)</f>
        <v>50</v>
      </c>
      <c r="P465" s="400" t="s">
        <v>55</v>
      </c>
      <c r="Q465" s="356">
        <f t="shared" ref="Q465:Q466" si="275">O465/J465</f>
        <v>1.1176331212810757</v>
      </c>
      <c r="R465" s="217" t="s">
        <v>55</v>
      </c>
      <c r="S465" s="519" t="s">
        <v>55</v>
      </c>
      <c r="T465" s="520" t="s">
        <v>317</v>
      </c>
      <c r="AA465" s="206"/>
      <c r="AB465" s="251"/>
    </row>
    <row r="466" spans="2:28" ht="17.25" customHeight="1" x14ac:dyDescent="0.25">
      <c r="B466" s="679">
        <v>14.32</v>
      </c>
      <c r="C466" s="518" t="s">
        <v>551</v>
      </c>
      <c r="D466" s="233" t="s">
        <v>55</v>
      </c>
      <c r="E466" s="233" t="s">
        <v>55</v>
      </c>
      <c r="F466" s="214" t="s">
        <v>55</v>
      </c>
      <c r="G466" s="214" t="s">
        <v>55</v>
      </c>
      <c r="H466" s="648">
        <v>8.5399999999999991</v>
      </c>
      <c r="I466" s="235">
        <v>3.86</v>
      </c>
      <c r="J466" s="215">
        <f t="shared" si="274"/>
        <v>32.964399999999998</v>
      </c>
      <c r="K466" s="313" t="s">
        <v>55</v>
      </c>
      <c r="L466" s="237">
        <v>1</v>
      </c>
      <c r="M466" s="650" t="s">
        <v>55</v>
      </c>
      <c r="N466" s="215" t="s">
        <v>55</v>
      </c>
      <c r="O466" s="220">
        <f>CEILING((J466*L466),10)</f>
        <v>40</v>
      </c>
      <c r="P466" s="356" t="s">
        <v>55</v>
      </c>
      <c r="Q466" s="356">
        <f t="shared" si="275"/>
        <v>1.213430245962311</v>
      </c>
      <c r="R466" s="217" t="s">
        <v>55</v>
      </c>
      <c r="S466" s="608" t="s">
        <v>55</v>
      </c>
      <c r="T466" s="520" t="s">
        <v>317</v>
      </c>
      <c r="AA466" s="206"/>
      <c r="AB466" s="251"/>
    </row>
    <row r="467" spans="2:28" ht="30" customHeight="1" x14ac:dyDescent="0.25">
      <c r="B467" s="712">
        <v>14.33</v>
      </c>
      <c r="C467" s="637" t="s">
        <v>728</v>
      </c>
      <c r="D467" s="233" t="s">
        <v>55</v>
      </c>
      <c r="E467" s="233" t="s">
        <v>55</v>
      </c>
      <c r="F467" s="713">
        <f>40-4</f>
        <v>36</v>
      </c>
      <c r="G467" s="713" t="s">
        <v>55</v>
      </c>
      <c r="H467" s="662">
        <v>290.39</v>
      </c>
      <c r="I467" s="235">
        <v>3.86</v>
      </c>
      <c r="J467" s="215">
        <f t="shared" si="274"/>
        <v>1120.9053999999999</v>
      </c>
      <c r="K467" s="216" t="s">
        <v>729</v>
      </c>
      <c r="L467" s="237" t="s">
        <v>55</v>
      </c>
      <c r="M467" s="579" t="s">
        <v>55</v>
      </c>
      <c r="N467" s="215">
        <f>60*F467+O465+O466+O473</f>
        <v>2290</v>
      </c>
      <c r="O467" s="220">
        <f>60*F467</f>
        <v>2160</v>
      </c>
      <c r="P467" s="356">
        <f>N467/J467</f>
        <v>2.0429913175545416</v>
      </c>
      <c r="Q467" s="356">
        <f>O467/J467</f>
        <v>1.9270136445055936</v>
      </c>
      <c r="R467" s="218" t="s">
        <v>55</v>
      </c>
      <c r="S467" s="608" t="s">
        <v>254</v>
      </c>
      <c r="T467" s="520" t="s">
        <v>317</v>
      </c>
      <c r="Z467" s="207">
        <v>4</v>
      </c>
      <c r="AA467" s="315">
        <v>6</v>
      </c>
      <c r="AB467" s="251"/>
    </row>
    <row r="468" spans="2:28" ht="27" customHeight="1" x14ac:dyDescent="0.25">
      <c r="B468" s="712">
        <v>14.34</v>
      </c>
      <c r="C468" s="637" t="s">
        <v>732</v>
      </c>
      <c r="D468" s="586" t="s">
        <v>55</v>
      </c>
      <c r="E468" s="695" t="s">
        <v>55</v>
      </c>
      <c r="F468" s="214">
        <v>1</v>
      </c>
      <c r="G468" s="214">
        <v>4</v>
      </c>
      <c r="H468" s="593">
        <v>29.53</v>
      </c>
      <c r="I468" s="235">
        <v>3.86</v>
      </c>
      <c r="J468" s="215">
        <f t="shared" si="274"/>
        <v>113.9858</v>
      </c>
      <c r="K468" s="216" t="s">
        <v>729</v>
      </c>
      <c r="L468" s="237" t="s">
        <v>55</v>
      </c>
      <c r="M468" s="579" t="s">
        <v>55</v>
      </c>
      <c r="N468" s="215">
        <f>60*F468+20*G468</f>
        <v>140</v>
      </c>
      <c r="O468" s="220">
        <f>60*F468+20*G468</f>
        <v>140</v>
      </c>
      <c r="P468" s="356">
        <f>N468/J468</f>
        <v>1.2282231646398061</v>
      </c>
      <c r="Q468" s="356">
        <f>O468/J468</f>
        <v>1.2282231646398061</v>
      </c>
      <c r="R468" s="218" t="s">
        <v>55</v>
      </c>
      <c r="S468" s="608" t="s">
        <v>254</v>
      </c>
      <c r="T468" s="520" t="s">
        <v>317</v>
      </c>
      <c r="AA468" s="206"/>
      <c r="AB468" s="251"/>
    </row>
    <row r="469" spans="2:28" ht="17.25" customHeight="1" x14ac:dyDescent="0.25">
      <c r="B469" s="647" t="s">
        <v>55</v>
      </c>
      <c r="C469" s="637" t="s">
        <v>733</v>
      </c>
      <c r="D469" s="586" t="s">
        <v>55</v>
      </c>
      <c r="E469" s="586" t="s">
        <v>55</v>
      </c>
      <c r="F469" s="713" t="s">
        <v>55</v>
      </c>
      <c r="G469" s="713" t="s">
        <v>55</v>
      </c>
      <c r="H469" s="662" t="s">
        <v>55</v>
      </c>
      <c r="I469" s="713" t="s">
        <v>55</v>
      </c>
      <c r="J469" s="713" t="s">
        <v>55</v>
      </c>
      <c r="K469" s="714" t="s">
        <v>55</v>
      </c>
      <c r="L469" s="586" t="s">
        <v>55</v>
      </c>
      <c r="M469" s="650" t="s">
        <v>55</v>
      </c>
      <c r="N469" s="653" t="s">
        <v>55</v>
      </c>
      <c r="O469" s="656" t="s">
        <v>55</v>
      </c>
      <c r="P469" s="716" t="s">
        <v>55</v>
      </c>
      <c r="Q469" s="716" t="s">
        <v>55</v>
      </c>
      <c r="R469" s="590" t="s">
        <v>55</v>
      </c>
      <c r="S469" s="586" t="s">
        <v>55</v>
      </c>
      <c r="T469" s="717" t="s">
        <v>55</v>
      </c>
      <c r="AA469" s="206"/>
      <c r="AB469" s="251"/>
    </row>
    <row r="470" spans="2:28" ht="39.75" customHeight="1" x14ac:dyDescent="0.25">
      <c r="B470" s="679" t="s">
        <v>734</v>
      </c>
      <c r="C470" s="637" t="s">
        <v>136</v>
      </c>
      <c r="D470" s="223" t="s">
        <v>55</v>
      </c>
      <c r="E470" s="233" t="s">
        <v>55</v>
      </c>
      <c r="F470" s="224">
        <v>1</v>
      </c>
      <c r="G470" s="713">
        <v>1</v>
      </c>
      <c r="H470" s="225">
        <v>21.32</v>
      </c>
      <c r="I470" s="225">
        <v>3.86</v>
      </c>
      <c r="J470" s="226">
        <f>H470*I470</f>
        <v>82.295199999999994</v>
      </c>
      <c r="K470" s="216" t="s">
        <v>670</v>
      </c>
      <c r="L470" s="237" t="s">
        <v>55</v>
      </c>
      <c r="M470" s="579" t="s">
        <v>55</v>
      </c>
      <c r="N470" s="215">
        <f>60*F470+20*G470</f>
        <v>80</v>
      </c>
      <c r="O470" s="220">
        <f>60*F470+20*G470</f>
        <v>80</v>
      </c>
      <c r="P470" s="356">
        <f>N470/J470</f>
        <v>0.97211015952327728</v>
      </c>
      <c r="Q470" s="356">
        <f>O470/J470</f>
        <v>0.97211015952327728</v>
      </c>
      <c r="R470" s="218" t="s">
        <v>55</v>
      </c>
      <c r="S470" s="608" t="s">
        <v>254</v>
      </c>
      <c r="T470" s="520" t="s">
        <v>317</v>
      </c>
      <c r="AA470" s="206"/>
      <c r="AB470" s="251"/>
    </row>
    <row r="471" spans="2:28" ht="35.25" customHeight="1" x14ac:dyDescent="0.25">
      <c r="B471" s="679" t="s">
        <v>735</v>
      </c>
      <c r="C471" s="637" t="s">
        <v>736</v>
      </c>
      <c r="D471" s="223" t="s">
        <v>55</v>
      </c>
      <c r="E471" s="223" t="s">
        <v>55</v>
      </c>
      <c r="F471" s="224">
        <v>1</v>
      </c>
      <c r="G471" s="713">
        <v>2</v>
      </c>
      <c r="H471" s="225">
        <v>13</v>
      </c>
      <c r="I471" s="225">
        <v>3.86</v>
      </c>
      <c r="J471" s="226">
        <f>H471*I471</f>
        <v>50.18</v>
      </c>
      <c r="K471" s="216" t="s">
        <v>670</v>
      </c>
      <c r="L471" s="237" t="s">
        <v>55</v>
      </c>
      <c r="M471" s="579" t="s">
        <v>55</v>
      </c>
      <c r="N471" s="215">
        <f>60*F471+20*G471</f>
        <v>100</v>
      </c>
      <c r="O471" s="220">
        <f>60*F471+20*G471</f>
        <v>100</v>
      </c>
      <c r="P471" s="356">
        <f>N471/J471</f>
        <v>1.9928258270227182</v>
      </c>
      <c r="Q471" s="356">
        <f>O471/J471</f>
        <v>1.9928258270227182</v>
      </c>
      <c r="R471" s="218" t="s">
        <v>55</v>
      </c>
      <c r="S471" s="608" t="s">
        <v>254</v>
      </c>
      <c r="T471" s="520" t="s">
        <v>317</v>
      </c>
      <c r="AA471" s="206"/>
      <c r="AB471" s="251"/>
    </row>
    <row r="472" spans="2:28" ht="27" customHeight="1" x14ac:dyDescent="0.25">
      <c r="B472" s="679" t="s">
        <v>737</v>
      </c>
      <c r="C472" s="515" t="s">
        <v>20</v>
      </c>
      <c r="D472" s="223" t="s">
        <v>55</v>
      </c>
      <c r="E472" s="223" t="s">
        <v>55</v>
      </c>
      <c r="F472" s="224" t="s">
        <v>55</v>
      </c>
      <c r="G472" s="224">
        <v>3</v>
      </c>
      <c r="H472" s="225">
        <v>20.57</v>
      </c>
      <c r="I472" s="225">
        <v>3.86</v>
      </c>
      <c r="J472" s="226">
        <f>H472*I472</f>
        <v>79.400199999999998</v>
      </c>
      <c r="K472" s="216" t="s">
        <v>558</v>
      </c>
      <c r="L472" s="317" t="s">
        <v>55</v>
      </c>
      <c r="M472" s="228" t="s">
        <v>55</v>
      </c>
      <c r="N472" s="226">
        <f t="shared" ref="N472" si="276">20*G472</f>
        <v>60</v>
      </c>
      <c r="O472" s="241">
        <f t="shared" ref="O472" si="277">20*G472</f>
        <v>60</v>
      </c>
      <c r="P472" s="406">
        <f t="shared" ref="P472" si="278">N472/J472</f>
        <v>0.75566560285742357</v>
      </c>
      <c r="Q472" s="406">
        <f t="shared" ref="Q472:Q473" si="279">O472/J472</f>
        <v>0.75566560285742357</v>
      </c>
      <c r="R472" s="240"/>
      <c r="S472" s="715" t="s">
        <v>254</v>
      </c>
      <c r="T472" s="711" t="s">
        <v>317</v>
      </c>
      <c r="AA472" s="206">
        <v>5</v>
      </c>
      <c r="AB472" s="318" t="s">
        <v>773</v>
      </c>
    </row>
    <row r="473" spans="2:28" ht="17.25" customHeight="1" x14ac:dyDescent="0.25">
      <c r="B473" s="627">
        <v>14.38</v>
      </c>
      <c r="C473" s="518" t="s">
        <v>54</v>
      </c>
      <c r="D473" s="233" t="s">
        <v>303</v>
      </c>
      <c r="E473" s="233" t="s">
        <v>55</v>
      </c>
      <c r="F473" s="214" t="s">
        <v>55</v>
      </c>
      <c r="G473" s="214" t="s">
        <v>55</v>
      </c>
      <c r="H473" s="235">
        <v>9.08</v>
      </c>
      <c r="I473" s="235">
        <v>3.86</v>
      </c>
      <c r="J473" s="215">
        <f t="shared" ref="J473" si="280">H473*I473</f>
        <v>35.0488</v>
      </c>
      <c r="K473" s="313" t="s">
        <v>55</v>
      </c>
      <c r="L473" s="237">
        <v>1</v>
      </c>
      <c r="M473" s="579" t="s">
        <v>55</v>
      </c>
      <c r="N473" s="215" t="s">
        <v>55</v>
      </c>
      <c r="O473" s="220">
        <f t="shared" ref="O473" si="281">CEILING((J473*L473),10)</f>
        <v>40</v>
      </c>
      <c r="P473" s="356" t="s">
        <v>55</v>
      </c>
      <c r="Q473" s="356">
        <f t="shared" si="279"/>
        <v>1.1412658921275478</v>
      </c>
      <c r="R473" s="217" t="s">
        <v>55</v>
      </c>
      <c r="S473" s="608" t="s">
        <v>55</v>
      </c>
      <c r="T473" s="520" t="s">
        <v>317</v>
      </c>
      <c r="AB473" s="251"/>
    </row>
    <row r="474" spans="2:28" ht="33" customHeight="1" x14ac:dyDescent="0.25">
      <c r="B474" s="679" t="s">
        <v>738</v>
      </c>
      <c r="C474" s="637" t="s">
        <v>586</v>
      </c>
      <c r="D474" s="223" t="s">
        <v>55</v>
      </c>
      <c r="E474" s="586" t="s">
        <v>55</v>
      </c>
      <c r="F474" s="224">
        <v>1</v>
      </c>
      <c r="G474" s="713">
        <v>2</v>
      </c>
      <c r="H474" s="225">
        <v>13.83</v>
      </c>
      <c r="I474" s="225">
        <v>3.86</v>
      </c>
      <c r="J474" s="226">
        <f>H474*I474</f>
        <v>53.383800000000001</v>
      </c>
      <c r="K474" s="216" t="s">
        <v>670</v>
      </c>
      <c r="L474" s="237" t="s">
        <v>55</v>
      </c>
      <c r="M474" s="579" t="s">
        <v>55</v>
      </c>
      <c r="N474" s="215">
        <f>60*F474+20*G474</f>
        <v>100</v>
      </c>
      <c r="O474" s="220">
        <f>60*F474+20*G474</f>
        <v>100</v>
      </c>
      <c r="P474" s="356">
        <f>N474/J474</f>
        <v>1.8732274585173778</v>
      </c>
      <c r="Q474" s="356">
        <f>O474/J474</f>
        <v>1.8732274585173778</v>
      </c>
      <c r="R474" s="218" t="s">
        <v>55</v>
      </c>
      <c r="S474" s="608" t="s">
        <v>254</v>
      </c>
      <c r="T474" s="520" t="s">
        <v>317</v>
      </c>
      <c r="AA474" s="206"/>
      <c r="AB474" s="251"/>
    </row>
    <row r="475" spans="2:28" ht="17.25" customHeight="1" x14ac:dyDescent="0.25">
      <c r="B475" s="679" t="s">
        <v>55</v>
      </c>
      <c r="C475" s="637" t="s">
        <v>739</v>
      </c>
      <c r="D475" s="586" t="s">
        <v>55</v>
      </c>
      <c r="E475" s="223" t="s">
        <v>55</v>
      </c>
      <c r="F475" s="713" t="s">
        <v>55</v>
      </c>
      <c r="G475" s="713" t="s">
        <v>55</v>
      </c>
      <c r="H475" s="662" t="s">
        <v>55</v>
      </c>
      <c r="I475" s="713" t="s">
        <v>55</v>
      </c>
      <c r="J475" s="713" t="s">
        <v>55</v>
      </c>
      <c r="K475" s="216" t="s">
        <v>55</v>
      </c>
      <c r="L475" s="586" t="s">
        <v>55</v>
      </c>
      <c r="M475" s="650" t="s">
        <v>55</v>
      </c>
      <c r="N475" s="653" t="s">
        <v>55</v>
      </c>
      <c r="O475" s="656" t="s">
        <v>55</v>
      </c>
      <c r="P475" s="716" t="s">
        <v>55</v>
      </c>
      <c r="Q475" s="716" t="s">
        <v>55</v>
      </c>
      <c r="R475" s="590" t="s">
        <v>55</v>
      </c>
      <c r="S475" s="586" t="s">
        <v>55</v>
      </c>
      <c r="T475" s="717" t="s">
        <v>55</v>
      </c>
      <c r="AA475" s="206"/>
      <c r="AB475" s="251"/>
    </row>
    <row r="476" spans="2:28" ht="24.75" customHeight="1" x14ac:dyDescent="0.25">
      <c r="B476" s="679" t="s">
        <v>740</v>
      </c>
      <c r="C476" s="637" t="s">
        <v>728</v>
      </c>
      <c r="D476" s="233" t="s">
        <v>55</v>
      </c>
      <c r="E476" s="233" t="s">
        <v>55</v>
      </c>
      <c r="F476" s="713">
        <f>13-3</f>
        <v>10</v>
      </c>
      <c r="G476" s="713" t="s">
        <v>55</v>
      </c>
      <c r="H476" s="662">
        <v>122.16</v>
      </c>
      <c r="I476" s="235">
        <v>3.86</v>
      </c>
      <c r="J476" s="215">
        <f t="shared" ref="J476" si="282">H476*I476</f>
        <v>471.5376</v>
      </c>
      <c r="K476" s="216" t="s">
        <v>729</v>
      </c>
      <c r="L476" s="237" t="s">
        <v>55</v>
      </c>
      <c r="M476" s="579" t="s">
        <v>55</v>
      </c>
      <c r="N476" s="215">
        <f>60*F476+O484+O485</f>
        <v>700</v>
      </c>
      <c r="O476" s="220">
        <f>60*F476</f>
        <v>600</v>
      </c>
      <c r="P476" s="356">
        <f>N476/J476</f>
        <v>1.4845051592916449</v>
      </c>
      <c r="Q476" s="356">
        <f>O476/J476</f>
        <v>1.272432993678553</v>
      </c>
      <c r="R476" s="218" t="s">
        <v>55</v>
      </c>
      <c r="S476" s="608" t="s">
        <v>254</v>
      </c>
      <c r="T476" s="520" t="s">
        <v>317</v>
      </c>
      <c r="Z476" s="207">
        <v>3</v>
      </c>
      <c r="AA476" s="315">
        <v>4</v>
      </c>
      <c r="AB476" s="251"/>
    </row>
    <row r="477" spans="2:28" ht="24" customHeight="1" x14ac:dyDescent="0.25">
      <c r="B477" s="679">
        <v>14.41</v>
      </c>
      <c r="C477" s="637" t="s">
        <v>728</v>
      </c>
      <c r="D477" s="233" t="s">
        <v>55</v>
      </c>
      <c r="E477" s="233" t="s">
        <v>55</v>
      </c>
      <c r="F477" s="713">
        <f>9-1</f>
        <v>8</v>
      </c>
      <c r="G477" s="713" t="s">
        <v>55</v>
      </c>
      <c r="H477" s="662">
        <v>53.38</v>
      </c>
      <c r="I477" s="235">
        <v>3.86</v>
      </c>
      <c r="J477" s="215">
        <f t="shared" ref="J477" si="283">H477*I477</f>
        <v>206.04679999999999</v>
      </c>
      <c r="K477" s="216" t="s">
        <v>729</v>
      </c>
      <c r="L477" s="237" t="s">
        <v>55</v>
      </c>
      <c r="M477" s="579" t="s">
        <v>55</v>
      </c>
      <c r="N477" s="215">
        <f>60*F477</f>
        <v>480</v>
      </c>
      <c r="O477" s="220">
        <f>60*F477</f>
        <v>480</v>
      </c>
      <c r="P477" s="356">
        <f>N477/J477</f>
        <v>2.3295678457515478</v>
      </c>
      <c r="Q477" s="356">
        <f>O477/J477</f>
        <v>2.3295678457515478</v>
      </c>
      <c r="R477" s="218" t="s">
        <v>55</v>
      </c>
      <c r="S477" s="608" t="s">
        <v>254</v>
      </c>
      <c r="T477" s="520" t="s">
        <v>317</v>
      </c>
      <c r="Z477" s="207">
        <v>1</v>
      </c>
      <c r="AA477" s="206">
        <v>1</v>
      </c>
      <c r="AB477" s="251"/>
    </row>
    <row r="478" spans="2:28" ht="35.25" customHeight="1" x14ac:dyDescent="0.25">
      <c r="B478" s="679">
        <v>14.42</v>
      </c>
      <c r="C478" s="637" t="s">
        <v>741</v>
      </c>
      <c r="D478" s="223" t="s">
        <v>55</v>
      </c>
      <c r="E478" s="223" t="s">
        <v>55</v>
      </c>
      <c r="F478" s="224">
        <v>1</v>
      </c>
      <c r="G478" s="713">
        <v>2</v>
      </c>
      <c r="H478" s="225">
        <v>27.43</v>
      </c>
      <c r="I478" s="225">
        <v>3.86</v>
      </c>
      <c r="J478" s="226">
        <f>H478*I478</f>
        <v>105.87979999999999</v>
      </c>
      <c r="K478" s="216" t="s">
        <v>670</v>
      </c>
      <c r="L478" s="237" t="s">
        <v>55</v>
      </c>
      <c r="M478" s="579" t="s">
        <v>55</v>
      </c>
      <c r="N478" s="215">
        <f>60*F478+20*G478</f>
        <v>100</v>
      </c>
      <c r="O478" s="220">
        <f>60*F478+20*G478</f>
        <v>100</v>
      </c>
      <c r="P478" s="356">
        <f>N478/J478</f>
        <v>0.94446721659844479</v>
      </c>
      <c r="Q478" s="356">
        <f>O478/J478</f>
        <v>0.94446721659844479</v>
      </c>
      <c r="R478" s="218" t="s">
        <v>55</v>
      </c>
      <c r="S478" s="608" t="s">
        <v>254</v>
      </c>
      <c r="T478" s="520" t="s">
        <v>317</v>
      </c>
      <c r="AA478" s="206"/>
      <c r="AB478" s="251"/>
    </row>
    <row r="479" spans="2:28" ht="17.25" customHeight="1" x14ac:dyDescent="0.25">
      <c r="B479" s="679" t="s">
        <v>55</v>
      </c>
      <c r="C479" s="637" t="s">
        <v>742</v>
      </c>
      <c r="D479" s="586" t="s">
        <v>55</v>
      </c>
      <c r="E479" s="586" t="s">
        <v>55</v>
      </c>
      <c r="F479" s="713" t="s">
        <v>55</v>
      </c>
      <c r="G479" s="713" t="s">
        <v>55</v>
      </c>
      <c r="H479" s="662" t="s">
        <v>55</v>
      </c>
      <c r="I479" s="713" t="s">
        <v>55</v>
      </c>
      <c r="J479" s="713" t="s">
        <v>55</v>
      </c>
      <c r="K479" s="216" t="s">
        <v>55</v>
      </c>
      <c r="L479" s="586" t="s">
        <v>55</v>
      </c>
      <c r="M479" s="650" t="s">
        <v>55</v>
      </c>
      <c r="N479" s="653" t="s">
        <v>55</v>
      </c>
      <c r="O479" s="656" t="s">
        <v>55</v>
      </c>
      <c r="P479" s="716" t="s">
        <v>55</v>
      </c>
      <c r="Q479" s="716" t="s">
        <v>55</v>
      </c>
      <c r="R479" s="590" t="s">
        <v>55</v>
      </c>
      <c r="S479" s="586" t="s">
        <v>55</v>
      </c>
      <c r="T479" s="717" t="s">
        <v>55</v>
      </c>
      <c r="AA479" s="206"/>
      <c r="AB479" s="251"/>
    </row>
    <row r="480" spans="2:28" ht="17.25" customHeight="1" x14ac:dyDescent="0.25">
      <c r="B480" s="679" t="s">
        <v>55</v>
      </c>
      <c r="C480" s="637" t="s">
        <v>743</v>
      </c>
      <c r="D480" s="586" t="s">
        <v>55</v>
      </c>
      <c r="E480" s="586" t="s">
        <v>55</v>
      </c>
      <c r="F480" s="713" t="s">
        <v>55</v>
      </c>
      <c r="G480" s="713" t="s">
        <v>55</v>
      </c>
      <c r="H480" s="662" t="s">
        <v>55</v>
      </c>
      <c r="I480" s="713" t="s">
        <v>55</v>
      </c>
      <c r="J480" s="713" t="s">
        <v>55</v>
      </c>
      <c r="K480" s="216" t="s">
        <v>55</v>
      </c>
      <c r="L480" s="586" t="s">
        <v>55</v>
      </c>
      <c r="M480" s="650" t="s">
        <v>55</v>
      </c>
      <c r="N480" s="653" t="s">
        <v>55</v>
      </c>
      <c r="O480" s="656" t="s">
        <v>55</v>
      </c>
      <c r="P480" s="716" t="s">
        <v>55</v>
      </c>
      <c r="Q480" s="716" t="s">
        <v>55</v>
      </c>
      <c r="R480" s="590" t="s">
        <v>55</v>
      </c>
      <c r="S480" s="586" t="s">
        <v>55</v>
      </c>
      <c r="T480" s="717" t="s">
        <v>55</v>
      </c>
      <c r="AA480" s="206"/>
      <c r="AB480" s="251"/>
    </row>
    <row r="481" spans="2:28" ht="33" customHeight="1" x14ac:dyDescent="0.25">
      <c r="B481" s="679">
        <v>14.43</v>
      </c>
      <c r="C481" s="637" t="s">
        <v>586</v>
      </c>
      <c r="D481" s="586" t="s">
        <v>55</v>
      </c>
      <c r="E481" s="586" t="s">
        <v>55</v>
      </c>
      <c r="F481" s="224">
        <v>1</v>
      </c>
      <c r="G481" s="713">
        <v>2</v>
      </c>
      <c r="H481" s="225">
        <v>12.48</v>
      </c>
      <c r="I481" s="225">
        <v>3.86</v>
      </c>
      <c r="J481" s="226">
        <f>H481*I481</f>
        <v>48.172800000000002</v>
      </c>
      <c r="K481" s="216" t="s">
        <v>670</v>
      </c>
      <c r="L481" s="237" t="s">
        <v>55</v>
      </c>
      <c r="M481" s="579" t="s">
        <v>55</v>
      </c>
      <c r="N481" s="215">
        <f>60*F481+20*G481</f>
        <v>100</v>
      </c>
      <c r="O481" s="220">
        <f>60*F481+20*G481</f>
        <v>100</v>
      </c>
      <c r="P481" s="356">
        <f>N481/J481</f>
        <v>2.075860236481998</v>
      </c>
      <c r="Q481" s="356">
        <f>O481/J481</f>
        <v>2.075860236481998</v>
      </c>
      <c r="R481" s="218" t="s">
        <v>55</v>
      </c>
      <c r="S481" s="608" t="s">
        <v>254</v>
      </c>
      <c r="T481" s="520" t="s">
        <v>317</v>
      </c>
      <c r="AA481" s="206"/>
      <c r="AB481" s="251"/>
    </row>
    <row r="482" spans="2:28" ht="17.25" customHeight="1" x14ac:dyDescent="0.25">
      <c r="B482" s="647" t="s">
        <v>55</v>
      </c>
      <c r="C482" s="637" t="s">
        <v>744</v>
      </c>
      <c r="D482" s="586" t="s">
        <v>55</v>
      </c>
      <c r="E482" s="586" t="s">
        <v>55</v>
      </c>
      <c r="F482" s="713" t="s">
        <v>55</v>
      </c>
      <c r="G482" s="713" t="s">
        <v>55</v>
      </c>
      <c r="H482" s="662" t="s">
        <v>55</v>
      </c>
      <c r="I482" s="713" t="s">
        <v>55</v>
      </c>
      <c r="J482" s="713" t="s">
        <v>55</v>
      </c>
      <c r="K482" s="216" t="s">
        <v>55</v>
      </c>
      <c r="L482" s="586" t="s">
        <v>55</v>
      </c>
      <c r="M482" s="650" t="s">
        <v>55</v>
      </c>
      <c r="N482" s="653" t="s">
        <v>55</v>
      </c>
      <c r="O482" s="656" t="s">
        <v>55</v>
      </c>
      <c r="P482" s="716" t="s">
        <v>55</v>
      </c>
      <c r="Q482" s="716" t="s">
        <v>55</v>
      </c>
      <c r="R482" s="590" t="s">
        <v>55</v>
      </c>
      <c r="S482" s="586" t="s">
        <v>55</v>
      </c>
      <c r="T482" s="717" t="s">
        <v>55</v>
      </c>
      <c r="AB482" s="251"/>
    </row>
    <row r="483" spans="2:28" ht="17.25" customHeight="1" x14ac:dyDescent="0.25">
      <c r="B483" s="647" t="s">
        <v>55</v>
      </c>
      <c r="C483" s="637" t="s">
        <v>745</v>
      </c>
      <c r="D483" s="586" t="s">
        <v>55</v>
      </c>
      <c r="E483" s="586" t="s">
        <v>55</v>
      </c>
      <c r="F483" s="713" t="s">
        <v>55</v>
      </c>
      <c r="G483" s="713" t="s">
        <v>55</v>
      </c>
      <c r="H483" s="662" t="s">
        <v>55</v>
      </c>
      <c r="I483" s="713" t="s">
        <v>55</v>
      </c>
      <c r="J483" s="713" t="s">
        <v>55</v>
      </c>
      <c r="K483" s="714" t="s">
        <v>55</v>
      </c>
      <c r="L483" s="586" t="s">
        <v>55</v>
      </c>
      <c r="M483" s="650" t="s">
        <v>55</v>
      </c>
      <c r="N483" s="653" t="s">
        <v>55</v>
      </c>
      <c r="O483" s="656" t="s">
        <v>55</v>
      </c>
      <c r="P483" s="716" t="s">
        <v>55</v>
      </c>
      <c r="Q483" s="716" t="s">
        <v>55</v>
      </c>
      <c r="R483" s="590" t="s">
        <v>55</v>
      </c>
      <c r="S483" s="586" t="s">
        <v>55</v>
      </c>
      <c r="T483" s="717" t="s">
        <v>55</v>
      </c>
      <c r="AB483" s="251"/>
    </row>
    <row r="484" spans="2:28" ht="17.25" customHeight="1" x14ac:dyDescent="0.25">
      <c r="B484" s="718">
        <v>14.44</v>
      </c>
      <c r="C484" s="518" t="s">
        <v>54</v>
      </c>
      <c r="D484" s="233" t="s">
        <v>303</v>
      </c>
      <c r="E484" s="233" t="s">
        <v>55</v>
      </c>
      <c r="F484" s="214" t="s">
        <v>55</v>
      </c>
      <c r="G484" s="214" t="s">
        <v>55</v>
      </c>
      <c r="H484" s="235">
        <v>11.17</v>
      </c>
      <c r="I484" s="235">
        <v>3.86</v>
      </c>
      <c r="J484" s="215">
        <f t="shared" ref="J484:J485" si="284">H484*I484</f>
        <v>43.116199999999999</v>
      </c>
      <c r="K484" s="313" t="s">
        <v>55</v>
      </c>
      <c r="L484" s="237">
        <v>1</v>
      </c>
      <c r="M484" s="579" t="s">
        <v>55</v>
      </c>
      <c r="N484" s="215" t="s">
        <v>55</v>
      </c>
      <c r="O484" s="220">
        <f t="shared" ref="O484:O485" si="285">CEILING((J484*L484),10)</f>
        <v>50</v>
      </c>
      <c r="P484" s="356" t="s">
        <v>55</v>
      </c>
      <c r="Q484" s="356">
        <f t="shared" ref="Q484:Q485" si="286">O484/J484</f>
        <v>1.1596569270946884</v>
      </c>
      <c r="R484" s="217" t="s">
        <v>55</v>
      </c>
      <c r="S484" s="608" t="s">
        <v>55</v>
      </c>
      <c r="T484" s="520" t="s">
        <v>317</v>
      </c>
      <c r="AB484" s="251"/>
    </row>
    <row r="485" spans="2:28" ht="17.25" customHeight="1" x14ac:dyDescent="0.25">
      <c r="B485" s="718">
        <v>14.45</v>
      </c>
      <c r="C485" s="518" t="s">
        <v>54</v>
      </c>
      <c r="D485" s="233" t="s">
        <v>303</v>
      </c>
      <c r="E485" s="233" t="s">
        <v>55</v>
      </c>
      <c r="F485" s="214" t="s">
        <v>55</v>
      </c>
      <c r="G485" s="214" t="s">
        <v>55</v>
      </c>
      <c r="H485" s="235">
        <v>11.12</v>
      </c>
      <c r="I485" s="235">
        <v>3.86</v>
      </c>
      <c r="J485" s="215">
        <f t="shared" si="284"/>
        <v>42.923199999999994</v>
      </c>
      <c r="K485" s="313" t="s">
        <v>55</v>
      </c>
      <c r="L485" s="237">
        <v>1</v>
      </c>
      <c r="M485" s="579" t="s">
        <v>55</v>
      </c>
      <c r="N485" s="215" t="s">
        <v>55</v>
      </c>
      <c r="O485" s="220">
        <f t="shared" si="285"/>
        <v>50</v>
      </c>
      <c r="P485" s="356" t="s">
        <v>55</v>
      </c>
      <c r="Q485" s="356">
        <f t="shared" si="286"/>
        <v>1.1648712118388194</v>
      </c>
      <c r="R485" s="217" t="s">
        <v>55</v>
      </c>
      <c r="S485" s="608" t="s">
        <v>55</v>
      </c>
      <c r="T485" s="520" t="s">
        <v>317</v>
      </c>
      <c r="AB485" s="251"/>
    </row>
    <row r="486" spans="2:28" ht="17.25" customHeight="1" x14ac:dyDescent="0.25">
      <c r="B486" s="718">
        <v>14.46</v>
      </c>
      <c r="C486" s="518" t="s">
        <v>54</v>
      </c>
      <c r="D486" s="233" t="s">
        <v>303</v>
      </c>
      <c r="E486" s="233" t="s">
        <v>55</v>
      </c>
      <c r="F486" s="214" t="s">
        <v>55</v>
      </c>
      <c r="G486" s="214" t="s">
        <v>55</v>
      </c>
      <c r="H486" s="235">
        <v>10.199999999999999</v>
      </c>
      <c r="I486" s="235">
        <v>3.86</v>
      </c>
      <c r="J486" s="215">
        <f t="shared" ref="J486:J487" si="287">H486*I486</f>
        <v>39.371999999999993</v>
      </c>
      <c r="K486" s="313" t="s">
        <v>55</v>
      </c>
      <c r="L486" s="237">
        <v>1</v>
      </c>
      <c r="M486" s="579" t="s">
        <v>55</v>
      </c>
      <c r="N486" s="215" t="s">
        <v>55</v>
      </c>
      <c r="O486" s="220">
        <f t="shared" ref="O486" si="288">CEILING((J486*L486),10)</f>
        <v>40</v>
      </c>
      <c r="P486" s="356" t="s">
        <v>55</v>
      </c>
      <c r="Q486" s="356">
        <f t="shared" ref="Q486" si="289">O486/J486</f>
        <v>1.0159504216194251</v>
      </c>
      <c r="R486" s="217" t="s">
        <v>55</v>
      </c>
      <c r="S486" s="608" t="s">
        <v>55</v>
      </c>
      <c r="T486" s="520" t="s">
        <v>317</v>
      </c>
      <c r="AB486" s="251"/>
    </row>
    <row r="487" spans="2:28" ht="27" customHeight="1" x14ac:dyDescent="0.25">
      <c r="B487" s="718">
        <v>14.47</v>
      </c>
      <c r="C487" s="637" t="s">
        <v>728</v>
      </c>
      <c r="D487" s="233" t="s">
        <v>55</v>
      </c>
      <c r="E487" s="233" t="s">
        <v>55</v>
      </c>
      <c r="F487" s="713">
        <f>38-5</f>
        <v>33</v>
      </c>
      <c r="G487" s="713" t="s">
        <v>55</v>
      </c>
      <c r="H487" s="662">
        <v>122.16</v>
      </c>
      <c r="I487" s="235">
        <v>3.86</v>
      </c>
      <c r="J487" s="215">
        <f t="shared" si="287"/>
        <v>471.5376</v>
      </c>
      <c r="K487" s="216" t="s">
        <v>729</v>
      </c>
      <c r="L487" s="237" t="s">
        <v>55</v>
      </c>
      <c r="M487" s="579" t="s">
        <v>55</v>
      </c>
      <c r="N487" s="215">
        <f>60*F487+O486+O502+O503+O504+O505</f>
        <v>2140</v>
      </c>
      <c r="O487" s="220">
        <f>60*F487</f>
        <v>1980</v>
      </c>
      <c r="P487" s="356">
        <f>N487/J487</f>
        <v>4.5383443441201718</v>
      </c>
      <c r="Q487" s="356">
        <f>O487/J487</f>
        <v>4.1990288791392247</v>
      </c>
      <c r="R487" s="218" t="s">
        <v>55</v>
      </c>
      <c r="S487" s="608" t="s">
        <v>254</v>
      </c>
      <c r="T487" s="520" t="s">
        <v>317</v>
      </c>
      <c r="Z487" s="207">
        <v>5</v>
      </c>
      <c r="AA487" s="319">
        <v>7</v>
      </c>
      <c r="AB487" s="251"/>
    </row>
    <row r="488" spans="2:28" ht="24" customHeight="1" x14ac:dyDescent="0.25">
      <c r="B488" s="718" t="s">
        <v>746</v>
      </c>
      <c r="C488" s="637" t="s">
        <v>586</v>
      </c>
      <c r="D488" s="223" t="s">
        <v>55</v>
      </c>
      <c r="E488" s="586" t="s">
        <v>55</v>
      </c>
      <c r="F488" s="224">
        <v>1</v>
      </c>
      <c r="G488" s="713">
        <v>2</v>
      </c>
      <c r="H488" s="225">
        <v>20.14</v>
      </c>
      <c r="I488" s="225">
        <v>3.86</v>
      </c>
      <c r="J488" s="226">
        <f>H488*I488</f>
        <v>77.740399999999994</v>
      </c>
      <c r="K488" s="216" t="s">
        <v>670</v>
      </c>
      <c r="L488" s="237" t="s">
        <v>55</v>
      </c>
      <c r="M488" s="579" t="s">
        <v>55</v>
      </c>
      <c r="N488" s="215">
        <f>60*F488+20*G488</f>
        <v>100</v>
      </c>
      <c r="O488" s="220">
        <f>60*F488+20*G488</f>
        <v>100</v>
      </c>
      <c r="P488" s="356">
        <f>N488/J488</f>
        <v>1.2863324603423703</v>
      </c>
      <c r="Q488" s="356">
        <f>O488/J488</f>
        <v>1.2863324603423703</v>
      </c>
      <c r="R488" s="218" t="s">
        <v>55</v>
      </c>
      <c r="S488" s="608" t="s">
        <v>254</v>
      </c>
      <c r="T488" s="520" t="s">
        <v>317</v>
      </c>
      <c r="AA488" s="206"/>
      <c r="AB488" s="251"/>
    </row>
    <row r="489" spans="2:28" ht="17.25" customHeight="1" x14ac:dyDescent="0.25">
      <c r="B489" s="679" t="s">
        <v>55</v>
      </c>
      <c r="C489" s="637" t="s">
        <v>739</v>
      </c>
      <c r="D489" s="586" t="s">
        <v>55</v>
      </c>
      <c r="E489" s="223" t="s">
        <v>55</v>
      </c>
      <c r="F489" s="713" t="s">
        <v>55</v>
      </c>
      <c r="G489" s="713" t="s">
        <v>55</v>
      </c>
      <c r="H489" s="662" t="s">
        <v>55</v>
      </c>
      <c r="I489" s="713" t="s">
        <v>55</v>
      </c>
      <c r="J489" s="713" t="s">
        <v>55</v>
      </c>
      <c r="K489" s="216" t="s">
        <v>55</v>
      </c>
      <c r="L489" s="586" t="s">
        <v>55</v>
      </c>
      <c r="M489" s="650" t="s">
        <v>55</v>
      </c>
      <c r="N489" s="653" t="s">
        <v>55</v>
      </c>
      <c r="O489" s="656" t="s">
        <v>55</v>
      </c>
      <c r="P489" s="716" t="s">
        <v>55</v>
      </c>
      <c r="Q489" s="716" t="s">
        <v>55</v>
      </c>
      <c r="R489" s="590" t="s">
        <v>55</v>
      </c>
      <c r="S489" s="586" t="s">
        <v>55</v>
      </c>
      <c r="T489" s="717" t="s">
        <v>55</v>
      </c>
      <c r="AA489" s="206"/>
      <c r="AB489" s="251"/>
    </row>
    <row r="490" spans="2:28" ht="39" customHeight="1" x14ac:dyDescent="0.25">
      <c r="B490" s="679" t="s">
        <v>748</v>
      </c>
      <c r="C490" s="637" t="s">
        <v>136</v>
      </c>
      <c r="D490" s="223" t="s">
        <v>55</v>
      </c>
      <c r="E490" s="586" t="s">
        <v>55</v>
      </c>
      <c r="F490" s="224">
        <v>1</v>
      </c>
      <c r="G490" s="713">
        <v>2</v>
      </c>
      <c r="H490" s="225">
        <v>11.49</v>
      </c>
      <c r="I490" s="225">
        <v>3.86</v>
      </c>
      <c r="J490" s="226">
        <f>H490*I490</f>
        <v>44.351399999999998</v>
      </c>
      <c r="K490" s="216" t="s">
        <v>670</v>
      </c>
      <c r="L490" s="237" t="s">
        <v>55</v>
      </c>
      <c r="M490" s="579" t="s">
        <v>55</v>
      </c>
      <c r="N490" s="215">
        <f>60*F490+20*G490</f>
        <v>100</v>
      </c>
      <c r="O490" s="220">
        <f>60*F490+20*G490</f>
        <v>100</v>
      </c>
      <c r="P490" s="356">
        <f>N490/J490</f>
        <v>2.2547202568577318</v>
      </c>
      <c r="Q490" s="356">
        <f>O490/J490</f>
        <v>2.2547202568577318</v>
      </c>
      <c r="R490" s="218" t="s">
        <v>55</v>
      </c>
      <c r="S490" s="608" t="s">
        <v>254</v>
      </c>
      <c r="T490" s="520" t="s">
        <v>317</v>
      </c>
      <c r="AA490" s="206"/>
      <c r="AB490" s="251"/>
    </row>
    <row r="491" spans="2:28" ht="36.75" customHeight="1" x14ac:dyDescent="0.25">
      <c r="B491" s="679" t="s">
        <v>747</v>
      </c>
      <c r="C491" s="637" t="s">
        <v>136</v>
      </c>
      <c r="D491" s="223" t="s">
        <v>55</v>
      </c>
      <c r="E491" s="586" t="s">
        <v>55</v>
      </c>
      <c r="F491" s="224">
        <v>1</v>
      </c>
      <c r="G491" s="713">
        <v>2</v>
      </c>
      <c r="H491" s="225">
        <v>1.5</v>
      </c>
      <c r="I491" s="225">
        <v>3.86</v>
      </c>
      <c r="J491" s="226">
        <f>H491*I491</f>
        <v>5.79</v>
      </c>
      <c r="K491" s="216" t="s">
        <v>670</v>
      </c>
      <c r="L491" s="237" t="s">
        <v>55</v>
      </c>
      <c r="M491" s="579" t="s">
        <v>55</v>
      </c>
      <c r="N491" s="215">
        <f>60*F491+20*G491</f>
        <v>100</v>
      </c>
      <c r="O491" s="220">
        <f>60*F491+20*G491</f>
        <v>100</v>
      </c>
      <c r="P491" s="356">
        <f>N491/J491</f>
        <v>17.271157167530223</v>
      </c>
      <c r="Q491" s="356">
        <f>O491/J491</f>
        <v>17.271157167530223</v>
      </c>
      <c r="R491" s="218" t="s">
        <v>55</v>
      </c>
      <c r="S491" s="608" t="s">
        <v>254</v>
      </c>
      <c r="T491" s="520" t="s">
        <v>317</v>
      </c>
      <c r="AA491" s="206"/>
      <c r="AB491" s="251"/>
    </row>
    <row r="492" spans="2:28" ht="33" customHeight="1" x14ac:dyDescent="0.25">
      <c r="B492" s="679" t="s">
        <v>749</v>
      </c>
      <c r="C492" s="637" t="s">
        <v>527</v>
      </c>
      <c r="D492" s="223" t="s">
        <v>55</v>
      </c>
      <c r="E492" s="586" t="s">
        <v>55</v>
      </c>
      <c r="F492" s="224">
        <v>1</v>
      </c>
      <c r="G492" s="713">
        <v>2</v>
      </c>
      <c r="H492" s="225">
        <v>20.059999999999999</v>
      </c>
      <c r="I492" s="225">
        <v>3.86</v>
      </c>
      <c r="J492" s="226">
        <f>H492*I492</f>
        <v>77.431599999999989</v>
      </c>
      <c r="K492" s="216" t="s">
        <v>670</v>
      </c>
      <c r="L492" s="237" t="s">
        <v>55</v>
      </c>
      <c r="M492" s="579" t="s">
        <v>55</v>
      </c>
      <c r="N492" s="215">
        <f>60*F492+20*G492</f>
        <v>100</v>
      </c>
      <c r="O492" s="220">
        <f>60*F492+20*G492</f>
        <v>100</v>
      </c>
      <c r="P492" s="356">
        <f>N492/J492</f>
        <v>1.2914624003636761</v>
      </c>
      <c r="Q492" s="356">
        <f>O492/J492</f>
        <v>1.2914624003636761</v>
      </c>
      <c r="R492" s="218" t="s">
        <v>55</v>
      </c>
      <c r="S492" s="608" t="s">
        <v>254</v>
      </c>
      <c r="T492" s="520" t="s">
        <v>317</v>
      </c>
      <c r="AA492" s="206"/>
      <c r="AB492" s="251"/>
    </row>
    <row r="493" spans="2:28" ht="17.25" customHeight="1" x14ac:dyDescent="0.25">
      <c r="B493" s="679" t="s">
        <v>55</v>
      </c>
      <c r="C493" s="637" t="s">
        <v>528</v>
      </c>
      <c r="D493" s="586" t="s">
        <v>55</v>
      </c>
      <c r="E493" s="223" t="s">
        <v>55</v>
      </c>
      <c r="F493" s="713" t="s">
        <v>55</v>
      </c>
      <c r="G493" s="713" t="s">
        <v>55</v>
      </c>
      <c r="H493" s="662" t="s">
        <v>55</v>
      </c>
      <c r="I493" s="713" t="s">
        <v>55</v>
      </c>
      <c r="J493" s="713" t="s">
        <v>55</v>
      </c>
      <c r="K493" s="216" t="s">
        <v>55</v>
      </c>
      <c r="L493" s="586" t="s">
        <v>55</v>
      </c>
      <c r="M493" s="650" t="s">
        <v>55</v>
      </c>
      <c r="N493" s="653" t="s">
        <v>55</v>
      </c>
      <c r="O493" s="656" t="s">
        <v>55</v>
      </c>
      <c r="P493" s="716" t="s">
        <v>55</v>
      </c>
      <c r="Q493" s="716" t="s">
        <v>55</v>
      </c>
      <c r="R493" s="590" t="s">
        <v>55</v>
      </c>
      <c r="S493" s="586" t="s">
        <v>55</v>
      </c>
      <c r="T493" s="717" t="s">
        <v>55</v>
      </c>
      <c r="AA493" s="206"/>
      <c r="AB493" s="251"/>
    </row>
    <row r="494" spans="2:28" ht="27.75" customHeight="1" x14ac:dyDescent="0.25">
      <c r="B494" s="679">
        <v>14.52</v>
      </c>
      <c r="C494" s="637" t="s">
        <v>728</v>
      </c>
      <c r="D494" s="233" t="s">
        <v>55</v>
      </c>
      <c r="E494" s="233" t="s">
        <v>55</v>
      </c>
      <c r="F494" s="713">
        <f>23-4</f>
        <v>19</v>
      </c>
      <c r="G494" s="713" t="s">
        <v>55</v>
      </c>
      <c r="H494" s="662">
        <v>183.93</v>
      </c>
      <c r="I494" s="235">
        <v>3.86</v>
      </c>
      <c r="J494" s="215">
        <f t="shared" ref="J494" si="290">H494*I494</f>
        <v>709.96979999999996</v>
      </c>
      <c r="K494" s="216" t="s">
        <v>729</v>
      </c>
      <c r="L494" s="237" t="s">
        <v>55</v>
      </c>
      <c r="M494" s="579" t="s">
        <v>55</v>
      </c>
      <c r="N494" s="215">
        <f>60*F494+O498</f>
        <v>1170</v>
      </c>
      <c r="O494" s="220">
        <f>60*F494</f>
        <v>1140</v>
      </c>
      <c r="P494" s="356">
        <f>N494/J494</f>
        <v>1.6479574201606886</v>
      </c>
      <c r="Q494" s="356">
        <f>O494/J494</f>
        <v>1.6057021016950299</v>
      </c>
      <c r="R494" s="218" t="s">
        <v>55</v>
      </c>
      <c r="S494" s="608" t="s">
        <v>254</v>
      </c>
      <c r="T494" s="520" t="s">
        <v>317</v>
      </c>
      <c r="Z494" s="207">
        <v>4</v>
      </c>
      <c r="AA494" s="319">
        <v>6</v>
      </c>
      <c r="AB494" s="251"/>
    </row>
    <row r="495" spans="2:28" ht="36.75" customHeight="1" x14ac:dyDescent="0.25">
      <c r="B495" s="679" t="s">
        <v>750</v>
      </c>
      <c r="C495" s="637" t="s">
        <v>732</v>
      </c>
      <c r="D495" s="223" t="s">
        <v>55</v>
      </c>
      <c r="E495" s="586" t="s">
        <v>55</v>
      </c>
      <c r="F495" s="224">
        <v>1</v>
      </c>
      <c r="G495" s="713">
        <v>2</v>
      </c>
      <c r="H495" s="225">
        <v>13.02</v>
      </c>
      <c r="I495" s="225">
        <v>3.86</v>
      </c>
      <c r="J495" s="226">
        <f>H495*I495</f>
        <v>50.257199999999997</v>
      </c>
      <c r="K495" s="216" t="s">
        <v>670</v>
      </c>
      <c r="L495" s="237" t="s">
        <v>55</v>
      </c>
      <c r="M495" s="579" t="s">
        <v>55</v>
      </c>
      <c r="N495" s="215">
        <f>60*F495+20*G495</f>
        <v>100</v>
      </c>
      <c r="O495" s="220">
        <f>60*F495+20*G495</f>
        <v>100</v>
      </c>
      <c r="P495" s="356">
        <f>N495/J495</f>
        <v>1.9897646506371227</v>
      </c>
      <c r="Q495" s="356">
        <f>O495/J495</f>
        <v>1.9897646506371227</v>
      </c>
      <c r="R495" s="218" t="s">
        <v>55</v>
      </c>
      <c r="S495" s="608" t="s">
        <v>254</v>
      </c>
      <c r="T495" s="520" t="s">
        <v>317</v>
      </c>
      <c r="AA495" s="206"/>
      <c r="AB495" s="251"/>
    </row>
    <row r="496" spans="2:28" ht="17.25" customHeight="1" x14ac:dyDescent="0.25">
      <c r="B496" s="679" t="s">
        <v>55</v>
      </c>
      <c r="C496" s="637" t="s">
        <v>751</v>
      </c>
      <c r="D496" s="586" t="s">
        <v>55</v>
      </c>
      <c r="E496" s="223" t="s">
        <v>55</v>
      </c>
      <c r="F496" s="713" t="s">
        <v>55</v>
      </c>
      <c r="G496" s="713" t="s">
        <v>55</v>
      </c>
      <c r="H496" s="662" t="s">
        <v>55</v>
      </c>
      <c r="I496" s="713" t="s">
        <v>55</v>
      </c>
      <c r="J496" s="713" t="s">
        <v>55</v>
      </c>
      <c r="K496" s="216" t="s">
        <v>55</v>
      </c>
      <c r="L496" s="586" t="s">
        <v>55</v>
      </c>
      <c r="M496" s="650" t="s">
        <v>55</v>
      </c>
      <c r="N496" s="653" t="s">
        <v>55</v>
      </c>
      <c r="O496" s="656" t="s">
        <v>55</v>
      </c>
      <c r="P496" s="716" t="s">
        <v>55</v>
      </c>
      <c r="Q496" s="716" t="s">
        <v>55</v>
      </c>
      <c r="R496" s="590" t="s">
        <v>55</v>
      </c>
      <c r="S496" s="586" t="s">
        <v>55</v>
      </c>
      <c r="T496" s="717" t="s">
        <v>55</v>
      </c>
      <c r="AB496" s="251"/>
    </row>
    <row r="497" spans="2:30" ht="24.75" customHeight="1" x14ac:dyDescent="0.25">
      <c r="B497" s="679" t="s">
        <v>752</v>
      </c>
      <c r="C497" s="637" t="s">
        <v>20</v>
      </c>
      <c r="D497" s="223" t="s">
        <v>55</v>
      </c>
      <c r="E497" s="223" t="s">
        <v>55</v>
      </c>
      <c r="F497" s="224" t="s">
        <v>55</v>
      </c>
      <c r="G497" s="713">
        <v>3</v>
      </c>
      <c r="H497" s="225">
        <v>13</v>
      </c>
      <c r="I497" s="225">
        <v>3.86</v>
      </c>
      <c r="J497" s="226">
        <f>H497*I497</f>
        <v>50.18</v>
      </c>
      <c r="K497" s="216" t="s">
        <v>558</v>
      </c>
      <c r="L497" s="317" t="s">
        <v>55</v>
      </c>
      <c r="M497" s="228" t="s">
        <v>55</v>
      </c>
      <c r="N497" s="226">
        <f t="shared" ref="N497" si="291">20*G497</f>
        <v>60</v>
      </c>
      <c r="O497" s="241">
        <f t="shared" ref="O497" si="292">20*G497</f>
        <v>60</v>
      </c>
      <c r="P497" s="406">
        <f t="shared" ref="P497" si="293">N497/J497</f>
        <v>1.195695496213631</v>
      </c>
      <c r="Q497" s="406">
        <f t="shared" ref="Q497:Q498" si="294">O497/J497</f>
        <v>1.195695496213631</v>
      </c>
      <c r="R497" s="240"/>
      <c r="S497" s="715" t="s">
        <v>254</v>
      </c>
      <c r="T497" s="711" t="s">
        <v>317</v>
      </c>
      <c r="AA497" s="206">
        <v>5</v>
      </c>
      <c r="AB497" s="251" t="s">
        <v>773</v>
      </c>
    </row>
    <row r="498" spans="2:30" ht="17.25" customHeight="1" x14ac:dyDescent="0.25">
      <c r="B498" s="679" t="s">
        <v>753</v>
      </c>
      <c r="C498" s="637" t="s">
        <v>551</v>
      </c>
      <c r="D498" s="223" t="s">
        <v>55</v>
      </c>
      <c r="E498" s="223" t="s">
        <v>55</v>
      </c>
      <c r="F498" s="224" t="s">
        <v>55</v>
      </c>
      <c r="G498" s="713"/>
      <c r="H498" s="662">
        <v>5.5</v>
      </c>
      <c r="I498" s="225">
        <v>3.86</v>
      </c>
      <c r="J498" s="226">
        <f t="shared" ref="J498:J499" si="295">H498*I498</f>
        <v>21.23</v>
      </c>
      <c r="K498" s="714" t="s">
        <v>55</v>
      </c>
      <c r="L498" s="586">
        <v>1</v>
      </c>
      <c r="M498" s="650" t="s">
        <v>55</v>
      </c>
      <c r="N498" s="653" t="s">
        <v>55</v>
      </c>
      <c r="O498" s="220">
        <f>CEILING((J498*L498),10)</f>
        <v>30</v>
      </c>
      <c r="P498" s="400" t="s">
        <v>55</v>
      </c>
      <c r="Q498" s="356">
        <f t="shared" si="294"/>
        <v>1.4130946773433819</v>
      </c>
      <c r="R498" s="217" t="s">
        <v>55</v>
      </c>
      <c r="S498" s="519" t="s">
        <v>55</v>
      </c>
      <c r="T498" s="520" t="s">
        <v>317</v>
      </c>
      <c r="AB498" s="251"/>
    </row>
    <row r="499" spans="2:30" ht="27.75" customHeight="1" x14ac:dyDescent="0.25">
      <c r="B499" s="679" t="s">
        <v>754</v>
      </c>
      <c r="C499" s="637" t="s">
        <v>762</v>
      </c>
      <c r="D499" s="223" t="s">
        <v>55</v>
      </c>
      <c r="E499" s="223" t="s">
        <v>55</v>
      </c>
      <c r="F499" s="713">
        <v>1</v>
      </c>
      <c r="G499" s="713" t="s">
        <v>55</v>
      </c>
      <c r="H499" s="662">
        <v>17.059999999999999</v>
      </c>
      <c r="I499" s="225">
        <v>3.86</v>
      </c>
      <c r="J499" s="226">
        <f t="shared" si="295"/>
        <v>65.851599999999991</v>
      </c>
      <c r="K499" s="216" t="s">
        <v>729</v>
      </c>
      <c r="L499" s="586" t="s">
        <v>55</v>
      </c>
      <c r="M499" s="650" t="s">
        <v>55</v>
      </c>
      <c r="N499" s="215">
        <f>60*F499</f>
        <v>60</v>
      </c>
      <c r="O499" s="220">
        <f>60*F499</f>
        <v>60</v>
      </c>
      <c r="P499" s="356">
        <f>N499/J499</f>
        <v>0.91113959265985955</v>
      </c>
      <c r="Q499" s="356">
        <f>O499/J499</f>
        <v>0.91113959265985955</v>
      </c>
      <c r="R499" s="218" t="s">
        <v>55</v>
      </c>
      <c r="S499" s="608" t="s">
        <v>254</v>
      </c>
      <c r="T499" s="520" t="s">
        <v>317</v>
      </c>
      <c r="AB499" s="251"/>
    </row>
    <row r="500" spans="2:30" ht="17.25" customHeight="1" x14ac:dyDescent="0.25">
      <c r="B500" s="679" t="s">
        <v>55</v>
      </c>
      <c r="C500" s="637" t="s">
        <v>763</v>
      </c>
      <c r="D500" s="586" t="s">
        <v>55</v>
      </c>
      <c r="E500" s="223" t="s">
        <v>55</v>
      </c>
      <c r="F500" s="713" t="s">
        <v>55</v>
      </c>
      <c r="G500" s="713" t="s">
        <v>55</v>
      </c>
      <c r="H500" s="662" t="s">
        <v>55</v>
      </c>
      <c r="I500" s="713" t="s">
        <v>55</v>
      </c>
      <c r="J500" s="713" t="s">
        <v>55</v>
      </c>
      <c r="K500" s="216" t="s">
        <v>55</v>
      </c>
      <c r="L500" s="586" t="s">
        <v>55</v>
      </c>
      <c r="M500" s="650" t="s">
        <v>55</v>
      </c>
      <c r="N500" s="653" t="s">
        <v>55</v>
      </c>
      <c r="O500" s="656" t="s">
        <v>55</v>
      </c>
      <c r="P500" s="716" t="s">
        <v>55</v>
      </c>
      <c r="Q500" s="716" t="s">
        <v>55</v>
      </c>
      <c r="R500" s="590" t="s">
        <v>55</v>
      </c>
      <c r="S500" s="586" t="s">
        <v>55</v>
      </c>
      <c r="T500" s="717" t="s">
        <v>55</v>
      </c>
      <c r="AB500" s="251"/>
    </row>
    <row r="501" spans="2:30" ht="17.25" customHeight="1" x14ac:dyDescent="0.25">
      <c r="B501" s="679" t="s">
        <v>55</v>
      </c>
      <c r="C501" s="637" t="s">
        <v>764</v>
      </c>
      <c r="D501" s="586" t="s">
        <v>55</v>
      </c>
      <c r="E501" s="223" t="s">
        <v>55</v>
      </c>
      <c r="F501" s="713" t="s">
        <v>55</v>
      </c>
      <c r="G501" s="713" t="s">
        <v>55</v>
      </c>
      <c r="H501" s="662" t="s">
        <v>55</v>
      </c>
      <c r="I501" s="713" t="s">
        <v>55</v>
      </c>
      <c r="J501" s="713" t="s">
        <v>55</v>
      </c>
      <c r="K501" s="216" t="s">
        <v>55</v>
      </c>
      <c r="L501" s="586" t="s">
        <v>55</v>
      </c>
      <c r="M501" s="650" t="s">
        <v>55</v>
      </c>
      <c r="N501" s="653" t="s">
        <v>55</v>
      </c>
      <c r="O501" s="656" t="s">
        <v>55</v>
      </c>
      <c r="P501" s="716" t="s">
        <v>55</v>
      </c>
      <c r="Q501" s="716" t="s">
        <v>55</v>
      </c>
      <c r="R501" s="590" t="s">
        <v>55</v>
      </c>
      <c r="S501" s="586" t="s">
        <v>55</v>
      </c>
      <c r="T501" s="717" t="s">
        <v>55</v>
      </c>
      <c r="AB501" s="251"/>
    </row>
    <row r="502" spans="2:30" ht="17.25" customHeight="1" x14ac:dyDescent="0.25">
      <c r="B502" s="679" t="s">
        <v>755</v>
      </c>
      <c r="C502" s="637" t="s">
        <v>551</v>
      </c>
      <c r="D502" s="586" t="s">
        <v>55</v>
      </c>
      <c r="E502" s="223" t="s">
        <v>55</v>
      </c>
      <c r="F502" s="713" t="s">
        <v>55</v>
      </c>
      <c r="G502" s="713" t="s">
        <v>55</v>
      </c>
      <c r="H502" s="225" t="s">
        <v>765</v>
      </c>
      <c r="I502" s="225">
        <v>3.86</v>
      </c>
      <c r="J502" s="226">
        <f t="shared" ref="J502:J508" si="296">H502*I502</f>
        <v>18.914000000000001</v>
      </c>
      <c r="K502" s="216" t="s">
        <v>55</v>
      </c>
      <c r="L502" s="579">
        <v>1</v>
      </c>
      <c r="M502" s="650" t="s">
        <v>55</v>
      </c>
      <c r="N502" s="653" t="s">
        <v>55</v>
      </c>
      <c r="O502" s="220">
        <f>CEILING((J502*L502),10)</f>
        <v>20</v>
      </c>
      <c r="P502" s="400" t="s">
        <v>55</v>
      </c>
      <c r="Q502" s="356">
        <f t="shared" ref="Q502" si="297">O502/J502</f>
        <v>1.0574177857671565</v>
      </c>
      <c r="R502" s="217" t="s">
        <v>55</v>
      </c>
      <c r="S502" s="519" t="s">
        <v>55</v>
      </c>
      <c r="T502" s="520" t="s">
        <v>317</v>
      </c>
      <c r="AB502" s="251"/>
    </row>
    <row r="503" spans="2:30" ht="17.25" customHeight="1" x14ac:dyDescent="0.25">
      <c r="B503" s="679" t="s">
        <v>756</v>
      </c>
      <c r="C503" s="518" t="s">
        <v>553</v>
      </c>
      <c r="D503" s="586" t="s">
        <v>55</v>
      </c>
      <c r="E503" s="223" t="s">
        <v>55</v>
      </c>
      <c r="F503" s="713" t="s">
        <v>55</v>
      </c>
      <c r="G503" s="713" t="s">
        <v>55</v>
      </c>
      <c r="H503" s="225" t="s">
        <v>766</v>
      </c>
      <c r="I503" s="225">
        <v>3.86</v>
      </c>
      <c r="J503" s="226">
        <f t="shared" si="296"/>
        <v>17.099799999999998</v>
      </c>
      <c r="K503" s="216" t="s">
        <v>55</v>
      </c>
      <c r="L503" s="579">
        <v>1</v>
      </c>
      <c r="M503" s="650" t="s">
        <v>55</v>
      </c>
      <c r="N503" s="653" t="s">
        <v>55</v>
      </c>
      <c r="O503" s="220">
        <f>CEILING((J503*L503),10)</f>
        <v>20</v>
      </c>
      <c r="P503" s="400" t="s">
        <v>55</v>
      </c>
      <c r="Q503" s="356">
        <f t="shared" ref="Q503" si="298">O503/J503</f>
        <v>1.1696043228575774</v>
      </c>
      <c r="R503" s="217" t="s">
        <v>55</v>
      </c>
      <c r="S503" s="519" t="s">
        <v>55</v>
      </c>
      <c r="T503" s="520" t="s">
        <v>317</v>
      </c>
      <c r="AB503" s="251"/>
    </row>
    <row r="504" spans="2:30" ht="17.25" customHeight="1" x14ac:dyDescent="0.25">
      <c r="B504" s="679" t="s">
        <v>757</v>
      </c>
      <c r="C504" s="637" t="s">
        <v>54</v>
      </c>
      <c r="D504" s="586" t="s">
        <v>303</v>
      </c>
      <c r="E504" s="223" t="s">
        <v>55</v>
      </c>
      <c r="F504" s="713" t="s">
        <v>55</v>
      </c>
      <c r="G504" s="713" t="s">
        <v>55</v>
      </c>
      <c r="H504" s="225" t="s">
        <v>767</v>
      </c>
      <c r="I504" s="225">
        <v>3.86</v>
      </c>
      <c r="J504" s="226">
        <f t="shared" si="296"/>
        <v>36.245400000000004</v>
      </c>
      <c r="K504" s="216" t="s">
        <v>55</v>
      </c>
      <c r="L504" s="579">
        <v>1</v>
      </c>
      <c r="M504" s="650" t="s">
        <v>55</v>
      </c>
      <c r="N504" s="653" t="s">
        <v>55</v>
      </c>
      <c r="O504" s="220">
        <f>CEILING((J504*L504),10)</f>
        <v>40</v>
      </c>
      <c r="P504" s="400" t="s">
        <v>55</v>
      </c>
      <c r="Q504" s="356">
        <f t="shared" ref="Q504" si="299">O504/J504</f>
        <v>1.1035883174140717</v>
      </c>
      <c r="R504" s="217" t="s">
        <v>55</v>
      </c>
      <c r="S504" s="519" t="s">
        <v>55</v>
      </c>
      <c r="T504" s="520" t="s">
        <v>317</v>
      </c>
      <c r="AB504" s="251"/>
    </row>
    <row r="505" spans="2:30" ht="17.25" customHeight="1" x14ac:dyDescent="0.25">
      <c r="B505" s="679" t="s">
        <v>758</v>
      </c>
      <c r="C505" s="637" t="s">
        <v>54</v>
      </c>
      <c r="D505" s="586" t="s">
        <v>303</v>
      </c>
      <c r="E505" s="223" t="s">
        <v>55</v>
      </c>
      <c r="F505" s="713" t="s">
        <v>55</v>
      </c>
      <c r="G505" s="713" t="s">
        <v>55</v>
      </c>
      <c r="H505" s="225" t="s">
        <v>31</v>
      </c>
      <c r="I505" s="225">
        <v>3.86</v>
      </c>
      <c r="J505" s="226">
        <f t="shared" si="296"/>
        <v>35.975200000000001</v>
      </c>
      <c r="K505" s="216" t="s">
        <v>55</v>
      </c>
      <c r="L505" s="579">
        <v>1</v>
      </c>
      <c r="M505" s="650" t="s">
        <v>55</v>
      </c>
      <c r="N505" s="653" t="s">
        <v>55</v>
      </c>
      <c r="O505" s="220">
        <f>CEILING((J505*L505),10)</f>
        <v>40</v>
      </c>
      <c r="P505" s="400" t="s">
        <v>55</v>
      </c>
      <c r="Q505" s="356">
        <f t="shared" ref="Q505" si="300">O505/J505</f>
        <v>1.1118770708710444</v>
      </c>
      <c r="R505" s="217" t="s">
        <v>55</v>
      </c>
      <c r="S505" s="519" t="s">
        <v>55</v>
      </c>
      <c r="T505" s="520" t="s">
        <v>317</v>
      </c>
      <c r="AB505" s="251"/>
    </row>
    <row r="506" spans="2:30" ht="17.25" customHeight="1" x14ac:dyDescent="0.25">
      <c r="B506" s="679" t="s">
        <v>759</v>
      </c>
      <c r="C506" s="637" t="s">
        <v>16</v>
      </c>
      <c r="D506" s="586" t="s">
        <v>55</v>
      </c>
      <c r="E506" s="223" t="s">
        <v>55</v>
      </c>
      <c r="F506" s="713" t="s">
        <v>55</v>
      </c>
      <c r="G506" s="713" t="s">
        <v>55</v>
      </c>
      <c r="H506" s="225" t="s">
        <v>768</v>
      </c>
      <c r="I506" s="225">
        <v>3.86</v>
      </c>
      <c r="J506" s="226">
        <f t="shared" si="296"/>
        <v>294.67239999999998</v>
      </c>
      <c r="K506" s="216" t="s">
        <v>55</v>
      </c>
      <c r="L506" s="216" t="s">
        <v>55</v>
      </c>
      <c r="M506" s="216" t="s">
        <v>55</v>
      </c>
      <c r="N506" s="216" t="s">
        <v>55</v>
      </c>
      <c r="O506" s="216" t="s">
        <v>55</v>
      </c>
      <c r="P506" s="216" t="s">
        <v>55</v>
      </c>
      <c r="Q506" s="216" t="s">
        <v>55</v>
      </c>
      <c r="R506" s="216" t="s">
        <v>55</v>
      </c>
      <c r="S506" s="216" t="s">
        <v>55</v>
      </c>
      <c r="T506" s="359" t="s">
        <v>55</v>
      </c>
      <c r="AB506" s="251"/>
    </row>
    <row r="507" spans="2:30" ht="17.25" customHeight="1" x14ac:dyDescent="0.25">
      <c r="B507" s="679" t="s">
        <v>760</v>
      </c>
      <c r="C507" s="637" t="s">
        <v>16</v>
      </c>
      <c r="D507" s="586" t="s">
        <v>55</v>
      </c>
      <c r="E507" s="223" t="s">
        <v>55</v>
      </c>
      <c r="F507" s="713" t="s">
        <v>55</v>
      </c>
      <c r="G507" s="713" t="s">
        <v>55</v>
      </c>
      <c r="H507" s="225" t="s">
        <v>769</v>
      </c>
      <c r="I507" s="225">
        <v>3.86</v>
      </c>
      <c r="J507" s="226">
        <f t="shared" si="296"/>
        <v>396.84660000000002</v>
      </c>
      <c r="K507" s="216" t="s">
        <v>55</v>
      </c>
      <c r="L507" s="216" t="s">
        <v>55</v>
      </c>
      <c r="M507" s="216" t="s">
        <v>55</v>
      </c>
      <c r="N507" s="653">
        <f>1590-N450</f>
        <v>1480</v>
      </c>
      <c r="O507" s="216" t="s">
        <v>55</v>
      </c>
      <c r="P507" s="216" t="s">
        <v>55</v>
      </c>
      <c r="Q507" s="216" t="s">
        <v>55</v>
      </c>
      <c r="R507" s="216" t="s">
        <v>55</v>
      </c>
      <c r="S507" s="608" t="s">
        <v>254</v>
      </c>
      <c r="T507" s="719"/>
      <c r="AB507" s="251"/>
    </row>
    <row r="508" spans="2:30" ht="17.25" customHeight="1" x14ac:dyDescent="0.25">
      <c r="B508" s="679" t="s">
        <v>761</v>
      </c>
      <c r="C508" s="637" t="s">
        <v>16</v>
      </c>
      <c r="D508" s="586" t="s">
        <v>55</v>
      </c>
      <c r="E508" s="223" t="s">
        <v>55</v>
      </c>
      <c r="F508" s="713" t="s">
        <v>55</v>
      </c>
      <c r="G508" s="713" t="s">
        <v>55</v>
      </c>
      <c r="H508" s="225" t="s">
        <v>770</v>
      </c>
      <c r="I508" s="225">
        <v>3.86</v>
      </c>
      <c r="J508" s="226">
        <f t="shared" si="296"/>
        <v>217.2022</v>
      </c>
      <c r="K508" s="216" t="s">
        <v>55</v>
      </c>
      <c r="L508" s="216" t="s">
        <v>55</v>
      </c>
      <c r="M508" s="216" t="s">
        <v>55</v>
      </c>
      <c r="N508" s="216" t="s">
        <v>55</v>
      </c>
      <c r="O508" s="216" t="s">
        <v>55</v>
      </c>
      <c r="P508" s="216" t="s">
        <v>55</v>
      </c>
      <c r="Q508" s="216" t="s">
        <v>55</v>
      </c>
      <c r="R508" s="216" t="s">
        <v>55</v>
      </c>
      <c r="S508" s="593"/>
      <c r="T508" s="719"/>
      <c r="AA508" s="207">
        <f>AA459+AA464+AA467+AA476+AA477+AA487+AA494</f>
        <v>33</v>
      </c>
      <c r="AB508" s="251"/>
    </row>
    <row r="509" spans="2:30" ht="17.25" customHeight="1" x14ac:dyDescent="0.25">
      <c r="B509" s="720"/>
      <c r="C509" s="637" t="s">
        <v>771</v>
      </c>
      <c r="D509" s="721"/>
      <c r="E509" s="722"/>
      <c r="F509" s="713" t="s">
        <v>55</v>
      </c>
      <c r="G509" s="713" t="s">
        <v>55</v>
      </c>
      <c r="H509" s="662" t="s">
        <v>55</v>
      </c>
      <c r="I509" s="723" t="s">
        <v>55</v>
      </c>
      <c r="J509" s="215" t="s">
        <v>55</v>
      </c>
      <c r="K509" s="216" t="s">
        <v>55</v>
      </c>
      <c r="L509" s="216" t="s">
        <v>55</v>
      </c>
      <c r="M509" s="216" t="s">
        <v>55</v>
      </c>
      <c r="N509" s="216" t="s">
        <v>55</v>
      </c>
      <c r="O509" s="656">
        <f>1590-O451-O450</f>
        <v>1440</v>
      </c>
      <c r="P509" s="216" t="s">
        <v>55</v>
      </c>
      <c r="Q509" s="216" t="s">
        <v>55</v>
      </c>
      <c r="R509" s="216" t="s">
        <v>55</v>
      </c>
      <c r="S509" s="593"/>
      <c r="T509" s="709" t="s">
        <v>772</v>
      </c>
      <c r="AB509" s="251"/>
    </row>
    <row r="510" spans="2:30" ht="17.25" customHeight="1" thickBot="1" x14ac:dyDescent="0.3">
      <c r="B510" s="676"/>
      <c r="C510" s="615"/>
      <c r="D510" s="724" t="s">
        <v>508</v>
      </c>
      <c r="E510" s="725"/>
      <c r="F510" s="620">
        <f>SUM(F449:F509)</f>
        <v>162</v>
      </c>
      <c r="G510" s="620">
        <f>SUM(G449:G509)</f>
        <v>56</v>
      </c>
      <c r="H510" s="619"/>
      <c r="I510" s="620"/>
      <c r="J510" s="726"/>
      <c r="K510" s="640"/>
      <c r="L510" s="724" t="s">
        <v>557</v>
      </c>
      <c r="M510" s="725"/>
      <c r="N510" s="622">
        <f>SUM(N449:N509)</f>
        <v>12960</v>
      </c>
      <c r="O510" s="623">
        <f>SUM(O449:O509)</f>
        <v>12960</v>
      </c>
      <c r="P510" s="365"/>
      <c r="Q510" s="365"/>
      <c r="R510" s="365"/>
      <c r="S510" s="727"/>
      <c r="T510" s="728"/>
      <c r="Z510" s="251">
        <f>N510</f>
        <v>12960</v>
      </c>
      <c r="AA510" s="207">
        <v>12960</v>
      </c>
      <c r="AB510" s="251">
        <f>Z510-AA510</f>
        <v>0</v>
      </c>
      <c r="AC510" s="251">
        <f>AB510/60</f>
        <v>0</v>
      </c>
      <c r="AD510" s="308"/>
    </row>
    <row r="511" spans="2:30" ht="17.25" customHeight="1" thickBot="1" x14ac:dyDescent="0.3">
      <c r="B511" s="505" t="s">
        <v>1163</v>
      </c>
      <c r="C511" s="506"/>
      <c r="D511" s="506"/>
      <c r="E511" s="506"/>
      <c r="F511" s="506"/>
      <c r="G511" s="506"/>
      <c r="H511" s="506"/>
      <c r="I511" s="506"/>
      <c r="J511" s="506"/>
      <c r="K511" s="506"/>
      <c r="L511" s="506"/>
      <c r="M511" s="506"/>
      <c r="N511" s="506"/>
      <c r="O511" s="506"/>
      <c r="P511" s="506"/>
      <c r="Q511" s="506"/>
      <c r="R511" s="506"/>
      <c r="S511" s="506"/>
      <c r="T511" s="507"/>
      <c r="Z511" s="251"/>
      <c r="AB511" s="251"/>
      <c r="AC511" s="251"/>
      <c r="AD511" s="308"/>
    </row>
    <row r="512" spans="2:30" ht="24" customHeight="1" x14ac:dyDescent="0.25">
      <c r="B512" s="604">
        <v>15.11</v>
      </c>
      <c r="C512" s="729" t="s">
        <v>20</v>
      </c>
      <c r="D512" s="646" t="s">
        <v>55</v>
      </c>
      <c r="E512" s="730" t="s">
        <v>55</v>
      </c>
      <c r="F512" s="678" t="s">
        <v>55</v>
      </c>
      <c r="G512" s="573">
        <v>16</v>
      </c>
      <c r="H512" s="646">
        <v>49.3</v>
      </c>
      <c r="I512" s="285">
        <v>3.86</v>
      </c>
      <c r="J512" s="210">
        <f>H512*I512</f>
        <v>190.29799999999997</v>
      </c>
      <c r="K512" s="211" t="s">
        <v>558</v>
      </c>
      <c r="L512" s="295" t="s">
        <v>55</v>
      </c>
      <c r="M512" s="312" t="s">
        <v>55</v>
      </c>
      <c r="N512" s="210">
        <v>320</v>
      </c>
      <c r="O512" s="210">
        <v>320</v>
      </c>
      <c r="P512" s="388">
        <f t="shared" ref="P512" si="301">N512/J512</f>
        <v>1.6815731116459449</v>
      </c>
      <c r="Q512" s="388">
        <f t="shared" ref="Q512" si="302">O512/J512</f>
        <v>1.6815731116459449</v>
      </c>
      <c r="R512" s="409" t="s">
        <v>55</v>
      </c>
      <c r="S512" s="731" t="s">
        <v>254</v>
      </c>
      <c r="T512" s="606" t="s">
        <v>317</v>
      </c>
      <c r="Z512" s="251"/>
      <c r="AB512" s="251"/>
      <c r="AC512" s="251"/>
      <c r="AD512" s="308"/>
    </row>
    <row r="513" spans="2:46" ht="17.25" customHeight="1" x14ac:dyDescent="0.25">
      <c r="B513" s="679">
        <v>15.12</v>
      </c>
      <c r="C513" s="732" t="s">
        <v>16</v>
      </c>
      <c r="D513" s="586" t="s">
        <v>55</v>
      </c>
      <c r="E513" s="223" t="s">
        <v>55</v>
      </c>
      <c r="F513" s="713" t="s">
        <v>55</v>
      </c>
      <c r="G513" s="713" t="s">
        <v>55</v>
      </c>
      <c r="H513" s="733">
        <v>115.7</v>
      </c>
      <c r="I513" s="225">
        <v>3.86</v>
      </c>
      <c r="J513" s="226">
        <f>H513*I513</f>
        <v>446.60199999999998</v>
      </c>
      <c r="K513" s="216" t="s">
        <v>55</v>
      </c>
      <c r="L513" s="216" t="s">
        <v>55</v>
      </c>
      <c r="M513" s="216" t="s">
        <v>55</v>
      </c>
      <c r="N513" s="226">
        <v>780</v>
      </c>
      <c r="O513" s="226" t="s">
        <v>55</v>
      </c>
      <c r="P513" s="356">
        <f>N513/J513</f>
        <v>1.7465215113232813</v>
      </c>
      <c r="Q513" s="407" t="s">
        <v>55</v>
      </c>
      <c r="R513" s="408" t="s">
        <v>55</v>
      </c>
      <c r="S513" s="734" t="s">
        <v>254</v>
      </c>
      <c r="T513" s="674" t="s">
        <v>55</v>
      </c>
      <c r="Z513" s="251"/>
      <c r="AB513" s="251"/>
      <c r="AC513" s="251"/>
      <c r="AD513" s="308"/>
    </row>
    <row r="514" spans="2:46" ht="17.25" customHeight="1" x14ac:dyDescent="0.25">
      <c r="B514" s="679"/>
      <c r="C514" s="637" t="s">
        <v>771</v>
      </c>
      <c r="D514" s="721"/>
      <c r="E514" s="722"/>
      <c r="F514" s="713" t="s">
        <v>55</v>
      </c>
      <c r="G514" s="713" t="s">
        <v>55</v>
      </c>
      <c r="H514" s="662" t="s">
        <v>55</v>
      </c>
      <c r="I514" s="723" t="s">
        <v>55</v>
      </c>
      <c r="J514" s="215" t="s">
        <v>55</v>
      </c>
      <c r="K514" s="216" t="s">
        <v>55</v>
      </c>
      <c r="L514" s="216" t="s">
        <v>55</v>
      </c>
      <c r="M514" s="216" t="s">
        <v>55</v>
      </c>
      <c r="N514" s="216" t="s">
        <v>55</v>
      </c>
      <c r="O514" s="226">
        <v>1355</v>
      </c>
      <c r="P514" s="407" t="s">
        <v>55</v>
      </c>
      <c r="Q514" s="407" t="s">
        <v>55</v>
      </c>
      <c r="R514" s="408" t="s">
        <v>55</v>
      </c>
      <c r="S514" s="734"/>
      <c r="T514" s="674" t="s">
        <v>55</v>
      </c>
      <c r="Z514" s="251"/>
      <c r="AB514" s="251"/>
      <c r="AC514" s="251"/>
      <c r="AD514" s="308"/>
    </row>
    <row r="515" spans="2:46" ht="17.25" customHeight="1" x14ac:dyDescent="0.25">
      <c r="B515" s="679">
        <v>15.19</v>
      </c>
      <c r="C515" s="637" t="s">
        <v>16</v>
      </c>
      <c r="D515" s="586" t="s">
        <v>55</v>
      </c>
      <c r="E515" s="223" t="s">
        <v>55</v>
      </c>
      <c r="F515" s="713" t="s">
        <v>55</v>
      </c>
      <c r="G515" s="713" t="s">
        <v>55</v>
      </c>
      <c r="H515" s="662">
        <v>93.6</v>
      </c>
      <c r="I515" s="225">
        <v>3.86</v>
      </c>
      <c r="J515" s="226">
        <f t="shared" ref="J515:J516" si="303">H515*I515</f>
        <v>361.29599999999999</v>
      </c>
      <c r="K515" s="216" t="s">
        <v>55</v>
      </c>
      <c r="L515" s="216" t="s">
        <v>55</v>
      </c>
      <c r="M515" s="216" t="s">
        <v>55</v>
      </c>
      <c r="N515" s="215">
        <v>780</v>
      </c>
      <c r="O515" s="226" t="s">
        <v>55</v>
      </c>
      <c r="P515" s="356">
        <f t="shared" ref="P515:P516" si="304">N515/J515</f>
        <v>2.1588946459412779</v>
      </c>
      <c r="Q515" s="407" t="s">
        <v>55</v>
      </c>
      <c r="R515" s="408" t="s">
        <v>55</v>
      </c>
      <c r="S515" s="734" t="s">
        <v>254</v>
      </c>
      <c r="T515" s="674" t="s">
        <v>55</v>
      </c>
      <c r="Z515" s="251"/>
      <c r="AB515" s="411">
        <v>15.13</v>
      </c>
      <c r="AC515" s="412" t="s">
        <v>1157</v>
      </c>
      <c r="AD515" s="413" t="s">
        <v>305</v>
      </c>
      <c r="AE515" s="414"/>
      <c r="AF515" s="414"/>
      <c r="AG515" s="414"/>
      <c r="AH515" s="413">
        <v>4.3</v>
      </c>
      <c r="AI515" s="414"/>
      <c r="AJ515" s="415"/>
      <c r="AK515" s="414"/>
      <c r="AL515" s="416"/>
      <c r="AM515" s="417"/>
      <c r="AN515" s="418"/>
      <c r="AO515" s="418">
        <v>40</v>
      </c>
      <c r="AP515" s="418"/>
      <c r="AQ515" s="419"/>
      <c r="AR515" s="420"/>
      <c r="AS515" s="421"/>
      <c r="AT515" s="422" t="s">
        <v>345</v>
      </c>
    </row>
    <row r="516" spans="2:46" ht="17.25" customHeight="1" x14ac:dyDescent="0.25">
      <c r="B516" s="679">
        <v>15.21</v>
      </c>
      <c r="C516" s="637" t="s">
        <v>16</v>
      </c>
      <c r="D516" s="586" t="s">
        <v>55</v>
      </c>
      <c r="E516" s="223" t="s">
        <v>55</v>
      </c>
      <c r="F516" s="713" t="s">
        <v>55</v>
      </c>
      <c r="G516" s="713" t="s">
        <v>55</v>
      </c>
      <c r="H516" s="662">
        <v>57</v>
      </c>
      <c r="I516" s="225">
        <v>3.86</v>
      </c>
      <c r="J516" s="226">
        <f t="shared" si="303"/>
        <v>220.01999999999998</v>
      </c>
      <c r="K516" s="216" t="s">
        <v>55</v>
      </c>
      <c r="L516" s="216" t="s">
        <v>55</v>
      </c>
      <c r="M516" s="216" t="s">
        <v>55</v>
      </c>
      <c r="N516" s="215">
        <v>80</v>
      </c>
      <c r="O516" s="226" t="s">
        <v>55</v>
      </c>
      <c r="P516" s="356">
        <f t="shared" si="304"/>
        <v>0.36360330879011005</v>
      </c>
      <c r="Q516" s="407" t="s">
        <v>55</v>
      </c>
      <c r="R516" s="408" t="s">
        <v>55</v>
      </c>
      <c r="S516" s="734" t="s">
        <v>254</v>
      </c>
      <c r="T516" s="674" t="s">
        <v>55</v>
      </c>
      <c r="Z516" s="251"/>
      <c r="AB516" s="411">
        <v>15.14</v>
      </c>
      <c r="AC516" s="412" t="s">
        <v>304</v>
      </c>
      <c r="AD516" s="413" t="s">
        <v>305</v>
      </c>
      <c r="AE516" s="414"/>
      <c r="AF516" s="414"/>
      <c r="AG516" s="414"/>
      <c r="AH516" s="413">
        <v>3.8</v>
      </c>
      <c r="AI516" s="414"/>
      <c r="AJ516" s="415"/>
      <c r="AK516" s="414"/>
      <c r="AL516" s="416"/>
      <c r="AM516" s="417"/>
      <c r="AN516" s="418"/>
      <c r="AO516" s="418">
        <v>20</v>
      </c>
      <c r="AP516" s="418"/>
      <c r="AQ516" s="419"/>
      <c r="AR516" s="420"/>
      <c r="AS516" s="423"/>
      <c r="AT516" s="422" t="s">
        <v>352</v>
      </c>
    </row>
    <row r="517" spans="2:46" ht="24" customHeight="1" x14ac:dyDescent="0.25">
      <c r="B517" s="679">
        <v>15.22</v>
      </c>
      <c r="C517" s="637" t="s">
        <v>1158</v>
      </c>
      <c r="D517" s="586" t="s">
        <v>55</v>
      </c>
      <c r="E517" s="223" t="s">
        <v>55</v>
      </c>
      <c r="F517" s="215">
        <v>6</v>
      </c>
      <c r="G517" s="713" t="s">
        <v>55</v>
      </c>
      <c r="H517" s="662">
        <v>37.1</v>
      </c>
      <c r="I517" s="225">
        <v>3.86</v>
      </c>
      <c r="J517" s="226">
        <f t="shared" ref="J517" si="305">H517*I517</f>
        <v>143.20599999999999</v>
      </c>
      <c r="K517" s="216" t="s">
        <v>729</v>
      </c>
      <c r="L517" s="216" t="s">
        <v>55</v>
      </c>
      <c r="M517" s="216" t="s">
        <v>55</v>
      </c>
      <c r="N517" s="215">
        <v>360</v>
      </c>
      <c r="O517" s="215">
        <v>360</v>
      </c>
      <c r="P517" s="356">
        <f t="shared" ref="P517" si="306">N517/J517</f>
        <v>2.5138611510690896</v>
      </c>
      <c r="Q517" s="356">
        <f>O517/J517</f>
        <v>2.5138611510690896</v>
      </c>
      <c r="R517" s="713" t="s">
        <v>55</v>
      </c>
      <c r="S517" s="585" t="s">
        <v>254</v>
      </c>
      <c r="T517" s="520" t="s">
        <v>317</v>
      </c>
      <c r="Z517" s="251"/>
      <c r="AB517" s="411">
        <v>15.15</v>
      </c>
      <c r="AC517" s="412" t="s">
        <v>1141</v>
      </c>
      <c r="AD517" s="413" t="s">
        <v>1133</v>
      </c>
      <c r="AE517" s="414"/>
      <c r="AF517" s="414"/>
      <c r="AG517" s="414"/>
      <c r="AH517" s="413">
        <v>29.6</v>
      </c>
      <c r="AI517" s="414"/>
      <c r="AJ517" s="415"/>
      <c r="AK517" s="414"/>
      <c r="AL517" s="416"/>
      <c r="AM517" s="417"/>
      <c r="AN517" s="418"/>
      <c r="AO517" s="418">
        <v>600</v>
      </c>
      <c r="AP517" s="418"/>
      <c r="AQ517" s="419"/>
      <c r="AR517" s="420"/>
      <c r="AS517" s="423"/>
      <c r="AT517" s="422" t="s">
        <v>351</v>
      </c>
    </row>
    <row r="518" spans="2:46" ht="17.25" customHeight="1" x14ac:dyDescent="0.25">
      <c r="B518" s="679">
        <v>15.24</v>
      </c>
      <c r="C518" s="637" t="s">
        <v>720</v>
      </c>
      <c r="D518" s="662" t="s">
        <v>305</v>
      </c>
      <c r="E518" s="215" t="s">
        <v>55</v>
      </c>
      <c r="F518" s="215" t="s">
        <v>55</v>
      </c>
      <c r="G518" s="215" t="s">
        <v>55</v>
      </c>
      <c r="H518" s="662">
        <v>8.4</v>
      </c>
      <c r="I518" s="723" t="s">
        <v>55</v>
      </c>
      <c r="J518" s="215" t="s">
        <v>55</v>
      </c>
      <c r="K518" s="216" t="s">
        <v>55</v>
      </c>
      <c r="L518" s="216" t="s">
        <v>55</v>
      </c>
      <c r="M518" s="216" t="s">
        <v>55</v>
      </c>
      <c r="N518" s="215" t="s">
        <v>55</v>
      </c>
      <c r="O518" s="215">
        <v>30</v>
      </c>
      <c r="P518" s="713" t="s">
        <v>55</v>
      </c>
      <c r="Q518" s="713" t="s">
        <v>55</v>
      </c>
      <c r="R518" s="713" t="s">
        <v>55</v>
      </c>
      <c r="S518" s="558"/>
      <c r="T518" s="520" t="s">
        <v>330</v>
      </c>
      <c r="Z518" s="251"/>
      <c r="AB518" s="411">
        <v>15.16</v>
      </c>
      <c r="AC518" s="412" t="s">
        <v>1144</v>
      </c>
      <c r="AD518" s="413" t="s">
        <v>1133</v>
      </c>
      <c r="AE518" s="414"/>
      <c r="AF518" s="414"/>
      <c r="AG518" s="414"/>
      <c r="AH518" s="413">
        <v>25</v>
      </c>
      <c r="AI518" s="414"/>
      <c r="AJ518" s="415"/>
      <c r="AK518" s="414"/>
      <c r="AL518" s="416"/>
      <c r="AM518" s="417"/>
      <c r="AN518" s="418"/>
      <c r="AO518" s="418">
        <v>520</v>
      </c>
      <c r="AP518" s="418"/>
      <c r="AQ518" s="419"/>
      <c r="AR518" s="420"/>
      <c r="AS518" s="421"/>
      <c r="AT518" s="422" t="s">
        <v>349</v>
      </c>
    </row>
    <row r="519" spans="2:46" ht="17.25" customHeight="1" x14ac:dyDescent="0.25">
      <c r="B519" s="679">
        <v>15.25</v>
      </c>
      <c r="C519" s="637" t="s">
        <v>828</v>
      </c>
      <c r="D519" s="662" t="s">
        <v>1133</v>
      </c>
      <c r="E519" s="215" t="s">
        <v>55</v>
      </c>
      <c r="F519" s="215" t="s">
        <v>55</v>
      </c>
      <c r="G519" s="215" t="s">
        <v>55</v>
      </c>
      <c r="H519" s="662">
        <v>28.3</v>
      </c>
      <c r="I519" s="723" t="s">
        <v>55</v>
      </c>
      <c r="J519" s="215" t="s">
        <v>55</v>
      </c>
      <c r="K519" s="216" t="s">
        <v>55</v>
      </c>
      <c r="L519" s="216" t="s">
        <v>55</v>
      </c>
      <c r="M519" s="216" t="s">
        <v>55</v>
      </c>
      <c r="N519" s="215">
        <v>80</v>
      </c>
      <c r="O519" s="215">
        <v>80</v>
      </c>
      <c r="P519" s="713" t="s">
        <v>55</v>
      </c>
      <c r="Q519" s="713" t="s">
        <v>55</v>
      </c>
      <c r="R519" s="713" t="s">
        <v>55</v>
      </c>
      <c r="S519" s="585" t="s">
        <v>254</v>
      </c>
      <c r="T519" s="520" t="s">
        <v>348</v>
      </c>
      <c r="Z519" s="251"/>
      <c r="AB519" s="411">
        <v>15.17</v>
      </c>
      <c r="AC519" s="412" t="s">
        <v>1143</v>
      </c>
      <c r="AD519" s="413" t="s">
        <v>305</v>
      </c>
      <c r="AE519" s="414"/>
      <c r="AF519" s="414"/>
      <c r="AG519" s="414"/>
      <c r="AH519" s="413">
        <v>9</v>
      </c>
      <c r="AI519" s="414"/>
      <c r="AJ519" s="415"/>
      <c r="AK519" s="414"/>
      <c r="AL519" s="416"/>
      <c r="AM519" s="417"/>
      <c r="AN519" s="418"/>
      <c r="AO519" s="418">
        <v>75</v>
      </c>
      <c r="AP519" s="418"/>
      <c r="AQ519" s="419"/>
      <c r="AR519" s="420"/>
      <c r="AS519" s="421"/>
      <c r="AT519" s="422" t="s">
        <v>349</v>
      </c>
    </row>
    <row r="520" spans="2:46" ht="24" customHeight="1" x14ac:dyDescent="0.25">
      <c r="B520" s="679">
        <v>15.26</v>
      </c>
      <c r="C520" s="637" t="s">
        <v>1164</v>
      </c>
      <c r="D520" s="586" t="s">
        <v>55</v>
      </c>
      <c r="E520" s="223" t="s">
        <v>55</v>
      </c>
      <c r="F520" s="215">
        <v>18</v>
      </c>
      <c r="G520" s="713" t="s">
        <v>55</v>
      </c>
      <c r="H520" s="662">
        <v>184.8</v>
      </c>
      <c r="I520" s="225">
        <v>3.86</v>
      </c>
      <c r="J520" s="226">
        <f>H520*I520</f>
        <v>713.32799999999997</v>
      </c>
      <c r="K520" s="216" t="s">
        <v>729</v>
      </c>
      <c r="L520" s="216" t="s">
        <v>55</v>
      </c>
      <c r="M520" s="216" t="s">
        <v>55</v>
      </c>
      <c r="N520" s="215">
        <f>1380-60*5</f>
        <v>1080</v>
      </c>
      <c r="O520" s="215">
        <f>1380-60*5</f>
        <v>1080</v>
      </c>
      <c r="P520" s="356">
        <f>N520/J520</f>
        <v>1.5140300114393379</v>
      </c>
      <c r="Q520" s="356">
        <f>O520/J520</f>
        <v>1.5140300114393379</v>
      </c>
      <c r="R520" s="713" t="s">
        <v>55</v>
      </c>
      <c r="S520" s="585" t="s">
        <v>254</v>
      </c>
      <c r="T520" s="520" t="s">
        <v>317</v>
      </c>
      <c r="Z520" s="382" t="s">
        <v>1185</v>
      </c>
      <c r="AB520" s="411">
        <v>15.18</v>
      </c>
      <c r="AC520" s="412" t="s">
        <v>1142</v>
      </c>
      <c r="AD520" s="413" t="s">
        <v>1133</v>
      </c>
      <c r="AE520" s="414"/>
      <c r="AF520" s="414"/>
      <c r="AG520" s="414"/>
      <c r="AH520" s="413">
        <v>5.3</v>
      </c>
      <c r="AI520" s="414"/>
      <c r="AJ520" s="415"/>
      <c r="AK520" s="414"/>
      <c r="AL520" s="416"/>
      <c r="AM520" s="417"/>
      <c r="AN520" s="418"/>
      <c r="AO520" s="418">
        <v>50</v>
      </c>
      <c r="AP520" s="418"/>
      <c r="AQ520" s="419"/>
      <c r="AR520" s="420"/>
      <c r="AS520" s="423"/>
      <c r="AT520" s="422" t="s">
        <v>349</v>
      </c>
    </row>
    <row r="521" spans="2:46" ht="16.5" customHeight="1" x14ac:dyDescent="0.25">
      <c r="B521" s="679"/>
      <c r="C521" s="637" t="s">
        <v>1165</v>
      </c>
      <c r="D521" s="215" t="s">
        <v>55</v>
      </c>
      <c r="E521" s="215" t="s">
        <v>55</v>
      </c>
      <c r="F521" s="215" t="s">
        <v>55</v>
      </c>
      <c r="G521" s="215" t="s">
        <v>55</v>
      </c>
      <c r="H521" s="215" t="s">
        <v>55</v>
      </c>
      <c r="I521" s="215" t="s">
        <v>55</v>
      </c>
      <c r="J521" s="215" t="s">
        <v>55</v>
      </c>
      <c r="K521" s="713" t="s">
        <v>55</v>
      </c>
      <c r="L521" s="586" t="s">
        <v>55</v>
      </c>
      <c r="M521" s="223" t="s">
        <v>55</v>
      </c>
      <c r="N521" s="713" t="s">
        <v>55</v>
      </c>
      <c r="O521" s="713" t="s">
        <v>55</v>
      </c>
      <c r="P521" s="586" t="s">
        <v>55</v>
      </c>
      <c r="Q521" s="223" t="s">
        <v>55</v>
      </c>
      <c r="R521" s="713" t="s">
        <v>55</v>
      </c>
      <c r="S521" s="713" t="s">
        <v>55</v>
      </c>
      <c r="T521" s="717" t="s">
        <v>55</v>
      </c>
      <c r="AB521" s="205">
        <v>15.19</v>
      </c>
      <c r="AC521" s="348" t="s">
        <v>16</v>
      </c>
      <c r="AD521" s="290" t="s">
        <v>55</v>
      </c>
      <c r="AE521" s="223" t="s">
        <v>55</v>
      </c>
      <c r="AF521" s="314" t="s">
        <v>55</v>
      </c>
      <c r="AG521" s="314" t="s">
        <v>55</v>
      </c>
      <c r="AH521" s="289">
        <v>93.6</v>
      </c>
      <c r="AI521" s="225">
        <v>3.86</v>
      </c>
      <c r="AJ521" s="226">
        <f t="shared" ref="AJ521:AJ522" si="307">AH521*AI521</f>
        <v>361.29599999999999</v>
      </c>
      <c r="AK521" s="216" t="s">
        <v>55</v>
      </c>
      <c r="AL521" s="216" t="s">
        <v>55</v>
      </c>
      <c r="AM521" s="216" t="s">
        <v>55</v>
      </c>
      <c r="AN521" s="215">
        <v>780</v>
      </c>
      <c r="AO521" s="226" t="s">
        <v>55</v>
      </c>
      <c r="AP521" s="356">
        <f t="shared" ref="AP521:AP522" si="308">AN521/AJ521</f>
        <v>2.1588946459412779</v>
      </c>
      <c r="AQ521" s="407" t="s">
        <v>55</v>
      </c>
      <c r="AR521" s="408" t="s">
        <v>55</v>
      </c>
      <c r="AS521" s="410" t="s">
        <v>254</v>
      </c>
      <c r="AT521" s="292" t="s">
        <v>55</v>
      </c>
    </row>
    <row r="522" spans="2:46" ht="17.25" customHeight="1" x14ac:dyDescent="0.25">
      <c r="B522" s="679">
        <v>15.27</v>
      </c>
      <c r="C522" s="637" t="s">
        <v>1166</v>
      </c>
      <c r="D522" s="215" t="s">
        <v>55</v>
      </c>
      <c r="E522" s="215" t="s">
        <v>55</v>
      </c>
      <c r="F522" s="215" t="s">
        <v>55</v>
      </c>
      <c r="G522" s="215" t="s">
        <v>55</v>
      </c>
      <c r="H522" s="215">
        <v>168.5</v>
      </c>
      <c r="I522" s="225">
        <v>3.86</v>
      </c>
      <c r="J522" s="215">
        <f>H522*I522</f>
        <v>650.41</v>
      </c>
      <c r="K522" s="713" t="s">
        <v>55</v>
      </c>
      <c r="L522" s="586" t="s">
        <v>55</v>
      </c>
      <c r="M522" s="223" t="s">
        <v>55</v>
      </c>
      <c r="N522" s="215">
        <f>1440-60*5</f>
        <v>1140</v>
      </c>
      <c r="O522" s="215">
        <f>1440-60*5</f>
        <v>1140</v>
      </c>
      <c r="P522" s="356">
        <f t="shared" ref="P522" si="309">N522/J522</f>
        <v>1.752740579019388</v>
      </c>
      <c r="Q522" s="356">
        <f t="shared" ref="Q522:Q524" si="310">O522/J522</f>
        <v>1.752740579019388</v>
      </c>
      <c r="R522" s="713" t="s">
        <v>55</v>
      </c>
      <c r="S522" s="585" t="s">
        <v>254</v>
      </c>
      <c r="T522" s="520" t="s">
        <v>317</v>
      </c>
      <c r="Z522" s="382" t="s">
        <v>1185</v>
      </c>
      <c r="AB522" s="205">
        <v>15.21</v>
      </c>
      <c r="AC522" s="348" t="s">
        <v>16</v>
      </c>
      <c r="AD522" s="290" t="s">
        <v>55</v>
      </c>
      <c r="AE522" s="223" t="s">
        <v>55</v>
      </c>
      <c r="AF522" s="314" t="s">
        <v>55</v>
      </c>
      <c r="AG522" s="314" t="s">
        <v>55</v>
      </c>
      <c r="AH522" s="289">
        <v>57</v>
      </c>
      <c r="AI522" s="225">
        <v>3.86</v>
      </c>
      <c r="AJ522" s="226">
        <f t="shared" si="307"/>
        <v>220.01999999999998</v>
      </c>
      <c r="AK522" s="216" t="s">
        <v>55</v>
      </c>
      <c r="AL522" s="216" t="s">
        <v>55</v>
      </c>
      <c r="AM522" s="216" t="s">
        <v>55</v>
      </c>
      <c r="AN522" s="215">
        <v>80</v>
      </c>
      <c r="AO522" s="226" t="s">
        <v>55</v>
      </c>
      <c r="AP522" s="356">
        <f t="shared" si="308"/>
        <v>0.36360330879011005</v>
      </c>
      <c r="AQ522" s="407" t="s">
        <v>55</v>
      </c>
      <c r="AR522" s="408" t="s">
        <v>55</v>
      </c>
      <c r="AS522" s="410" t="s">
        <v>254</v>
      </c>
      <c r="AT522" s="292" t="s">
        <v>55</v>
      </c>
    </row>
    <row r="523" spans="2:46" ht="17.25" customHeight="1" x14ac:dyDescent="0.25">
      <c r="B523" s="679"/>
      <c r="C523" s="637" t="s">
        <v>1095</v>
      </c>
      <c r="D523" s="215" t="s">
        <v>55</v>
      </c>
      <c r="E523" s="215" t="s">
        <v>55</v>
      </c>
      <c r="F523" s="215" t="s">
        <v>55</v>
      </c>
      <c r="G523" s="215" t="s">
        <v>55</v>
      </c>
      <c r="H523" s="215" t="s">
        <v>55</v>
      </c>
      <c r="I523" s="215" t="s">
        <v>55</v>
      </c>
      <c r="J523" s="215" t="s">
        <v>55</v>
      </c>
      <c r="K523" s="713" t="s">
        <v>55</v>
      </c>
      <c r="L523" s="713" t="s">
        <v>55</v>
      </c>
      <c r="M523" s="713" t="s">
        <v>55</v>
      </c>
      <c r="N523" s="713" t="s">
        <v>55</v>
      </c>
      <c r="O523" s="713" t="s">
        <v>55</v>
      </c>
      <c r="P523" s="713" t="s">
        <v>55</v>
      </c>
      <c r="Q523" s="713" t="s">
        <v>55</v>
      </c>
      <c r="R523" s="713" t="s">
        <v>55</v>
      </c>
      <c r="S523" s="713" t="s">
        <v>55</v>
      </c>
      <c r="T523" s="735" t="s">
        <v>55</v>
      </c>
      <c r="Z523" s="251"/>
      <c r="AB523" s="411">
        <v>15.23</v>
      </c>
      <c r="AC523" s="412" t="s">
        <v>1145</v>
      </c>
      <c r="AD523" s="413" t="s">
        <v>305</v>
      </c>
      <c r="AE523" s="414"/>
      <c r="AF523" s="414"/>
      <c r="AG523" s="414"/>
      <c r="AH523" s="413">
        <v>6.7</v>
      </c>
      <c r="AI523" s="414"/>
      <c r="AJ523" s="415"/>
      <c r="AK523" s="414"/>
      <c r="AL523" s="416"/>
      <c r="AM523" s="417"/>
      <c r="AN523" s="418"/>
      <c r="AO523" s="418">
        <v>50</v>
      </c>
      <c r="AP523" s="418"/>
      <c r="AQ523" s="419"/>
      <c r="AR523" s="420"/>
      <c r="AS523" s="423"/>
      <c r="AT523" s="422" t="s">
        <v>355</v>
      </c>
    </row>
    <row r="524" spans="2:46" ht="17.25" customHeight="1" x14ac:dyDescent="0.25">
      <c r="B524" s="679">
        <v>15.28</v>
      </c>
      <c r="C524" s="637" t="s">
        <v>551</v>
      </c>
      <c r="D524" s="215" t="s">
        <v>55</v>
      </c>
      <c r="E524" s="215" t="s">
        <v>55</v>
      </c>
      <c r="F524" s="215" t="s">
        <v>55</v>
      </c>
      <c r="G524" s="215" t="s">
        <v>55</v>
      </c>
      <c r="H524" s="215">
        <v>4.5</v>
      </c>
      <c r="I524" s="225">
        <v>3.86</v>
      </c>
      <c r="J524" s="215">
        <f>H524*I524</f>
        <v>17.37</v>
      </c>
      <c r="K524" s="713" t="s">
        <v>55</v>
      </c>
      <c r="L524" s="214">
        <v>1</v>
      </c>
      <c r="M524" s="713" t="s">
        <v>55</v>
      </c>
      <c r="N524" s="713" t="s">
        <v>55</v>
      </c>
      <c r="O524" s="215">
        <v>20</v>
      </c>
      <c r="P524" s="713" t="s">
        <v>55</v>
      </c>
      <c r="Q524" s="356">
        <f t="shared" si="310"/>
        <v>1.1514104778353482</v>
      </c>
      <c r="R524" s="713" t="s">
        <v>55</v>
      </c>
      <c r="S524" s="713" t="s">
        <v>55</v>
      </c>
      <c r="T524" s="520" t="s">
        <v>317</v>
      </c>
      <c r="Z524" s="251"/>
      <c r="AA524"/>
      <c r="AB524" s="411">
        <v>15.24</v>
      </c>
      <c r="AC524" s="412" t="s">
        <v>720</v>
      </c>
      <c r="AD524" s="413" t="s">
        <v>305</v>
      </c>
      <c r="AE524" s="414"/>
      <c r="AF524" s="414"/>
      <c r="AG524" s="414"/>
      <c r="AH524" s="413">
        <v>8.4</v>
      </c>
      <c r="AI524" s="414"/>
      <c r="AJ524" s="415"/>
      <c r="AK524" s="414"/>
      <c r="AL524" s="416"/>
      <c r="AM524" s="417"/>
      <c r="AN524" s="418" t="s">
        <v>55</v>
      </c>
      <c r="AO524" s="418">
        <v>30</v>
      </c>
      <c r="AP524" s="418"/>
      <c r="AQ524" s="419"/>
      <c r="AR524" s="420"/>
      <c r="AS524" s="421"/>
      <c r="AT524" s="422" t="s">
        <v>330</v>
      </c>
    </row>
    <row r="525" spans="2:46" ht="23.25" customHeight="1" x14ac:dyDescent="0.25">
      <c r="B525" s="679">
        <v>15.29</v>
      </c>
      <c r="C525" s="637" t="s">
        <v>689</v>
      </c>
      <c r="D525" s="215" t="s">
        <v>55</v>
      </c>
      <c r="E525" s="215" t="s">
        <v>55</v>
      </c>
      <c r="F525" s="215">
        <v>2</v>
      </c>
      <c r="G525" s="215" t="s">
        <v>55</v>
      </c>
      <c r="H525" s="215">
        <v>14.1</v>
      </c>
      <c r="I525" s="225">
        <v>3.86</v>
      </c>
      <c r="J525" s="215">
        <f>H525*I525</f>
        <v>54.425999999999995</v>
      </c>
      <c r="K525" s="216" t="s">
        <v>729</v>
      </c>
      <c r="L525" s="214" t="s">
        <v>55</v>
      </c>
      <c r="M525" s="713" t="s">
        <v>55</v>
      </c>
      <c r="N525" s="215">
        <v>120</v>
      </c>
      <c r="O525" s="215">
        <v>120</v>
      </c>
      <c r="P525" s="356">
        <f t="shared" ref="P525" si="311">N525/J525</f>
        <v>2.2048285745783267</v>
      </c>
      <c r="Q525" s="356">
        <f t="shared" ref="Q525" si="312">O525/J525</f>
        <v>2.2048285745783267</v>
      </c>
      <c r="R525" s="713" t="s">
        <v>55</v>
      </c>
      <c r="S525" s="585" t="s">
        <v>254</v>
      </c>
      <c r="T525" s="520" t="s">
        <v>317</v>
      </c>
      <c r="Z525" s="251"/>
      <c r="AA525"/>
      <c r="AB525" s="411">
        <v>15.25</v>
      </c>
      <c r="AC525" s="412" t="s">
        <v>828</v>
      </c>
      <c r="AD525" s="413" t="s">
        <v>1133</v>
      </c>
      <c r="AE525" s="414"/>
      <c r="AF525" s="414"/>
      <c r="AG525" s="414"/>
      <c r="AH525" s="413">
        <v>28.3</v>
      </c>
      <c r="AI525" s="414"/>
      <c r="AJ525" s="415"/>
      <c r="AK525" s="414"/>
      <c r="AL525" s="416"/>
      <c r="AM525" s="417"/>
      <c r="AN525" s="418">
        <v>80</v>
      </c>
      <c r="AO525" s="418">
        <v>80</v>
      </c>
      <c r="AP525" s="418"/>
      <c r="AQ525" s="419"/>
      <c r="AR525" s="420"/>
      <c r="AS525" s="423" t="s">
        <v>254</v>
      </c>
      <c r="AT525" s="422" t="s">
        <v>348</v>
      </c>
    </row>
    <row r="526" spans="2:46" ht="26.25" customHeight="1" x14ac:dyDescent="0.25">
      <c r="B526" s="679"/>
      <c r="C526" s="637" t="s">
        <v>1167</v>
      </c>
      <c r="D526" s="215" t="s">
        <v>55</v>
      </c>
      <c r="E526" s="215" t="s">
        <v>55</v>
      </c>
      <c r="F526" s="215" t="s">
        <v>55</v>
      </c>
      <c r="G526" s="215" t="s">
        <v>55</v>
      </c>
      <c r="H526" s="215" t="s">
        <v>55</v>
      </c>
      <c r="I526" s="215" t="s">
        <v>55</v>
      </c>
      <c r="J526" s="215" t="s">
        <v>55</v>
      </c>
      <c r="K526" s="713" t="s">
        <v>55</v>
      </c>
      <c r="L526" s="214" t="s">
        <v>55</v>
      </c>
      <c r="M526" s="713" t="s">
        <v>55</v>
      </c>
      <c r="N526" s="713" t="s">
        <v>55</v>
      </c>
      <c r="O526" s="713" t="s">
        <v>55</v>
      </c>
      <c r="P526" s="713" t="s">
        <v>55</v>
      </c>
      <c r="Q526" s="713" t="s">
        <v>55</v>
      </c>
      <c r="R526" s="713" t="s">
        <v>55</v>
      </c>
      <c r="S526" s="713" t="s">
        <v>55</v>
      </c>
      <c r="T526" s="735" t="s">
        <v>55</v>
      </c>
      <c r="Z526" s="251"/>
      <c r="AB526" s="251"/>
      <c r="AC526" s="251"/>
      <c r="AD526" s="308"/>
    </row>
    <row r="527" spans="2:46" ht="23.25" customHeight="1" x14ac:dyDescent="0.25">
      <c r="B527" s="679">
        <v>15.3</v>
      </c>
      <c r="C527" s="637" t="s">
        <v>1168</v>
      </c>
      <c r="D527" s="215" t="s">
        <v>55</v>
      </c>
      <c r="E527" s="215" t="s">
        <v>55</v>
      </c>
      <c r="F527" s="215">
        <v>8</v>
      </c>
      <c r="G527" s="215" t="s">
        <v>55</v>
      </c>
      <c r="H527" s="215">
        <v>53.4</v>
      </c>
      <c r="I527" s="225">
        <v>3.86</v>
      </c>
      <c r="J527" s="215">
        <f>H527*I527</f>
        <v>206.124</v>
      </c>
      <c r="K527" s="216" t="s">
        <v>729</v>
      </c>
      <c r="L527" s="214" t="s">
        <v>55</v>
      </c>
      <c r="M527" s="713" t="s">
        <v>55</v>
      </c>
      <c r="N527" s="215">
        <v>480</v>
      </c>
      <c r="O527" s="215">
        <v>480</v>
      </c>
      <c r="P527" s="713" t="s">
        <v>55</v>
      </c>
      <c r="Q527" s="713" t="s">
        <v>55</v>
      </c>
      <c r="R527" s="713" t="s">
        <v>55</v>
      </c>
      <c r="S527" s="585" t="s">
        <v>254</v>
      </c>
      <c r="T527" s="520" t="s">
        <v>317</v>
      </c>
      <c r="Z527" s="251"/>
      <c r="AB527" s="251"/>
      <c r="AC527" s="251"/>
      <c r="AD527" s="308"/>
      <c r="AN527" s="344">
        <f>SUM(AN521:AN524)</f>
        <v>860</v>
      </c>
      <c r="AO527" s="344">
        <f>SUM(AO515:AO523)</f>
        <v>1355</v>
      </c>
    </row>
    <row r="528" spans="2:46" ht="17.25" customHeight="1" x14ac:dyDescent="0.25">
      <c r="B528" s="679"/>
      <c r="C528" s="637" t="s">
        <v>1169</v>
      </c>
      <c r="D528" s="215" t="s">
        <v>55</v>
      </c>
      <c r="E528" s="215" t="s">
        <v>55</v>
      </c>
      <c r="F528" s="215" t="s">
        <v>55</v>
      </c>
      <c r="G528" s="215" t="s">
        <v>55</v>
      </c>
      <c r="H528" s="215" t="s">
        <v>55</v>
      </c>
      <c r="I528" s="215" t="s">
        <v>55</v>
      </c>
      <c r="J528" s="215" t="s">
        <v>55</v>
      </c>
      <c r="K528" s="713" t="s">
        <v>55</v>
      </c>
      <c r="L528" s="214" t="s">
        <v>55</v>
      </c>
      <c r="M528" s="713" t="s">
        <v>55</v>
      </c>
      <c r="N528" s="713" t="s">
        <v>55</v>
      </c>
      <c r="O528" s="713" t="s">
        <v>55</v>
      </c>
      <c r="P528" s="713" t="s">
        <v>55</v>
      </c>
      <c r="Q528" s="713" t="s">
        <v>55</v>
      </c>
      <c r="R528" s="713" t="s">
        <v>55</v>
      </c>
      <c r="S528" s="713" t="s">
        <v>55</v>
      </c>
      <c r="T528" s="735" t="s">
        <v>55</v>
      </c>
      <c r="Z528" s="251"/>
      <c r="AB528" s="251"/>
      <c r="AC528" s="251"/>
      <c r="AD528" s="308"/>
    </row>
    <row r="529" spans="2:30" ht="35.25" customHeight="1" x14ac:dyDescent="0.25">
      <c r="B529" s="679">
        <v>15.31</v>
      </c>
      <c r="C529" s="637" t="s">
        <v>1170</v>
      </c>
      <c r="D529" s="215" t="s">
        <v>55</v>
      </c>
      <c r="E529" s="215" t="s">
        <v>55</v>
      </c>
      <c r="F529" s="215">
        <v>1</v>
      </c>
      <c r="G529" s="215">
        <v>2</v>
      </c>
      <c r="H529" s="215">
        <v>22</v>
      </c>
      <c r="I529" s="225">
        <v>3.86</v>
      </c>
      <c r="J529" s="215">
        <f>H529*I529</f>
        <v>84.92</v>
      </c>
      <c r="K529" s="216" t="s">
        <v>670</v>
      </c>
      <c r="L529" s="214" t="s">
        <v>55</v>
      </c>
      <c r="M529" s="713" t="s">
        <v>55</v>
      </c>
      <c r="N529" s="215">
        <v>100</v>
      </c>
      <c r="O529" s="215">
        <v>100</v>
      </c>
      <c r="P529" s="356">
        <f t="shared" ref="P529" si="313">N529/J529</f>
        <v>1.1775788977861517</v>
      </c>
      <c r="Q529" s="356">
        <f t="shared" ref="Q529" si="314">O529/J529</f>
        <v>1.1775788977861517</v>
      </c>
      <c r="R529" s="713" t="s">
        <v>55</v>
      </c>
      <c r="S529" s="585" t="s">
        <v>254</v>
      </c>
      <c r="T529" s="520" t="s">
        <v>317</v>
      </c>
      <c r="Z529" s="251"/>
      <c r="AB529" s="251"/>
      <c r="AC529" s="251"/>
      <c r="AD529" s="308"/>
    </row>
    <row r="530" spans="2:30" ht="17.25" customHeight="1" x14ac:dyDescent="0.25">
      <c r="B530" s="679"/>
      <c r="C530" s="637" t="s">
        <v>633</v>
      </c>
      <c r="D530" s="215" t="s">
        <v>55</v>
      </c>
      <c r="E530" s="215" t="s">
        <v>55</v>
      </c>
      <c r="F530" s="215" t="s">
        <v>55</v>
      </c>
      <c r="G530" s="215" t="s">
        <v>55</v>
      </c>
      <c r="H530" s="215" t="s">
        <v>55</v>
      </c>
      <c r="I530" s="215" t="s">
        <v>55</v>
      </c>
      <c r="J530" s="215" t="s">
        <v>55</v>
      </c>
      <c r="K530" s="713" t="s">
        <v>55</v>
      </c>
      <c r="L530" s="214" t="s">
        <v>55</v>
      </c>
      <c r="M530" s="713" t="s">
        <v>55</v>
      </c>
      <c r="N530" s="713" t="s">
        <v>55</v>
      </c>
      <c r="O530" s="713" t="s">
        <v>55</v>
      </c>
      <c r="P530" s="713" t="s">
        <v>55</v>
      </c>
      <c r="Q530" s="713" t="s">
        <v>55</v>
      </c>
      <c r="R530" s="713" t="s">
        <v>55</v>
      </c>
      <c r="S530" s="713" t="s">
        <v>55</v>
      </c>
      <c r="T530" s="735" t="s">
        <v>55</v>
      </c>
      <c r="Z530" s="251"/>
      <c r="AB530" s="251"/>
      <c r="AC530" s="251"/>
      <c r="AD530" s="308"/>
    </row>
    <row r="531" spans="2:30" ht="38.25" customHeight="1" x14ac:dyDescent="0.25">
      <c r="B531" s="679">
        <v>15.32</v>
      </c>
      <c r="C531" s="637" t="s">
        <v>1159</v>
      </c>
      <c r="D531" s="215" t="s">
        <v>55</v>
      </c>
      <c r="E531" s="215" t="s">
        <v>55</v>
      </c>
      <c r="F531" s="215">
        <v>1</v>
      </c>
      <c r="G531" s="215">
        <v>2</v>
      </c>
      <c r="H531" s="215">
        <v>10.1</v>
      </c>
      <c r="I531" s="225">
        <v>3.86</v>
      </c>
      <c r="J531" s="215">
        <f>H531*I531</f>
        <v>38.985999999999997</v>
      </c>
      <c r="K531" s="216" t="s">
        <v>670</v>
      </c>
      <c r="L531" s="214" t="s">
        <v>55</v>
      </c>
      <c r="M531" s="713" t="s">
        <v>55</v>
      </c>
      <c r="N531" s="215">
        <v>80</v>
      </c>
      <c r="O531" s="215">
        <v>80</v>
      </c>
      <c r="P531" s="356">
        <f t="shared" ref="P531" si="315">N531/J531</f>
        <v>2.0520186733699277</v>
      </c>
      <c r="Q531" s="356">
        <f t="shared" ref="Q531" si="316">O531/J531</f>
        <v>2.0520186733699277</v>
      </c>
      <c r="R531" s="713" t="s">
        <v>55</v>
      </c>
      <c r="S531" s="585" t="s">
        <v>254</v>
      </c>
      <c r="T531" s="520" t="s">
        <v>317</v>
      </c>
      <c r="Z531" s="251"/>
      <c r="AB531" s="251"/>
      <c r="AC531" s="251"/>
      <c r="AD531" s="308"/>
    </row>
    <row r="532" spans="2:30" ht="39.75" customHeight="1" x14ac:dyDescent="0.25">
      <c r="B532" s="679">
        <v>15.33</v>
      </c>
      <c r="C532" s="637" t="s">
        <v>1079</v>
      </c>
      <c r="D532" s="215" t="s">
        <v>55</v>
      </c>
      <c r="E532" s="215" t="s">
        <v>55</v>
      </c>
      <c r="F532" s="215">
        <v>1</v>
      </c>
      <c r="G532" s="215">
        <v>2</v>
      </c>
      <c r="H532" s="215">
        <v>27.6</v>
      </c>
      <c r="I532" s="225">
        <v>3.86</v>
      </c>
      <c r="J532" s="215">
        <f>H532*I532</f>
        <v>106.536</v>
      </c>
      <c r="K532" s="216" t="s">
        <v>670</v>
      </c>
      <c r="L532" s="214" t="s">
        <v>55</v>
      </c>
      <c r="M532" s="713" t="s">
        <v>55</v>
      </c>
      <c r="N532" s="215">
        <v>100</v>
      </c>
      <c r="O532" s="215">
        <v>85</v>
      </c>
      <c r="P532" s="356">
        <f t="shared" ref="P532" si="317">N532/J532</f>
        <v>0.93864984606142521</v>
      </c>
      <c r="Q532" s="356">
        <f t="shared" ref="Q532" si="318">O532/J532</f>
        <v>0.79785236915221147</v>
      </c>
      <c r="R532" s="713" t="s">
        <v>55</v>
      </c>
      <c r="S532" s="585" t="s">
        <v>254</v>
      </c>
      <c r="T532" s="520" t="s">
        <v>317</v>
      </c>
      <c r="Z532" s="251"/>
      <c r="AB532" s="251"/>
      <c r="AC532" s="251"/>
      <c r="AD532" s="308"/>
    </row>
    <row r="533" spans="2:30" ht="17.25" customHeight="1" x14ac:dyDescent="0.25">
      <c r="B533" s="679"/>
      <c r="C533" s="637" t="s">
        <v>542</v>
      </c>
      <c r="D533" s="215" t="s">
        <v>55</v>
      </c>
      <c r="E533" s="215" t="s">
        <v>55</v>
      </c>
      <c r="F533" s="215" t="s">
        <v>55</v>
      </c>
      <c r="G533" s="215" t="s">
        <v>55</v>
      </c>
      <c r="H533" s="215" t="s">
        <v>55</v>
      </c>
      <c r="I533" s="215" t="s">
        <v>55</v>
      </c>
      <c r="J533" s="215" t="s">
        <v>55</v>
      </c>
      <c r="K533" s="713" t="s">
        <v>55</v>
      </c>
      <c r="L533" s="214" t="s">
        <v>55</v>
      </c>
      <c r="M533" s="713" t="s">
        <v>55</v>
      </c>
      <c r="N533" s="713" t="s">
        <v>55</v>
      </c>
      <c r="O533" s="713" t="s">
        <v>55</v>
      </c>
      <c r="P533" s="713" t="s">
        <v>55</v>
      </c>
      <c r="Q533" s="713" t="s">
        <v>55</v>
      </c>
      <c r="R533" s="713" t="s">
        <v>55</v>
      </c>
      <c r="S533" s="713" t="s">
        <v>55</v>
      </c>
      <c r="T533" s="735" t="s">
        <v>55</v>
      </c>
      <c r="Z533" s="251"/>
      <c r="AB533" s="251"/>
      <c r="AC533" s="251"/>
      <c r="AD533" s="308"/>
    </row>
    <row r="534" spans="2:30" ht="33" customHeight="1" x14ac:dyDescent="0.25">
      <c r="B534" s="679">
        <v>15.34</v>
      </c>
      <c r="C534" s="637" t="s">
        <v>541</v>
      </c>
      <c r="D534" s="215" t="s">
        <v>55</v>
      </c>
      <c r="E534" s="215" t="s">
        <v>55</v>
      </c>
      <c r="F534" s="215">
        <v>1</v>
      </c>
      <c r="G534" s="215">
        <v>6</v>
      </c>
      <c r="H534" s="215">
        <v>40.6</v>
      </c>
      <c r="I534" s="225">
        <v>3.86</v>
      </c>
      <c r="J534" s="215">
        <f>H534*I534</f>
        <v>156.71600000000001</v>
      </c>
      <c r="K534" s="216" t="s">
        <v>670</v>
      </c>
      <c r="L534" s="214" t="s">
        <v>55</v>
      </c>
      <c r="M534" s="713" t="s">
        <v>55</v>
      </c>
      <c r="N534" s="215">
        <v>180</v>
      </c>
      <c r="O534" s="215">
        <v>180</v>
      </c>
      <c r="P534" s="356">
        <f t="shared" ref="P534" si="319">N534/J534</f>
        <v>1.1485744914367391</v>
      </c>
      <c r="Q534" s="356">
        <f t="shared" ref="Q534" si="320">O534/J534</f>
        <v>1.1485744914367391</v>
      </c>
      <c r="R534" s="713" t="s">
        <v>55</v>
      </c>
      <c r="S534" s="585" t="s">
        <v>254</v>
      </c>
      <c r="T534" s="520" t="s">
        <v>317</v>
      </c>
      <c r="Z534" s="251"/>
      <c r="AB534" s="251"/>
      <c r="AC534" s="251"/>
      <c r="AD534" s="308"/>
    </row>
    <row r="535" spans="2:30" ht="17.25" customHeight="1" x14ac:dyDescent="0.25">
      <c r="B535" s="679"/>
      <c r="C535" s="637" t="s">
        <v>633</v>
      </c>
      <c r="D535" s="215" t="s">
        <v>55</v>
      </c>
      <c r="E535" s="215" t="s">
        <v>55</v>
      </c>
      <c r="F535" s="215" t="s">
        <v>55</v>
      </c>
      <c r="G535" s="215" t="s">
        <v>55</v>
      </c>
      <c r="H535" s="215" t="s">
        <v>55</v>
      </c>
      <c r="I535" s="215" t="s">
        <v>55</v>
      </c>
      <c r="J535" s="215" t="s">
        <v>55</v>
      </c>
      <c r="K535" s="215" t="s">
        <v>55</v>
      </c>
      <c r="L535" s="215" t="s">
        <v>55</v>
      </c>
      <c r="M535" s="215" t="s">
        <v>55</v>
      </c>
      <c r="N535" s="215" t="s">
        <v>55</v>
      </c>
      <c r="O535" s="215" t="s">
        <v>55</v>
      </c>
      <c r="P535" s="215" t="s">
        <v>55</v>
      </c>
      <c r="Q535" s="215" t="s">
        <v>55</v>
      </c>
      <c r="R535" s="215" t="s">
        <v>55</v>
      </c>
      <c r="S535" s="215" t="s">
        <v>55</v>
      </c>
      <c r="T535" s="425" t="s">
        <v>55</v>
      </c>
      <c r="U535" s="424" t="s">
        <v>55</v>
      </c>
      <c r="V535" s="215" t="s">
        <v>55</v>
      </c>
      <c r="W535" s="215" t="s">
        <v>55</v>
      </c>
      <c r="Z535" s="251"/>
      <c r="AB535" s="251"/>
      <c r="AC535" s="251"/>
      <c r="AD535" s="308"/>
    </row>
    <row r="536" spans="2:30" ht="33.75" customHeight="1" x14ac:dyDescent="0.25">
      <c r="B536" s="679">
        <v>15.35</v>
      </c>
      <c r="C536" s="637" t="s">
        <v>728</v>
      </c>
      <c r="D536" s="215" t="s">
        <v>55</v>
      </c>
      <c r="E536" s="215" t="s">
        <v>55</v>
      </c>
      <c r="F536" s="215">
        <v>32</v>
      </c>
      <c r="G536" s="215"/>
      <c r="H536" s="215">
        <v>316.39999999999998</v>
      </c>
      <c r="I536" s="235">
        <v>3.86</v>
      </c>
      <c r="J536" s="215">
        <f t="shared" ref="J536:J544" si="321">H536*I536</f>
        <v>1221.3039999999999</v>
      </c>
      <c r="K536" s="216" t="s">
        <v>729</v>
      </c>
      <c r="L536" s="214" t="s">
        <v>55</v>
      </c>
      <c r="M536" s="713" t="s">
        <v>55</v>
      </c>
      <c r="N536" s="215">
        <f>-60*12+2640</f>
        <v>1920</v>
      </c>
      <c r="O536" s="215">
        <f>-60*12+2530</f>
        <v>1810</v>
      </c>
      <c r="P536" s="356">
        <f t="shared" ref="P536" si="322">N536/J536</f>
        <v>1.57209015937064</v>
      </c>
      <c r="Q536" s="356">
        <f t="shared" ref="Q536" si="323">O536/J536</f>
        <v>1.4820224939900304</v>
      </c>
      <c r="R536" s="713" t="s">
        <v>55</v>
      </c>
      <c r="S536" s="585" t="s">
        <v>254</v>
      </c>
      <c r="T536" s="520" t="s">
        <v>317</v>
      </c>
      <c r="Z536" s="382" t="s">
        <v>1186</v>
      </c>
      <c r="AB536" s="251"/>
      <c r="AC536" s="251"/>
      <c r="AD536" s="308"/>
    </row>
    <row r="537" spans="2:30" ht="37.5" customHeight="1" x14ac:dyDescent="0.25">
      <c r="B537" s="679">
        <v>15.36</v>
      </c>
      <c r="C537" s="637" t="s">
        <v>1160</v>
      </c>
      <c r="D537" s="215" t="s">
        <v>55</v>
      </c>
      <c r="E537" s="215" t="s">
        <v>55</v>
      </c>
      <c r="F537" s="215">
        <v>1</v>
      </c>
      <c r="G537" s="215">
        <v>2</v>
      </c>
      <c r="H537" s="215">
        <v>15.6</v>
      </c>
      <c r="I537" s="235">
        <v>3.86</v>
      </c>
      <c r="J537" s="215">
        <f t="shared" si="321"/>
        <v>60.215999999999994</v>
      </c>
      <c r="K537" s="216" t="s">
        <v>670</v>
      </c>
      <c r="L537" s="214" t="s">
        <v>55</v>
      </c>
      <c r="M537" s="713" t="s">
        <v>55</v>
      </c>
      <c r="N537" s="215">
        <v>100</v>
      </c>
      <c r="O537" s="215">
        <v>100</v>
      </c>
      <c r="P537" s="356">
        <f t="shared" ref="P537:P539" si="324">N537/J537</f>
        <v>1.6606881891855987</v>
      </c>
      <c r="Q537" s="356">
        <f t="shared" ref="Q537:Q540" si="325">O537/J537</f>
        <v>1.6606881891855987</v>
      </c>
      <c r="R537" s="713" t="s">
        <v>55</v>
      </c>
      <c r="S537" s="585" t="s">
        <v>254</v>
      </c>
      <c r="T537" s="520" t="s">
        <v>317</v>
      </c>
      <c r="Z537" s="251"/>
      <c r="AB537" s="251"/>
      <c r="AC537" s="251"/>
      <c r="AD537" s="308"/>
    </row>
    <row r="538" spans="2:30" ht="34.5" customHeight="1" x14ac:dyDescent="0.25">
      <c r="B538" s="679">
        <v>15.37</v>
      </c>
      <c r="C538" s="637" t="s">
        <v>20</v>
      </c>
      <c r="D538" s="215" t="s">
        <v>55</v>
      </c>
      <c r="E538" s="215" t="s">
        <v>55</v>
      </c>
      <c r="F538" s="215" t="s">
        <v>55</v>
      </c>
      <c r="G538" s="215">
        <v>5</v>
      </c>
      <c r="H538" s="215">
        <v>9.5</v>
      </c>
      <c r="I538" s="235">
        <v>3.86</v>
      </c>
      <c r="J538" s="215">
        <f t="shared" si="321"/>
        <v>36.67</v>
      </c>
      <c r="K538" s="216" t="s">
        <v>558</v>
      </c>
      <c r="L538" s="214" t="s">
        <v>55</v>
      </c>
      <c r="M538" s="713" t="s">
        <v>55</v>
      </c>
      <c r="N538" s="215">
        <v>100</v>
      </c>
      <c r="O538" s="215">
        <v>100</v>
      </c>
      <c r="P538" s="356">
        <f t="shared" si="324"/>
        <v>2.7270248159258248</v>
      </c>
      <c r="Q538" s="356">
        <f t="shared" si="325"/>
        <v>2.7270248159258248</v>
      </c>
      <c r="R538" s="713" t="s">
        <v>55</v>
      </c>
      <c r="S538" s="585" t="s">
        <v>254</v>
      </c>
      <c r="T538" s="520" t="s">
        <v>317</v>
      </c>
      <c r="Z538" s="251"/>
      <c r="AB538" s="251"/>
      <c r="AC538" s="251"/>
      <c r="AD538" s="308"/>
    </row>
    <row r="539" spans="2:30" ht="36" customHeight="1" x14ac:dyDescent="0.25">
      <c r="B539" s="679">
        <v>15.38</v>
      </c>
      <c r="C539" s="637" t="s">
        <v>20</v>
      </c>
      <c r="D539" s="215" t="s">
        <v>55</v>
      </c>
      <c r="E539" s="215" t="s">
        <v>55</v>
      </c>
      <c r="F539" s="215" t="s">
        <v>55</v>
      </c>
      <c r="G539" s="215">
        <v>7</v>
      </c>
      <c r="H539" s="215">
        <v>12.9</v>
      </c>
      <c r="I539" s="235">
        <v>3.86</v>
      </c>
      <c r="J539" s="215">
        <f t="shared" si="321"/>
        <v>49.793999999999997</v>
      </c>
      <c r="K539" s="216" t="s">
        <v>558</v>
      </c>
      <c r="L539" s="214" t="s">
        <v>55</v>
      </c>
      <c r="M539" s="713" t="s">
        <v>55</v>
      </c>
      <c r="N539" s="215">
        <v>140</v>
      </c>
      <c r="O539" s="215">
        <v>140</v>
      </c>
      <c r="P539" s="356">
        <f t="shared" si="324"/>
        <v>2.811583724946781</v>
      </c>
      <c r="Q539" s="356">
        <f t="shared" si="325"/>
        <v>2.811583724946781</v>
      </c>
      <c r="R539" s="713" t="s">
        <v>55</v>
      </c>
      <c r="S539" s="585" t="s">
        <v>254</v>
      </c>
      <c r="T539" s="520" t="s">
        <v>317</v>
      </c>
      <c r="Z539" s="251"/>
      <c r="AB539" s="251"/>
      <c r="AC539" s="251"/>
      <c r="AD539" s="308"/>
    </row>
    <row r="540" spans="2:30" ht="17.25" customHeight="1" x14ac:dyDescent="0.25">
      <c r="B540" s="679">
        <v>15.39</v>
      </c>
      <c r="C540" s="637" t="s">
        <v>54</v>
      </c>
      <c r="D540" s="215" t="s">
        <v>303</v>
      </c>
      <c r="E540" s="215" t="s">
        <v>55</v>
      </c>
      <c r="F540" s="215" t="s">
        <v>55</v>
      </c>
      <c r="G540" s="215" t="s">
        <v>55</v>
      </c>
      <c r="H540" s="215">
        <v>9.4</v>
      </c>
      <c r="I540" s="235">
        <v>3.86</v>
      </c>
      <c r="J540" s="215">
        <f t="shared" si="321"/>
        <v>36.283999999999999</v>
      </c>
      <c r="K540" s="586" t="s">
        <v>55</v>
      </c>
      <c r="L540" s="214">
        <v>1</v>
      </c>
      <c r="M540" s="215" t="s">
        <v>55</v>
      </c>
      <c r="N540" s="215" t="s">
        <v>55</v>
      </c>
      <c r="O540" s="215">
        <v>35</v>
      </c>
      <c r="P540" s="215" t="s">
        <v>55</v>
      </c>
      <c r="Q540" s="356">
        <f t="shared" si="325"/>
        <v>0.96461250137801791</v>
      </c>
      <c r="R540" s="713" t="s">
        <v>55</v>
      </c>
      <c r="S540" s="585" t="s">
        <v>55</v>
      </c>
      <c r="T540" s="520" t="s">
        <v>317</v>
      </c>
      <c r="Z540" s="251"/>
      <c r="AA540"/>
      <c r="AB540" s="251"/>
      <c r="AC540" s="251"/>
      <c r="AD540" s="308"/>
    </row>
    <row r="541" spans="2:30" ht="34.5" customHeight="1" x14ac:dyDescent="0.25">
      <c r="B541" s="679">
        <v>15.4</v>
      </c>
      <c r="C541" s="637" t="s">
        <v>551</v>
      </c>
      <c r="D541" s="215" t="s">
        <v>55</v>
      </c>
      <c r="E541" s="215" t="s">
        <v>55</v>
      </c>
      <c r="F541" s="215" t="s">
        <v>55</v>
      </c>
      <c r="G541" s="215" t="s">
        <v>55</v>
      </c>
      <c r="H541" s="662">
        <v>4.9000000000000004</v>
      </c>
      <c r="I541" s="235">
        <v>3.86</v>
      </c>
      <c r="J541" s="215">
        <f t="shared" si="321"/>
        <v>18.914000000000001</v>
      </c>
      <c r="K541" s="586" t="s">
        <v>55</v>
      </c>
      <c r="L541" s="214" t="s">
        <v>55</v>
      </c>
      <c r="M541" s="215" t="s">
        <v>55</v>
      </c>
      <c r="N541" s="215" t="s">
        <v>55</v>
      </c>
      <c r="O541" s="215">
        <v>20</v>
      </c>
      <c r="P541" s="215" t="s">
        <v>55</v>
      </c>
      <c r="Q541" s="356">
        <f t="shared" ref="Q541:Q542" si="326">O541/J541</f>
        <v>1.0574177857671565</v>
      </c>
      <c r="R541" s="713" t="s">
        <v>55</v>
      </c>
      <c r="S541" s="585" t="s">
        <v>55</v>
      </c>
      <c r="T541" s="520" t="s">
        <v>317</v>
      </c>
      <c r="Z541" s="251"/>
      <c r="AB541" s="251"/>
      <c r="AC541" s="251"/>
      <c r="AD541" s="308"/>
    </row>
    <row r="542" spans="2:30" ht="17.25" customHeight="1" x14ac:dyDescent="0.25">
      <c r="B542" s="679">
        <v>15.41</v>
      </c>
      <c r="C542" s="637" t="s">
        <v>553</v>
      </c>
      <c r="D542" s="215" t="s">
        <v>55</v>
      </c>
      <c r="E542" s="215" t="s">
        <v>55</v>
      </c>
      <c r="F542" s="215" t="s">
        <v>55</v>
      </c>
      <c r="G542" s="215" t="s">
        <v>55</v>
      </c>
      <c r="H542" s="662">
        <v>4.4000000000000004</v>
      </c>
      <c r="I542" s="235">
        <v>3.86</v>
      </c>
      <c r="J542" s="215">
        <f t="shared" si="321"/>
        <v>16.984000000000002</v>
      </c>
      <c r="K542" s="586" t="s">
        <v>55</v>
      </c>
      <c r="L542" s="214" t="s">
        <v>55</v>
      </c>
      <c r="M542" s="215" t="s">
        <v>55</v>
      </c>
      <c r="N542" s="215" t="s">
        <v>55</v>
      </c>
      <c r="O542" s="215">
        <v>20</v>
      </c>
      <c r="P542" s="215" t="s">
        <v>55</v>
      </c>
      <c r="Q542" s="356">
        <f t="shared" si="326"/>
        <v>1.1775788977861517</v>
      </c>
      <c r="R542" s="713" t="s">
        <v>55</v>
      </c>
      <c r="S542" s="585" t="s">
        <v>55</v>
      </c>
      <c r="T542" s="520" t="s">
        <v>317</v>
      </c>
      <c r="Z542" s="251"/>
      <c r="AB542" s="251"/>
      <c r="AC542" s="251"/>
      <c r="AD542" s="308"/>
    </row>
    <row r="543" spans="2:30" ht="35.25" customHeight="1" x14ac:dyDescent="0.25">
      <c r="B543" s="679">
        <v>15.42</v>
      </c>
      <c r="C543" s="637" t="s">
        <v>85</v>
      </c>
      <c r="D543" s="215" t="s">
        <v>55</v>
      </c>
      <c r="E543" s="215" t="s">
        <v>55</v>
      </c>
      <c r="F543" s="215">
        <v>1</v>
      </c>
      <c r="G543" s="215">
        <v>2</v>
      </c>
      <c r="H543" s="662">
        <v>30</v>
      </c>
      <c r="I543" s="235">
        <v>3.86</v>
      </c>
      <c r="J543" s="215">
        <f t="shared" si="321"/>
        <v>115.8</v>
      </c>
      <c r="K543" s="216" t="s">
        <v>670</v>
      </c>
      <c r="L543" s="214" t="s">
        <v>55</v>
      </c>
      <c r="M543" s="215" t="s">
        <v>55</v>
      </c>
      <c r="N543" s="215">
        <v>100</v>
      </c>
      <c r="O543" s="215">
        <v>60</v>
      </c>
      <c r="P543" s="215" t="s">
        <v>55</v>
      </c>
      <c r="Q543" s="356">
        <f t="shared" ref="Q543:Q544" si="327">O543/J543</f>
        <v>0.5181347150259068</v>
      </c>
      <c r="R543" s="713" t="s">
        <v>55</v>
      </c>
      <c r="S543" s="585" t="s">
        <v>254</v>
      </c>
      <c r="T543" s="520" t="s">
        <v>317</v>
      </c>
      <c r="Z543" s="251"/>
      <c r="AB543" s="251"/>
      <c r="AC543" s="251"/>
      <c r="AD543" s="308"/>
    </row>
    <row r="544" spans="2:30" ht="37.5" customHeight="1" x14ac:dyDescent="0.25">
      <c r="B544" s="679">
        <v>15.43</v>
      </c>
      <c r="C544" s="637" t="s">
        <v>665</v>
      </c>
      <c r="D544" s="215" t="s">
        <v>55</v>
      </c>
      <c r="E544" s="215" t="s">
        <v>55</v>
      </c>
      <c r="F544" s="215">
        <v>1</v>
      </c>
      <c r="G544" s="215">
        <v>2</v>
      </c>
      <c r="H544" s="662">
        <v>21.7</v>
      </c>
      <c r="I544" s="235">
        <v>3.86</v>
      </c>
      <c r="J544" s="215">
        <f t="shared" si="321"/>
        <v>83.762</v>
      </c>
      <c r="K544" s="216" t="s">
        <v>670</v>
      </c>
      <c r="L544" s="214" t="s">
        <v>55</v>
      </c>
      <c r="M544" s="215" t="s">
        <v>55</v>
      </c>
      <c r="N544" s="215">
        <v>100</v>
      </c>
      <c r="O544" s="215">
        <v>100</v>
      </c>
      <c r="P544" s="356">
        <f t="shared" ref="P544" si="328">N544/J544</f>
        <v>1.1938587903822735</v>
      </c>
      <c r="Q544" s="356">
        <f t="shared" si="327"/>
        <v>1.1938587903822735</v>
      </c>
      <c r="R544" s="713" t="s">
        <v>55</v>
      </c>
      <c r="S544" s="585" t="s">
        <v>254</v>
      </c>
      <c r="T544" s="520" t="s">
        <v>317</v>
      </c>
      <c r="Z544" s="251"/>
      <c r="AB544" s="251"/>
      <c r="AC544" s="251"/>
      <c r="AD544" s="308"/>
    </row>
    <row r="545" spans="2:30" ht="25.5" customHeight="1" x14ac:dyDescent="0.25">
      <c r="B545" s="679"/>
      <c r="C545" s="637" t="s">
        <v>624</v>
      </c>
      <c r="D545" s="215" t="s">
        <v>55</v>
      </c>
      <c r="E545" s="215" t="s">
        <v>55</v>
      </c>
      <c r="F545" s="215" t="s">
        <v>55</v>
      </c>
      <c r="G545" s="215" t="s">
        <v>55</v>
      </c>
      <c r="H545" s="215" t="s">
        <v>55</v>
      </c>
      <c r="I545" s="215" t="s">
        <v>55</v>
      </c>
      <c r="J545" s="215" t="s">
        <v>55</v>
      </c>
      <c r="K545" s="215" t="s">
        <v>55</v>
      </c>
      <c r="L545" s="214" t="s">
        <v>55</v>
      </c>
      <c r="M545" s="215" t="s">
        <v>55</v>
      </c>
      <c r="N545" s="215" t="s">
        <v>55</v>
      </c>
      <c r="O545" s="215" t="s">
        <v>55</v>
      </c>
      <c r="P545" s="215" t="s">
        <v>55</v>
      </c>
      <c r="Q545" s="215" t="s">
        <v>55</v>
      </c>
      <c r="R545" s="215" t="s">
        <v>55</v>
      </c>
      <c r="S545" s="215" t="s">
        <v>55</v>
      </c>
      <c r="T545" s="425" t="s">
        <v>55</v>
      </c>
      <c r="Z545" s="251"/>
      <c r="AB545" s="251"/>
      <c r="AC545" s="251"/>
      <c r="AD545" s="308"/>
    </row>
    <row r="546" spans="2:30" ht="27" customHeight="1" x14ac:dyDescent="0.25">
      <c r="B546" s="679">
        <v>15.44</v>
      </c>
      <c r="C546" s="637" t="s">
        <v>1183</v>
      </c>
      <c r="D546" s="215" t="s">
        <v>55</v>
      </c>
      <c r="E546" s="215" t="s">
        <v>55</v>
      </c>
      <c r="F546" s="215"/>
      <c r="G546" s="215">
        <v>4</v>
      </c>
      <c r="H546" s="662">
        <v>19.399999999999999</v>
      </c>
      <c r="I546" s="235">
        <v>3.86</v>
      </c>
      <c r="J546" s="215">
        <f>H546*I546</f>
        <v>74.883999999999986</v>
      </c>
      <c r="K546" s="216" t="s">
        <v>558</v>
      </c>
      <c r="L546" s="214" t="s">
        <v>55</v>
      </c>
      <c r="M546" s="215" t="s">
        <v>55</v>
      </c>
      <c r="N546" s="215">
        <v>40</v>
      </c>
      <c r="O546" s="215">
        <v>80</v>
      </c>
      <c r="P546" s="356">
        <f t="shared" ref="P546" si="329">N546/J546</f>
        <v>0.53415950002670809</v>
      </c>
      <c r="Q546" s="356">
        <f t="shared" ref="Q546" si="330">O546/J546</f>
        <v>1.0683190000534162</v>
      </c>
      <c r="R546" s="713" t="s">
        <v>55</v>
      </c>
      <c r="S546" s="585" t="s">
        <v>254</v>
      </c>
      <c r="T546" s="520" t="s">
        <v>317</v>
      </c>
      <c r="Z546" s="251"/>
      <c r="AB546" s="251"/>
      <c r="AC546" s="251"/>
      <c r="AD546" s="308"/>
    </row>
    <row r="547" spans="2:30" ht="17.25" customHeight="1" x14ac:dyDescent="0.25">
      <c r="B547" s="679"/>
      <c r="C547" s="637" t="s">
        <v>1184</v>
      </c>
      <c r="D547" s="215" t="s">
        <v>55</v>
      </c>
      <c r="E547" s="215" t="s">
        <v>55</v>
      </c>
      <c r="F547" s="215" t="s">
        <v>55</v>
      </c>
      <c r="G547" s="215" t="s">
        <v>55</v>
      </c>
      <c r="H547" s="215" t="s">
        <v>55</v>
      </c>
      <c r="I547" s="215" t="s">
        <v>55</v>
      </c>
      <c r="J547" s="215" t="s">
        <v>55</v>
      </c>
      <c r="K547" s="215" t="s">
        <v>55</v>
      </c>
      <c r="L547" s="215" t="s">
        <v>55</v>
      </c>
      <c r="M547" s="215" t="s">
        <v>55</v>
      </c>
      <c r="N547" s="215" t="s">
        <v>55</v>
      </c>
      <c r="O547" s="215" t="s">
        <v>55</v>
      </c>
      <c r="P547" s="215" t="s">
        <v>55</v>
      </c>
      <c r="Q547" s="215" t="s">
        <v>55</v>
      </c>
      <c r="R547" s="713" t="s">
        <v>55</v>
      </c>
      <c r="S547" s="215" t="s">
        <v>55</v>
      </c>
      <c r="T547" s="425" t="s">
        <v>55</v>
      </c>
      <c r="Z547" s="251"/>
      <c r="AB547" s="251"/>
      <c r="AC547" s="251"/>
      <c r="AD547" s="308"/>
    </row>
    <row r="548" spans="2:30" ht="33" customHeight="1" x14ac:dyDescent="0.25">
      <c r="B548" s="679">
        <v>15.45</v>
      </c>
      <c r="C548" s="637" t="s">
        <v>1171</v>
      </c>
      <c r="D548" s="215" t="s">
        <v>55</v>
      </c>
      <c r="E548" s="215" t="s">
        <v>55</v>
      </c>
      <c r="F548" s="215">
        <v>1</v>
      </c>
      <c r="G548" s="215">
        <v>2</v>
      </c>
      <c r="H548" s="662">
        <v>21.4</v>
      </c>
      <c r="I548" s="225">
        <v>3.86</v>
      </c>
      <c r="J548" s="215">
        <f>H548*I548</f>
        <v>82.603999999999985</v>
      </c>
      <c r="K548" s="216" t="s">
        <v>670</v>
      </c>
      <c r="L548" s="214" t="s">
        <v>55</v>
      </c>
      <c r="M548" s="215" t="s">
        <v>55</v>
      </c>
      <c r="N548" s="215">
        <v>100</v>
      </c>
      <c r="O548" s="215">
        <v>100</v>
      </c>
      <c r="P548" s="356">
        <f t="shared" ref="P548" si="331">N548/J548</f>
        <v>1.2105951285652028</v>
      </c>
      <c r="Q548" s="356">
        <f t="shared" ref="Q548:Q552" si="332">O548/J548</f>
        <v>1.2105951285652028</v>
      </c>
      <c r="R548" s="713" t="s">
        <v>55</v>
      </c>
      <c r="S548" s="585" t="s">
        <v>254</v>
      </c>
      <c r="T548" s="520" t="s">
        <v>317</v>
      </c>
      <c r="Z548" s="251"/>
      <c r="AB548" s="251"/>
      <c r="AC548" s="251"/>
      <c r="AD548" s="308"/>
    </row>
    <row r="549" spans="2:30" ht="17.25" customHeight="1" x14ac:dyDescent="0.25">
      <c r="B549" s="679"/>
      <c r="C549" s="637" t="s">
        <v>1172</v>
      </c>
      <c r="D549" s="215" t="s">
        <v>55</v>
      </c>
      <c r="E549" s="215" t="s">
        <v>55</v>
      </c>
      <c r="F549" s="215" t="s">
        <v>55</v>
      </c>
      <c r="G549" s="215" t="s">
        <v>55</v>
      </c>
      <c r="H549" s="215" t="s">
        <v>55</v>
      </c>
      <c r="I549" s="215" t="s">
        <v>55</v>
      </c>
      <c r="J549" s="215" t="s">
        <v>55</v>
      </c>
      <c r="K549" s="215" t="s">
        <v>55</v>
      </c>
      <c r="L549" s="215" t="s">
        <v>55</v>
      </c>
      <c r="M549" s="215" t="s">
        <v>55</v>
      </c>
      <c r="N549" s="215" t="s">
        <v>55</v>
      </c>
      <c r="O549" s="215" t="s">
        <v>55</v>
      </c>
      <c r="P549" s="215" t="s">
        <v>55</v>
      </c>
      <c r="Q549" s="215" t="s">
        <v>55</v>
      </c>
      <c r="R549" s="713" t="s">
        <v>55</v>
      </c>
      <c r="S549" s="215" t="s">
        <v>55</v>
      </c>
      <c r="T549" s="425" t="s">
        <v>55</v>
      </c>
      <c r="Z549" s="251"/>
      <c r="AB549" s="251"/>
      <c r="AC549" s="251"/>
      <c r="AD549" s="308"/>
    </row>
    <row r="550" spans="2:30" ht="34.5" customHeight="1" x14ac:dyDescent="0.25">
      <c r="B550" s="679">
        <v>15.46</v>
      </c>
      <c r="C550" s="637" t="s">
        <v>54</v>
      </c>
      <c r="D550" s="662" t="s">
        <v>303</v>
      </c>
      <c r="E550" s="215" t="s">
        <v>55</v>
      </c>
      <c r="F550" s="215"/>
      <c r="G550" s="215"/>
      <c r="H550" s="662">
        <v>9.3000000000000007</v>
      </c>
      <c r="I550" s="225">
        <v>3.86</v>
      </c>
      <c r="J550" s="215">
        <f>H550*I550</f>
        <v>35.898000000000003</v>
      </c>
      <c r="K550" s="713" t="s">
        <v>55</v>
      </c>
      <c r="L550" s="214">
        <v>1</v>
      </c>
      <c r="M550" s="713" t="s">
        <v>55</v>
      </c>
      <c r="N550" s="713" t="s">
        <v>55</v>
      </c>
      <c r="O550" s="215">
        <v>35</v>
      </c>
      <c r="P550" s="215" t="s">
        <v>55</v>
      </c>
      <c r="Q550" s="356">
        <f t="shared" si="332"/>
        <v>0.97498467881218998</v>
      </c>
      <c r="R550" s="713" t="s">
        <v>55</v>
      </c>
      <c r="S550" s="215" t="s">
        <v>55</v>
      </c>
      <c r="T550" s="520" t="s">
        <v>317</v>
      </c>
      <c r="Z550" s="251"/>
      <c r="AB550" s="251"/>
      <c r="AC550" s="251"/>
      <c r="AD550" s="308"/>
    </row>
    <row r="551" spans="2:30" ht="14.25" x14ac:dyDescent="0.25">
      <c r="B551" s="679">
        <v>15.47</v>
      </c>
      <c r="C551" s="637" t="s">
        <v>1047</v>
      </c>
      <c r="D551" s="215" t="s">
        <v>55</v>
      </c>
      <c r="E551" s="215" t="s">
        <v>55</v>
      </c>
      <c r="F551" s="215"/>
      <c r="G551" s="215"/>
      <c r="H551" s="662">
        <v>3.6</v>
      </c>
      <c r="I551" s="225">
        <v>3.86</v>
      </c>
      <c r="J551" s="215">
        <f>H551*I551</f>
        <v>13.895999999999999</v>
      </c>
      <c r="K551" s="713" t="s">
        <v>55</v>
      </c>
      <c r="L551" s="214">
        <v>1</v>
      </c>
      <c r="M551" s="713" t="s">
        <v>55</v>
      </c>
      <c r="N551" s="713" t="s">
        <v>55</v>
      </c>
      <c r="O551" s="215">
        <v>15</v>
      </c>
      <c r="P551" s="215" t="s">
        <v>55</v>
      </c>
      <c r="Q551" s="356">
        <f t="shared" si="332"/>
        <v>1.0794473229706392</v>
      </c>
      <c r="R551" s="713" t="s">
        <v>55</v>
      </c>
      <c r="S551" s="215" t="s">
        <v>55</v>
      </c>
      <c r="T551" s="520" t="s">
        <v>317</v>
      </c>
      <c r="Z551" s="251"/>
      <c r="AB551" s="251"/>
      <c r="AC551" s="251"/>
      <c r="AD551" s="308"/>
    </row>
    <row r="552" spans="2:30" ht="21" customHeight="1" x14ac:dyDescent="0.25">
      <c r="B552" s="679">
        <v>15.48</v>
      </c>
      <c r="C552" s="637" t="s">
        <v>1173</v>
      </c>
      <c r="D552" s="215" t="s">
        <v>55</v>
      </c>
      <c r="E552" s="215" t="s">
        <v>55</v>
      </c>
      <c r="F552" s="215">
        <v>1</v>
      </c>
      <c r="G552" s="215"/>
      <c r="H552" s="662">
        <v>10</v>
      </c>
      <c r="I552" s="225">
        <v>3.86</v>
      </c>
      <c r="J552" s="215">
        <f>H552*I552</f>
        <v>38.6</v>
      </c>
      <c r="K552" s="216" t="s">
        <v>729</v>
      </c>
      <c r="L552" s="215" t="s">
        <v>55</v>
      </c>
      <c r="M552" s="215" t="s">
        <v>55</v>
      </c>
      <c r="N552" s="215">
        <v>60</v>
      </c>
      <c r="O552" s="215">
        <v>60</v>
      </c>
      <c r="P552" s="356">
        <f t="shared" ref="P552" si="333">N552/J552</f>
        <v>1.5544041450777202</v>
      </c>
      <c r="Q552" s="356">
        <f t="shared" si="332"/>
        <v>1.5544041450777202</v>
      </c>
      <c r="R552" s="713" t="s">
        <v>55</v>
      </c>
      <c r="S552" s="585" t="s">
        <v>254</v>
      </c>
      <c r="T552" s="520" t="s">
        <v>317</v>
      </c>
      <c r="Z552" s="251"/>
      <c r="AB552" s="251"/>
      <c r="AC552" s="251"/>
      <c r="AD552" s="308"/>
    </row>
    <row r="553" spans="2:30" ht="23.25" customHeight="1" x14ac:dyDescent="0.25">
      <c r="B553" s="679"/>
      <c r="C553" s="637" t="s">
        <v>633</v>
      </c>
      <c r="D553" s="215" t="s">
        <v>55</v>
      </c>
      <c r="E553" s="215" t="s">
        <v>55</v>
      </c>
      <c r="F553" s="215" t="s">
        <v>55</v>
      </c>
      <c r="G553" s="215" t="s">
        <v>55</v>
      </c>
      <c r="H553" s="215" t="s">
        <v>55</v>
      </c>
      <c r="I553" s="215" t="s">
        <v>55</v>
      </c>
      <c r="J553" s="215" t="s">
        <v>55</v>
      </c>
      <c r="K553" s="215" t="s">
        <v>55</v>
      </c>
      <c r="L553" s="215" t="s">
        <v>55</v>
      </c>
      <c r="M553" s="215" t="s">
        <v>55</v>
      </c>
      <c r="N553" s="215" t="s">
        <v>55</v>
      </c>
      <c r="O553" s="215" t="s">
        <v>55</v>
      </c>
      <c r="P553" s="215" t="s">
        <v>55</v>
      </c>
      <c r="Q553" s="215" t="s">
        <v>55</v>
      </c>
      <c r="R553" s="713" t="s">
        <v>55</v>
      </c>
      <c r="S553" s="215" t="s">
        <v>55</v>
      </c>
      <c r="T553" s="425" t="s">
        <v>55</v>
      </c>
      <c r="Z553" s="251"/>
      <c r="AB553" s="251"/>
      <c r="AC553" s="251"/>
      <c r="AD553" s="308"/>
    </row>
    <row r="554" spans="2:30" ht="33.75" customHeight="1" x14ac:dyDescent="0.25">
      <c r="B554" s="679">
        <v>15.49</v>
      </c>
      <c r="C554" s="637" t="s">
        <v>136</v>
      </c>
      <c r="D554" s="215" t="s">
        <v>55</v>
      </c>
      <c r="E554" s="215" t="s">
        <v>55</v>
      </c>
      <c r="F554" s="215">
        <v>1</v>
      </c>
      <c r="G554" s="215">
        <v>2</v>
      </c>
      <c r="H554" s="662">
        <v>13.2</v>
      </c>
      <c r="I554" s="225">
        <v>3.86</v>
      </c>
      <c r="J554" s="215">
        <f>H554*I554</f>
        <v>50.951999999999998</v>
      </c>
      <c r="K554" s="216" t="s">
        <v>670</v>
      </c>
      <c r="L554" s="215" t="s">
        <v>55</v>
      </c>
      <c r="M554" s="215" t="s">
        <v>55</v>
      </c>
      <c r="N554" s="215">
        <v>100</v>
      </c>
      <c r="O554" s="215">
        <v>100</v>
      </c>
      <c r="P554" s="356">
        <f t="shared" ref="P554:P558" si="334">N554/J554</f>
        <v>1.9626314963102529</v>
      </c>
      <c r="Q554" s="356">
        <f t="shared" ref="Q554:Q558" si="335">O554/J554</f>
        <v>1.9626314963102529</v>
      </c>
      <c r="R554" s="713" t="s">
        <v>55</v>
      </c>
      <c r="S554" s="585" t="s">
        <v>254</v>
      </c>
      <c r="T554" s="520" t="s">
        <v>317</v>
      </c>
      <c r="Z554" s="251"/>
      <c r="AB554" s="251"/>
      <c r="AC554" s="251"/>
      <c r="AD554" s="308"/>
    </row>
    <row r="555" spans="2:30" ht="39.75" customHeight="1" x14ac:dyDescent="0.25">
      <c r="B555" s="679">
        <v>15.5</v>
      </c>
      <c r="C555" s="637" t="s">
        <v>551</v>
      </c>
      <c r="D555" s="215" t="s">
        <v>55</v>
      </c>
      <c r="E555" s="215" t="s">
        <v>55</v>
      </c>
      <c r="F555" s="215"/>
      <c r="G555" s="215"/>
      <c r="H555" s="662">
        <v>5.5</v>
      </c>
      <c r="I555" s="225">
        <v>3.86</v>
      </c>
      <c r="J555" s="215">
        <f>H555*I555</f>
        <v>21.23</v>
      </c>
      <c r="K555" s="713" t="s">
        <v>55</v>
      </c>
      <c r="L555" s="214">
        <v>1</v>
      </c>
      <c r="M555" s="713" t="s">
        <v>55</v>
      </c>
      <c r="N555" s="713" t="s">
        <v>55</v>
      </c>
      <c r="O555" s="215">
        <v>20</v>
      </c>
      <c r="P555" s="356"/>
      <c r="Q555" s="356">
        <f t="shared" si="335"/>
        <v>0.9420631182289213</v>
      </c>
      <c r="R555" s="713" t="s">
        <v>55</v>
      </c>
      <c r="S555" s="585"/>
      <c r="T555" s="520" t="s">
        <v>317</v>
      </c>
      <c r="Z555" s="251"/>
      <c r="AB555" s="251"/>
      <c r="AC555" s="251"/>
      <c r="AD555" s="308"/>
    </row>
    <row r="556" spans="2:30" ht="25.5" customHeight="1" x14ac:dyDescent="0.25">
      <c r="B556" s="679">
        <v>15.51</v>
      </c>
      <c r="C556" s="637" t="s">
        <v>20</v>
      </c>
      <c r="D556" s="215" t="s">
        <v>55</v>
      </c>
      <c r="E556" s="215" t="s">
        <v>55</v>
      </c>
      <c r="F556" s="215"/>
      <c r="G556" s="215">
        <v>7</v>
      </c>
      <c r="H556" s="662">
        <v>10.3</v>
      </c>
      <c r="I556" s="225">
        <v>3.86</v>
      </c>
      <c r="J556" s="215">
        <f>H556*I556</f>
        <v>39.758000000000003</v>
      </c>
      <c r="K556" s="216" t="s">
        <v>558</v>
      </c>
      <c r="L556" s="214" t="s">
        <v>55</v>
      </c>
      <c r="M556" s="215" t="s">
        <v>55</v>
      </c>
      <c r="N556" s="215">
        <v>140</v>
      </c>
      <c r="O556" s="215">
        <v>140</v>
      </c>
      <c r="P556" s="356">
        <f t="shared" si="334"/>
        <v>3.5213038885255794</v>
      </c>
      <c r="Q556" s="356">
        <f t="shared" si="335"/>
        <v>3.5213038885255794</v>
      </c>
      <c r="R556" s="713" t="s">
        <v>55</v>
      </c>
      <c r="S556" s="585" t="s">
        <v>254</v>
      </c>
      <c r="T556" s="520" t="s">
        <v>317</v>
      </c>
      <c r="Z556" s="251"/>
      <c r="AB556" s="251"/>
      <c r="AC556" s="251"/>
      <c r="AD556" s="308"/>
    </row>
    <row r="557" spans="2:30" ht="27.75" customHeight="1" x14ac:dyDescent="0.25">
      <c r="B557" s="679">
        <v>15.52</v>
      </c>
      <c r="C557" s="637" t="s">
        <v>20</v>
      </c>
      <c r="D557" s="215" t="s">
        <v>55</v>
      </c>
      <c r="E557" s="215" t="s">
        <v>55</v>
      </c>
      <c r="F557" s="215"/>
      <c r="G557" s="215">
        <v>7</v>
      </c>
      <c r="H557" s="662">
        <v>10.6</v>
      </c>
      <c r="I557" s="225">
        <v>3.86</v>
      </c>
      <c r="J557" s="215">
        <f>H557*I557</f>
        <v>40.915999999999997</v>
      </c>
      <c r="K557" s="216" t="s">
        <v>558</v>
      </c>
      <c r="L557" s="214" t="s">
        <v>55</v>
      </c>
      <c r="M557" s="215" t="s">
        <v>55</v>
      </c>
      <c r="N557" s="215">
        <v>140</v>
      </c>
      <c r="O557" s="215">
        <v>140</v>
      </c>
      <c r="P557" s="356">
        <f t="shared" si="334"/>
        <v>3.421644344510705</v>
      </c>
      <c r="Q557" s="356">
        <f t="shared" si="335"/>
        <v>3.421644344510705</v>
      </c>
      <c r="R557" s="713" t="s">
        <v>55</v>
      </c>
      <c r="S557" s="585" t="s">
        <v>254</v>
      </c>
      <c r="T557" s="520" t="s">
        <v>317</v>
      </c>
      <c r="Z557" s="251"/>
      <c r="AB557" s="251"/>
      <c r="AC557" s="251"/>
      <c r="AD557" s="308"/>
    </row>
    <row r="558" spans="2:30" ht="38.25" customHeight="1" x14ac:dyDescent="0.25">
      <c r="B558" s="679">
        <v>15.53</v>
      </c>
      <c r="C558" s="637" t="s">
        <v>665</v>
      </c>
      <c r="D558" s="215" t="s">
        <v>55</v>
      </c>
      <c r="E558" s="215" t="s">
        <v>55</v>
      </c>
      <c r="F558" s="215">
        <v>1</v>
      </c>
      <c r="G558" s="215">
        <v>2</v>
      </c>
      <c r="H558" s="662">
        <v>21.7</v>
      </c>
      <c r="I558" s="225">
        <v>3.86</v>
      </c>
      <c r="J558" s="215">
        <f>H558*I558</f>
        <v>83.762</v>
      </c>
      <c r="K558" s="216" t="s">
        <v>670</v>
      </c>
      <c r="L558" s="214"/>
      <c r="M558" s="215"/>
      <c r="N558" s="215">
        <v>100</v>
      </c>
      <c r="O558" s="215">
        <v>100</v>
      </c>
      <c r="P558" s="356">
        <f t="shared" si="334"/>
        <v>1.1938587903822735</v>
      </c>
      <c r="Q558" s="356">
        <f t="shared" si="335"/>
        <v>1.1938587903822735</v>
      </c>
      <c r="R558" s="713" t="s">
        <v>55</v>
      </c>
      <c r="S558" s="585" t="s">
        <v>254</v>
      </c>
      <c r="T558" s="520" t="s">
        <v>317</v>
      </c>
      <c r="Z558" s="251"/>
      <c r="AB558" s="251"/>
      <c r="AC558" s="251"/>
      <c r="AD558" s="308"/>
    </row>
    <row r="559" spans="2:30" ht="27" customHeight="1" x14ac:dyDescent="0.25">
      <c r="B559" s="679"/>
      <c r="C559" s="637" t="s">
        <v>693</v>
      </c>
      <c r="D559" s="215" t="s">
        <v>55</v>
      </c>
      <c r="E559" s="215" t="s">
        <v>55</v>
      </c>
      <c r="F559" s="215" t="s">
        <v>55</v>
      </c>
      <c r="G559" s="215" t="s">
        <v>55</v>
      </c>
      <c r="H559" s="215" t="s">
        <v>55</v>
      </c>
      <c r="I559" s="215" t="s">
        <v>55</v>
      </c>
      <c r="J559" s="215" t="s">
        <v>55</v>
      </c>
      <c r="K559" s="215" t="s">
        <v>55</v>
      </c>
      <c r="L559" s="215" t="s">
        <v>55</v>
      </c>
      <c r="M559" s="215" t="s">
        <v>55</v>
      </c>
      <c r="N559" s="215" t="s">
        <v>55</v>
      </c>
      <c r="O559" s="215" t="s">
        <v>55</v>
      </c>
      <c r="P559" s="215" t="s">
        <v>55</v>
      </c>
      <c r="Q559" s="215" t="s">
        <v>55</v>
      </c>
      <c r="R559" s="215" t="s">
        <v>55</v>
      </c>
      <c r="S559" s="215" t="s">
        <v>55</v>
      </c>
      <c r="T559" s="425" t="s">
        <v>55</v>
      </c>
      <c r="Z559" s="251"/>
      <c r="AB559" s="251"/>
      <c r="AC559" s="251"/>
      <c r="AD559" s="308"/>
    </row>
    <row r="560" spans="2:30" ht="25.5" customHeight="1" x14ac:dyDescent="0.25">
      <c r="B560" s="679">
        <v>15.54</v>
      </c>
      <c r="C560" s="637" t="s">
        <v>586</v>
      </c>
      <c r="D560" s="215" t="s">
        <v>55</v>
      </c>
      <c r="E560" s="215" t="s">
        <v>55</v>
      </c>
      <c r="F560" s="215"/>
      <c r="G560" s="215">
        <v>2</v>
      </c>
      <c r="H560" s="662">
        <v>14.3</v>
      </c>
      <c r="I560" s="225">
        <v>3.86</v>
      </c>
      <c r="J560" s="215">
        <f>H560*I560</f>
        <v>55.198</v>
      </c>
      <c r="K560" s="216" t="s">
        <v>558</v>
      </c>
      <c r="L560" s="214"/>
      <c r="M560" s="215"/>
      <c r="N560" s="215">
        <v>120</v>
      </c>
      <c r="O560" s="215">
        <v>120</v>
      </c>
      <c r="P560" s="356">
        <f t="shared" ref="P560" si="336">N560/J560</f>
        <v>2.173991811297511</v>
      </c>
      <c r="Q560" s="356">
        <f t="shared" ref="Q560" si="337">O560/J560</f>
        <v>2.173991811297511</v>
      </c>
      <c r="R560" s="215" t="s">
        <v>55</v>
      </c>
      <c r="S560" s="585" t="s">
        <v>254</v>
      </c>
      <c r="T560" s="520" t="s">
        <v>317</v>
      </c>
      <c r="Z560" s="251"/>
      <c r="AB560" s="251"/>
      <c r="AC560" s="251"/>
      <c r="AD560" s="308"/>
    </row>
    <row r="561" spans="2:30" ht="38.25" customHeight="1" x14ac:dyDescent="0.25">
      <c r="B561" s="679"/>
      <c r="C561" s="637" t="s">
        <v>976</v>
      </c>
      <c r="D561" s="215" t="s">
        <v>55</v>
      </c>
      <c r="E561" s="215" t="s">
        <v>55</v>
      </c>
      <c r="F561" s="215" t="s">
        <v>55</v>
      </c>
      <c r="G561" s="215" t="s">
        <v>55</v>
      </c>
      <c r="H561" s="215" t="s">
        <v>55</v>
      </c>
      <c r="I561" s="215" t="s">
        <v>55</v>
      </c>
      <c r="J561" s="215" t="s">
        <v>55</v>
      </c>
      <c r="K561" s="215" t="s">
        <v>55</v>
      </c>
      <c r="L561" s="215" t="s">
        <v>55</v>
      </c>
      <c r="M561" s="215" t="s">
        <v>55</v>
      </c>
      <c r="N561" s="215" t="s">
        <v>55</v>
      </c>
      <c r="O561" s="215" t="s">
        <v>55</v>
      </c>
      <c r="P561" s="215" t="s">
        <v>55</v>
      </c>
      <c r="Q561" s="215" t="s">
        <v>55</v>
      </c>
      <c r="R561" s="215" t="s">
        <v>55</v>
      </c>
      <c r="S561" s="215" t="s">
        <v>55</v>
      </c>
      <c r="T561" s="425" t="s">
        <v>55</v>
      </c>
      <c r="Z561" s="251"/>
      <c r="AB561" s="251"/>
      <c r="AC561" s="251"/>
      <c r="AD561" s="308"/>
    </row>
    <row r="562" spans="2:30" ht="35.25" customHeight="1" x14ac:dyDescent="0.25">
      <c r="B562" s="679">
        <v>15.55</v>
      </c>
      <c r="C562" s="637" t="s">
        <v>1174</v>
      </c>
      <c r="D562" s="215" t="s">
        <v>55</v>
      </c>
      <c r="E562" s="215" t="s">
        <v>55</v>
      </c>
      <c r="F562" s="215">
        <v>1</v>
      </c>
      <c r="G562" s="215">
        <v>2</v>
      </c>
      <c r="H562" s="662">
        <v>20</v>
      </c>
      <c r="I562" s="225">
        <v>3.86</v>
      </c>
      <c r="J562" s="215">
        <f>H562*I562</f>
        <v>77.2</v>
      </c>
      <c r="K562" s="216" t="s">
        <v>670</v>
      </c>
      <c r="L562" s="214"/>
      <c r="M562" s="215"/>
      <c r="N562" s="215">
        <v>100</v>
      </c>
      <c r="O562" s="215">
        <v>100</v>
      </c>
      <c r="P562" s="356">
        <f t="shared" ref="P562" si="338">N562/J562</f>
        <v>1.2953367875647668</v>
      </c>
      <c r="Q562" s="356">
        <f t="shared" ref="Q562" si="339">O562/J562</f>
        <v>1.2953367875647668</v>
      </c>
      <c r="R562" s="215" t="s">
        <v>55</v>
      </c>
      <c r="S562" s="585" t="s">
        <v>254</v>
      </c>
      <c r="T562" s="520" t="s">
        <v>317</v>
      </c>
      <c r="Z562" s="251"/>
      <c r="AB562" s="251"/>
      <c r="AC562" s="251"/>
      <c r="AD562" s="308"/>
    </row>
    <row r="563" spans="2:30" ht="27.75" customHeight="1" x14ac:dyDescent="0.25">
      <c r="B563" s="679"/>
      <c r="C563" s="637" t="s">
        <v>1175</v>
      </c>
      <c r="D563" s="215" t="s">
        <v>55</v>
      </c>
      <c r="E563" s="215" t="s">
        <v>55</v>
      </c>
      <c r="F563" s="215" t="s">
        <v>55</v>
      </c>
      <c r="G563" s="215" t="s">
        <v>55</v>
      </c>
      <c r="H563" s="215" t="s">
        <v>55</v>
      </c>
      <c r="I563" s="215" t="s">
        <v>55</v>
      </c>
      <c r="J563" s="215" t="s">
        <v>55</v>
      </c>
      <c r="K563" s="215" t="s">
        <v>55</v>
      </c>
      <c r="L563" s="215" t="s">
        <v>55</v>
      </c>
      <c r="M563" s="215" t="s">
        <v>55</v>
      </c>
      <c r="N563" s="215" t="s">
        <v>55</v>
      </c>
      <c r="O563" s="215" t="s">
        <v>55</v>
      </c>
      <c r="P563" s="215" t="s">
        <v>55</v>
      </c>
      <c r="Q563" s="215" t="s">
        <v>55</v>
      </c>
      <c r="R563" s="215" t="s">
        <v>55</v>
      </c>
      <c r="S563" s="215" t="s">
        <v>55</v>
      </c>
      <c r="T563" s="425" t="s">
        <v>55</v>
      </c>
      <c r="Z563" s="251"/>
      <c r="AB563" s="251"/>
      <c r="AC563" s="251"/>
      <c r="AD563" s="308"/>
    </row>
    <row r="564" spans="2:30" ht="26.25" customHeight="1" x14ac:dyDescent="0.25">
      <c r="B564" s="679"/>
      <c r="C564" s="637" t="s">
        <v>1176</v>
      </c>
      <c r="D564" s="215" t="s">
        <v>55</v>
      </c>
      <c r="E564" s="215" t="s">
        <v>55</v>
      </c>
      <c r="F564" s="215" t="s">
        <v>55</v>
      </c>
      <c r="G564" s="215" t="s">
        <v>55</v>
      </c>
      <c r="H564" s="215" t="s">
        <v>55</v>
      </c>
      <c r="I564" s="215" t="s">
        <v>55</v>
      </c>
      <c r="J564" s="215" t="s">
        <v>55</v>
      </c>
      <c r="K564" s="215" t="s">
        <v>55</v>
      </c>
      <c r="L564" s="215" t="s">
        <v>55</v>
      </c>
      <c r="M564" s="215" t="s">
        <v>55</v>
      </c>
      <c r="N564" s="215" t="s">
        <v>55</v>
      </c>
      <c r="O564" s="215" t="s">
        <v>55</v>
      </c>
      <c r="P564" s="215" t="s">
        <v>55</v>
      </c>
      <c r="Q564" s="215" t="s">
        <v>55</v>
      </c>
      <c r="R564" s="215" t="s">
        <v>55</v>
      </c>
      <c r="S564" s="215" t="s">
        <v>55</v>
      </c>
      <c r="T564" s="425" t="s">
        <v>55</v>
      </c>
      <c r="Z564" s="251"/>
      <c r="AB564" s="251"/>
      <c r="AC564" s="251"/>
      <c r="AD564" s="308"/>
    </row>
    <row r="565" spans="2:30" ht="35.25" customHeight="1" x14ac:dyDescent="0.25">
      <c r="B565" s="679">
        <v>15.56</v>
      </c>
      <c r="C565" s="637" t="s">
        <v>1174</v>
      </c>
      <c r="D565" s="215" t="s">
        <v>55</v>
      </c>
      <c r="E565" s="215" t="s">
        <v>55</v>
      </c>
      <c r="F565" s="215">
        <v>4</v>
      </c>
      <c r="G565" s="215"/>
      <c r="H565" s="662">
        <v>35.200000000000003</v>
      </c>
      <c r="I565" s="225">
        <v>3.86</v>
      </c>
      <c r="J565" s="215">
        <f>H565*I565</f>
        <v>135.87200000000001</v>
      </c>
      <c r="K565" s="216" t="s">
        <v>729</v>
      </c>
      <c r="L565" s="214"/>
      <c r="M565" s="215"/>
      <c r="N565" s="215">
        <v>240</v>
      </c>
      <c r="O565" s="215">
        <v>240</v>
      </c>
      <c r="P565" s="356">
        <f t="shared" ref="P565" si="340">N565/J565</f>
        <v>1.7663683466792273</v>
      </c>
      <c r="Q565" s="356">
        <f t="shared" ref="Q565" si="341">O565/J565</f>
        <v>1.7663683466792273</v>
      </c>
      <c r="R565" s="215" t="s">
        <v>55</v>
      </c>
      <c r="S565" s="585" t="s">
        <v>254</v>
      </c>
      <c r="T565" s="520" t="s">
        <v>317</v>
      </c>
      <c r="Z565" s="251"/>
      <c r="AB565" s="251"/>
      <c r="AC565" s="251"/>
      <c r="AD565" s="308"/>
    </row>
    <row r="566" spans="2:30" ht="17.25" customHeight="1" x14ac:dyDescent="0.25">
      <c r="B566" s="679"/>
      <c r="C566" s="637" t="s">
        <v>1177</v>
      </c>
      <c r="D566" s="215" t="s">
        <v>55</v>
      </c>
      <c r="E566" s="215" t="s">
        <v>55</v>
      </c>
      <c r="F566" s="215" t="s">
        <v>55</v>
      </c>
      <c r="G566" s="215" t="s">
        <v>55</v>
      </c>
      <c r="H566" s="215" t="s">
        <v>55</v>
      </c>
      <c r="I566" s="215" t="s">
        <v>55</v>
      </c>
      <c r="J566" s="215" t="s">
        <v>55</v>
      </c>
      <c r="K566" s="215" t="s">
        <v>55</v>
      </c>
      <c r="L566" s="215" t="s">
        <v>55</v>
      </c>
      <c r="M566" s="215" t="s">
        <v>55</v>
      </c>
      <c r="N566" s="215" t="s">
        <v>55</v>
      </c>
      <c r="O566" s="215" t="s">
        <v>55</v>
      </c>
      <c r="P566" s="215" t="s">
        <v>55</v>
      </c>
      <c r="Q566" s="215" t="s">
        <v>55</v>
      </c>
      <c r="R566" s="215" t="s">
        <v>55</v>
      </c>
      <c r="S566" s="215" t="s">
        <v>55</v>
      </c>
      <c r="T566" s="425" t="s">
        <v>55</v>
      </c>
      <c r="Z566" s="251"/>
      <c r="AB566" s="251"/>
      <c r="AC566" s="251"/>
      <c r="AD566" s="308"/>
    </row>
    <row r="567" spans="2:30" ht="30" customHeight="1" x14ac:dyDescent="0.25">
      <c r="B567" s="679">
        <v>15.57</v>
      </c>
      <c r="C567" s="637" t="s">
        <v>1161</v>
      </c>
      <c r="D567" s="215" t="s">
        <v>55</v>
      </c>
      <c r="E567" s="215" t="s">
        <v>55</v>
      </c>
      <c r="F567" s="215">
        <v>3</v>
      </c>
      <c r="G567" s="215"/>
      <c r="H567" s="662">
        <v>22</v>
      </c>
      <c r="I567" s="225">
        <v>3.86</v>
      </c>
      <c r="J567" s="215">
        <f>H567*I567</f>
        <v>84.92</v>
      </c>
      <c r="K567" s="216" t="s">
        <v>729</v>
      </c>
      <c r="L567" s="215" t="s">
        <v>55</v>
      </c>
      <c r="M567" s="215" t="s">
        <v>55</v>
      </c>
      <c r="N567" s="215">
        <v>180</v>
      </c>
      <c r="O567" s="215">
        <v>180</v>
      </c>
      <c r="P567" s="356">
        <f t="shared" ref="P567:P568" si="342">N567/J567</f>
        <v>2.1196420160150731</v>
      </c>
      <c r="Q567" s="356">
        <f t="shared" ref="Q567:Q568" si="343">O567/J567</f>
        <v>2.1196420160150731</v>
      </c>
      <c r="R567" s="215" t="s">
        <v>55</v>
      </c>
      <c r="S567" s="585" t="s">
        <v>254</v>
      </c>
      <c r="T567" s="520" t="s">
        <v>317</v>
      </c>
      <c r="Z567" s="251"/>
      <c r="AB567" s="251"/>
      <c r="AC567" s="251"/>
      <c r="AD567" s="308"/>
    </row>
    <row r="568" spans="2:30" ht="40.5" customHeight="1" x14ac:dyDescent="0.25">
      <c r="B568" s="679">
        <v>15.58</v>
      </c>
      <c r="C568" s="637" t="s">
        <v>1178</v>
      </c>
      <c r="D568" s="215" t="s">
        <v>55</v>
      </c>
      <c r="E568" s="215" t="s">
        <v>55</v>
      </c>
      <c r="F568" s="215">
        <v>1</v>
      </c>
      <c r="G568" s="215">
        <v>2</v>
      </c>
      <c r="H568" s="662">
        <v>14.8</v>
      </c>
      <c r="I568" s="225">
        <v>3.86</v>
      </c>
      <c r="J568" s="215">
        <f>H568*I568</f>
        <v>57.128</v>
      </c>
      <c r="K568" s="216" t="s">
        <v>670</v>
      </c>
      <c r="L568" s="215" t="s">
        <v>55</v>
      </c>
      <c r="M568" s="215" t="s">
        <v>55</v>
      </c>
      <c r="N568" s="215">
        <v>100</v>
      </c>
      <c r="O568" s="215">
        <v>100</v>
      </c>
      <c r="P568" s="356">
        <f t="shared" si="342"/>
        <v>1.7504551183307659</v>
      </c>
      <c r="Q568" s="356">
        <f t="shared" si="343"/>
        <v>1.7504551183307659</v>
      </c>
      <c r="R568" s="215" t="s">
        <v>55</v>
      </c>
      <c r="S568" s="585" t="s">
        <v>254</v>
      </c>
      <c r="T568" s="520" t="s">
        <v>317</v>
      </c>
      <c r="Z568" s="251"/>
      <c r="AB568" s="251"/>
      <c r="AC568" s="251"/>
      <c r="AD568" s="308"/>
    </row>
    <row r="569" spans="2:30" ht="17.25" customHeight="1" x14ac:dyDescent="0.25">
      <c r="B569" s="679"/>
      <c r="C569" s="637" t="s">
        <v>1179</v>
      </c>
      <c r="D569" s="215" t="s">
        <v>55</v>
      </c>
      <c r="E569" s="215" t="s">
        <v>55</v>
      </c>
      <c r="F569" s="215" t="s">
        <v>55</v>
      </c>
      <c r="G569" s="215" t="s">
        <v>55</v>
      </c>
      <c r="H569" s="215" t="s">
        <v>55</v>
      </c>
      <c r="I569" s="215" t="s">
        <v>55</v>
      </c>
      <c r="J569" s="215" t="s">
        <v>55</v>
      </c>
      <c r="K569" s="215" t="s">
        <v>55</v>
      </c>
      <c r="L569" s="215" t="s">
        <v>55</v>
      </c>
      <c r="M569" s="215" t="s">
        <v>55</v>
      </c>
      <c r="N569" s="215" t="s">
        <v>55</v>
      </c>
      <c r="O569" s="215" t="s">
        <v>55</v>
      </c>
      <c r="P569" s="215" t="s">
        <v>55</v>
      </c>
      <c r="Q569" s="215" t="s">
        <v>55</v>
      </c>
      <c r="R569" s="215" t="s">
        <v>55</v>
      </c>
      <c r="S569" s="215" t="s">
        <v>55</v>
      </c>
      <c r="T569" s="425" t="s">
        <v>55</v>
      </c>
      <c r="Z569" s="251"/>
      <c r="AB569" s="251"/>
      <c r="AC569" s="251"/>
      <c r="AD569" s="308"/>
    </row>
    <row r="570" spans="2:30" ht="17.25" customHeight="1" x14ac:dyDescent="0.25">
      <c r="B570" s="679"/>
      <c r="C570" s="637" t="s">
        <v>1180</v>
      </c>
      <c r="D570" s="215" t="s">
        <v>55</v>
      </c>
      <c r="E570" s="215" t="s">
        <v>55</v>
      </c>
      <c r="F570" s="215" t="s">
        <v>55</v>
      </c>
      <c r="G570" s="215" t="s">
        <v>55</v>
      </c>
      <c r="H570" s="215" t="s">
        <v>55</v>
      </c>
      <c r="I570" s="215" t="s">
        <v>55</v>
      </c>
      <c r="J570" s="215" t="s">
        <v>55</v>
      </c>
      <c r="K570" s="215" t="s">
        <v>55</v>
      </c>
      <c r="L570" s="215" t="s">
        <v>55</v>
      </c>
      <c r="M570" s="215" t="s">
        <v>55</v>
      </c>
      <c r="N570" s="215" t="s">
        <v>55</v>
      </c>
      <c r="O570" s="215" t="s">
        <v>55</v>
      </c>
      <c r="P570" s="215" t="s">
        <v>55</v>
      </c>
      <c r="Q570" s="215" t="s">
        <v>55</v>
      </c>
      <c r="R570" s="215" t="s">
        <v>55</v>
      </c>
      <c r="S570" s="215" t="s">
        <v>55</v>
      </c>
      <c r="T570" s="425" t="s">
        <v>55</v>
      </c>
      <c r="Z570" s="251"/>
      <c r="AB570" s="251"/>
      <c r="AC570" s="251"/>
      <c r="AD570" s="308"/>
    </row>
    <row r="571" spans="2:30" ht="17.25" customHeight="1" x14ac:dyDescent="0.25">
      <c r="B571" s="679"/>
      <c r="C571" s="637" t="s">
        <v>1181</v>
      </c>
      <c r="D571" s="215" t="s">
        <v>55</v>
      </c>
      <c r="E571" s="215" t="s">
        <v>55</v>
      </c>
      <c r="F571" s="215" t="s">
        <v>55</v>
      </c>
      <c r="G571" s="215" t="s">
        <v>55</v>
      </c>
      <c r="H571" s="215" t="s">
        <v>55</v>
      </c>
      <c r="I571" s="215" t="s">
        <v>55</v>
      </c>
      <c r="J571" s="215" t="s">
        <v>55</v>
      </c>
      <c r="K571" s="215" t="s">
        <v>55</v>
      </c>
      <c r="L571" s="215" t="s">
        <v>55</v>
      </c>
      <c r="M571" s="215" t="s">
        <v>55</v>
      </c>
      <c r="N571" s="215" t="s">
        <v>55</v>
      </c>
      <c r="O571" s="215" t="s">
        <v>55</v>
      </c>
      <c r="P571" s="215" t="s">
        <v>55</v>
      </c>
      <c r="Q571" s="215" t="s">
        <v>55</v>
      </c>
      <c r="R571" s="215" t="s">
        <v>55</v>
      </c>
      <c r="S571" s="215" t="s">
        <v>55</v>
      </c>
      <c r="T571" s="425" t="s">
        <v>55</v>
      </c>
      <c r="Z571" s="251"/>
      <c r="AB571" s="251"/>
      <c r="AC571" s="251"/>
      <c r="AD571" s="308"/>
    </row>
    <row r="572" spans="2:30" ht="24.75" customHeight="1" x14ac:dyDescent="0.25">
      <c r="B572" s="679">
        <v>15.59</v>
      </c>
      <c r="C572" s="637" t="s">
        <v>1178</v>
      </c>
      <c r="D572" s="215" t="s">
        <v>55</v>
      </c>
      <c r="E572" s="215" t="s">
        <v>55</v>
      </c>
      <c r="F572" s="215">
        <v>4</v>
      </c>
      <c r="G572" s="215"/>
      <c r="H572" s="662">
        <v>31.9</v>
      </c>
      <c r="I572" s="225">
        <v>3.86</v>
      </c>
      <c r="J572" s="215">
        <f>H572*I572</f>
        <v>123.13399999999999</v>
      </c>
      <c r="K572" s="216" t="s">
        <v>729</v>
      </c>
      <c r="L572" s="215" t="s">
        <v>55</v>
      </c>
      <c r="M572" s="215" t="s">
        <v>55</v>
      </c>
      <c r="N572" s="215">
        <v>240</v>
      </c>
      <c r="O572" s="215">
        <v>240</v>
      </c>
      <c r="P572" s="215" t="s">
        <v>55</v>
      </c>
      <c r="Q572" s="215" t="s">
        <v>55</v>
      </c>
      <c r="R572" s="215" t="s">
        <v>55</v>
      </c>
      <c r="S572" s="585" t="s">
        <v>254</v>
      </c>
      <c r="T572" s="520" t="s">
        <v>317</v>
      </c>
      <c r="Z572" s="251"/>
      <c r="AB572" s="251"/>
      <c r="AC572" s="251"/>
      <c r="AD572" s="308"/>
    </row>
    <row r="573" spans="2:30" ht="17.25" customHeight="1" x14ac:dyDescent="0.25">
      <c r="B573" s="679"/>
      <c r="C573" s="637" t="s">
        <v>1012</v>
      </c>
      <c r="D573" s="215" t="s">
        <v>55</v>
      </c>
      <c r="E573" s="215" t="s">
        <v>55</v>
      </c>
      <c r="F573" s="215"/>
      <c r="G573" s="215"/>
      <c r="H573" s="662"/>
      <c r="I573" s="586"/>
      <c r="J573" s="713"/>
      <c r="K573" s="586"/>
      <c r="L573" s="215" t="s">
        <v>55</v>
      </c>
      <c r="M573" s="215" t="s">
        <v>55</v>
      </c>
      <c r="N573" s="215"/>
      <c r="O573" s="215"/>
      <c r="P573" s="215" t="s">
        <v>55</v>
      </c>
      <c r="Q573" s="215" t="s">
        <v>55</v>
      </c>
      <c r="R573" s="215" t="s">
        <v>55</v>
      </c>
      <c r="S573" s="585"/>
      <c r="T573" s="520"/>
      <c r="Z573" s="251"/>
      <c r="AB573" s="251"/>
      <c r="AC573" s="251"/>
      <c r="AD573" s="308"/>
    </row>
    <row r="574" spans="2:30" ht="24" customHeight="1" x14ac:dyDescent="0.25">
      <c r="B574" s="679">
        <v>15.6</v>
      </c>
      <c r="C574" s="637" t="s">
        <v>127</v>
      </c>
      <c r="D574" s="215" t="s">
        <v>55</v>
      </c>
      <c r="E574" s="215" t="s">
        <v>55</v>
      </c>
      <c r="F574" s="215">
        <v>4</v>
      </c>
      <c r="G574" s="215"/>
      <c r="H574" s="662">
        <v>37.5</v>
      </c>
      <c r="I574" s="225">
        <v>3.86</v>
      </c>
      <c r="J574" s="215">
        <f>H574*I574</f>
        <v>144.75</v>
      </c>
      <c r="K574" s="216" t="s">
        <v>729</v>
      </c>
      <c r="L574" s="215" t="s">
        <v>55</v>
      </c>
      <c r="M574" s="215" t="s">
        <v>55</v>
      </c>
      <c r="N574" s="215">
        <v>240</v>
      </c>
      <c r="O574" s="215">
        <v>240</v>
      </c>
      <c r="P574" s="215" t="s">
        <v>55</v>
      </c>
      <c r="Q574" s="215" t="s">
        <v>55</v>
      </c>
      <c r="R574" s="215" t="s">
        <v>55</v>
      </c>
      <c r="S574" s="585" t="s">
        <v>254</v>
      </c>
      <c r="T574" s="520" t="s">
        <v>317</v>
      </c>
      <c r="Z574" s="251"/>
      <c r="AB574" s="251"/>
      <c r="AC574" s="251"/>
      <c r="AD574" s="308"/>
    </row>
    <row r="575" spans="2:30" ht="40.5" customHeight="1" x14ac:dyDescent="0.25">
      <c r="B575" s="679">
        <v>15.61</v>
      </c>
      <c r="C575" s="637" t="s">
        <v>20</v>
      </c>
      <c r="D575" s="215" t="s">
        <v>55</v>
      </c>
      <c r="E575" s="215" t="s">
        <v>55</v>
      </c>
      <c r="F575" s="215"/>
      <c r="G575" s="215">
        <v>18</v>
      </c>
      <c r="H575" s="662">
        <v>46.8</v>
      </c>
      <c r="I575" s="225">
        <v>3.86</v>
      </c>
      <c r="J575" s="215">
        <f>H575*I575</f>
        <v>180.648</v>
      </c>
      <c r="K575" s="216" t="s">
        <v>558</v>
      </c>
      <c r="L575" s="215" t="s">
        <v>55</v>
      </c>
      <c r="M575" s="215" t="s">
        <v>55</v>
      </c>
      <c r="N575" s="215">
        <v>360</v>
      </c>
      <c r="O575" s="215">
        <v>360</v>
      </c>
      <c r="P575" s="215" t="s">
        <v>55</v>
      </c>
      <c r="Q575" s="215" t="s">
        <v>55</v>
      </c>
      <c r="R575" s="215" t="s">
        <v>55</v>
      </c>
      <c r="S575" s="585" t="s">
        <v>254</v>
      </c>
      <c r="T575" s="520" t="s">
        <v>317</v>
      </c>
      <c r="Z575" s="251"/>
      <c r="AB575" s="251"/>
      <c r="AC575" s="251"/>
      <c r="AD575" s="308"/>
    </row>
    <row r="576" spans="2:30" ht="33.75" customHeight="1" x14ac:dyDescent="0.25">
      <c r="B576" s="679">
        <v>15.62</v>
      </c>
      <c r="C576" s="637" t="s">
        <v>1182</v>
      </c>
      <c r="D576" s="215" t="s">
        <v>55</v>
      </c>
      <c r="E576" s="215" t="s">
        <v>55</v>
      </c>
      <c r="F576" s="215">
        <v>1</v>
      </c>
      <c r="G576" s="215">
        <v>4</v>
      </c>
      <c r="H576" s="662">
        <v>31.8</v>
      </c>
      <c r="I576" s="225">
        <v>3.86</v>
      </c>
      <c r="J576" s="215">
        <f>H576*I576</f>
        <v>122.748</v>
      </c>
      <c r="K576" s="216" t="s">
        <v>670</v>
      </c>
      <c r="L576" s="215" t="s">
        <v>55</v>
      </c>
      <c r="M576" s="215" t="s">
        <v>55</v>
      </c>
      <c r="N576" s="215">
        <v>140</v>
      </c>
      <c r="O576" s="215">
        <v>140</v>
      </c>
      <c r="P576" s="215" t="s">
        <v>55</v>
      </c>
      <c r="Q576" s="215" t="s">
        <v>55</v>
      </c>
      <c r="R576" s="215" t="s">
        <v>55</v>
      </c>
      <c r="S576" s="585" t="s">
        <v>254</v>
      </c>
      <c r="T576" s="520" t="s">
        <v>317</v>
      </c>
      <c r="Z576" s="251"/>
      <c r="AB576" s="251"/>
      <c r="AC576" s="251"/>
      <c r="AD576" s="308"/>
    </row>
    <row r="577" spans="2:30" ht="17.25" customHeight="1" x14ac:dyDescent="0.25">
      <c r="B577" s="679"/>
      <c r="C577" s="637" t="s">
        <v>542</v>
      </c>
      <c r="D577" s="215" t="s">
        <v>55</v>
      </c>
      <c r="E577" s="215" t="s">
        <v>55</v>
      </c>
      <c r="F577" s="215"/>
      <c r="G577" s="215"/>
      <c r="H577" s="662"/>
      <c r="I577" s="586"/>
      <c r="J577" s="713"/>
      <c r="K577" s="586"/>
      <c r="L577" s="215" t="s">
        <v>55</v>
      </c>
      <c r="M577" s="215" t="s">
        <v>55</v>
      </c>
      <c r="N577" s="215"/>
      <c r="O577" s="215"/>
      <c r="P577" s="215" t="s">
        <v>55</v>
      </c>
      <c r="Q577" s="215" t="s">
        <v>55</v>
      </c>
      <c r="R577" s="215" t="s">
        <v>55</v>
      </c>
      <c r="S577" s="585"/>
      <c r="T577" s="520"/>
      <c r="Z577" s="251"/>
      <c r="AB577" s="251"/>
      <c r="AC577" s="251"/>
      <c r="AD577" s="308"/>
    </row>
    <row r="578" spans="2:30" ht="24.75" customHeight="1" x14ac:dyDescent="0.25">
      <c r="B578" s="679">
        <v>15.63</v>
      </c>
      <c r="C578" s="637" t="s">
        <v>728</v>
      </c>
      <c r="D578" s="215" t="s">
        <v>55</v>
      </c>
      <c r="E578" s="215" t="s">
        <v>55</v>
      </c>
      <c r="F578" s="215">
        <v>17</v>
      </c>
      <c r="G578" s="586"/>
      <c r="H578" s="662">
        <v>137.80000000000001</v>
      </c>
      <c r="I578" s="225">
        <v>3.86</v>
      </c>
      <c r="J578" s="215">
        <f>H578*I578</f>
        <v>531.90800000000002</v>
      </c>
      <c r="K578" s="216" t="s">
        <v>729</v>
      </c>
      <c r="L578" s="215" t="s">
        <v>55</v>
      </c>
      <c r="M578" s="215" t="s">
        <v>55</v>
      </c>
      <c r="N578" s="215">
        <f>1320-60*5</f>
        <v>1020</v>
      </c>
      <c r="O578" s="215">
        <f>1320-60*5</f>
        <v>1020</v>
      </c>
      <c r="P578" s="215" t="s">
        <v>55</v>
      </c>
      <c r="Q578" s="215" t="s">
        <v>55</v>
      </c>
      <c r="R578" s="215" t="s">
        <v>55</v>
      </c>
      <c r="S578" s="585" t="s">
        <v>254</v>
      </c>
      <c r="T578" s="520" t="s">
        <v>317</v>
      </c>
      <c r="Z578" s="382" t="s">
        <v>1185</v>
      </c>
      <c r="AB578" s="251"/>
      <c r="AC578" s="251"/>
      <c r="AD578" s="308"/>
    </row>
    <row r="579" spans="2:30" ht="26.25" customHeight="1" x14ac:dyDescent="0.25">
      <c r="B579" s="679">
        <v>15.64</v>
      </c>
      <c r="C579" s="637" t="s">
        <v>97</v>
      </c>
      <c r="D579" s="215" t="s">
        <v>55</v>
      </c>
      <c r="E579" s="215" t="s">
        <v>55</v>
      </c>
      <c r="F579" s="586">
        <v>2</v>
      </c>
      <c r="G579" s="586"/>
      <c r="H579" s="662">
        <v>59.2</v>
      </c>
      <c r="I579" s="225">
        <v>3.86</v>
      </c>
      <c r="J579" s="215">
        <f>H579*I579</f>
        <v>228.512</v>
      </c>
      <c r="K579" s="216" t="s">
        <v>729</v>
      </c>
      <c r="L579" s="215" t="s">
        <v>55</v>
      </c>
      <c r="M579" s="215" t="s">
        <v>55</v>
      </c>
      <c r="N579" s="215">
        <v>120</v>
      </c>
      <c r="O579" s="215">
        <v>120</v>
      </c>
      <c r="P579" s="215" t="s">
        <v>55</v>
      </c>
      <c r="Q579" s="215" t="s">
        <v>55</v>
      </c>
      <c r="R579" s="215" t="s">
        <v>55</v>
      </c>
      <c r="S579" s="585" t="s">
        <v>254</v>
      </c>
      <c r="T579" s="520" t="s">
        <v>317</v>
      </c>
      <c r="Z579" s="251"/>
      <c r="AB579" s="251"/>
      <c r="AC579" s="251"/>
      <c r="AD579" s="308"/>
    </row>
    <row r="580" spans="2:30" ht="36.75" customHeight="1" x14ac:dyDescent="0.25">
      <c r="B580" s="607">
        <v>15.65</v>
      </c>
      <c r="C580" s="637" t="s">
        <v>1162</v>
      </c>
      <c r="D580" s="215" t="s">
        <v>55</v>
      </c>
      <c r="E580" s="215" t="s">
        <v>55</v>
      </c>
      <c r="F580" s="586">
        <v>1</v>
      </c>
      <c r="G580" s="586">
        <v>2</v>
      </c>
      <c r="H580" s="662">
        <v>17.5</v>
      </c>
      <c r="I580" s="235">
        <v>3.86</v>
      </c>
      <c r="J580" s="215">
        <f>H580*I580</f>
        <v>67.55</v>
      </c>
      <c r="K580" s="216" t="s">
        <v>670</v>
      </c>
      <c r="L580" s="215" t="s">
        <v>55</v>
      </c>
      <c r="M580" s="215" t="s">
        <v>55</v>
      </c>
      <c r="N580" s="215">
        <v>100</v>
      </c>
      <c r="O580" s="215">
        <v>100</v>
      </c>
      <c r="P580" s="215" t="s">
        <v>55</v>
      </c>
      <c r="Q580" s="215" t="s">
        <v>55</v>
      </c>
      <c r="R580" s="215" t="s">
        <v>55</v>
      </c>
      <c r="S580" s="585" t="s">
        <v>254</v>
      </c>
      <c r="T580" s="520" t="s">
        <v>317</v>
      </c>
      <c r="Z580" s="251"/>
      <c r="AB580" s="251"/>
      <c r="AC580" s="251"/>
      <c r="AD580" s="308"/>
    </row>
    <row r="581" spans="2:30" ht="24.75" customHeight="1" x14ac:dyDescent="0.25">
      <c r="B581" s="679">
        <v>15.66</v>
      </c>
      <c r="C581" s="637" t="s">
        <v>54</v>
      </c>
      <c r="D581" s="558" t="s">
        <v>303</v>
      </c>
      <c r="E581" s="215" t="s">
        <v>55</v>
      </c>
      <c r="F581" s="215" t="s">
        <v>55</v>
      </c>
      <c r="G581" s="215" t="s">
        <v>55</v>
      </c>
      <c r="H581" s="662">
        <v>11.9</v>
      </c>
      <c r="I581" s="225">
        <v>3.86</v>
      </c>
      <c r="J581" s="215">
        <f>H581*I581</f>
        <v>45.933999999999997</v>
      </c>
      <c r="K581" s="586" t="s">
        <v>55</v>
      </c>
      <c r="L581" s="214">
        <v>1</v>
      </c>
      <c r="M581" s="215" t="s">
        <v>55</v>
      </c>
      <c r="N581" s="215" t="s">
        <v>55</v>
      </c>
      <c r="O581" s="215">
        <v>40</v>
      </c>
      <c r="P581" s="215" t="s">
        <v>55</v>
      </c>
      <c r="Q581" s="215" t="s">
        <v>55</v>
      </c>
      <c r="R581" s="215" t="s">
        <v>55</v>
      </c>
      <c r="S581" s="736"/>
      <c r="T581" s="520" t="s">
        <v>317</v>
      </c>
      <c r="Z581" s="251"/>
      <c r="AB581" s="251"/>
      <c r="AC581" s="251"/>
      <c r="AD581" s="308"/>
    </row>
    <row r="582" spans="2:30" ht="15.75" customHeight="1" thickBot="1" x14ac:dyDescent="0.3">
      <c r="B582" s="737"/>
      <c r="C582" s="615"/>
      <c r="D582" s="724" t="s">
        <v>508</v>
      </c>
      <c r="E582" s="725"/>
      <c r="F582" s="620">
        <f>SUM(F512:F581)</f>
        <v>115</v>
      </c>
      <c r="G582" s="620">
        <f>SUM(G512:G581)</f>
        <v>100</v>
      </c>
      <c r="H582" s="619"/>
      <c r="I582" s="620"/>
      <c r="J582" s="726"/>
      <c r="K582" s="640"/>
      <c r="L582" s="724" t="s">
        <v>557</v>
      </c>
      <c r="M582" s="725"/>
      <c r="N582" s="360"/>
      <c r="O582" s="360">
        <f>SUM(O512:O581)</f>
        <v>11605</v>
      </c>
      <c r="P582" s="365"/>
      <c r="Q582" s="365"/>
      <c r="R582" s="426"/>
      <c r="S582" s="738"/>
      <c r="T582" s="739"/>
      <c r="Z582" s="251"/>
      <c r="AA582"/>
      <c r="AB582" s="251"/>
      <c r="AC582" s="251"/>
      <c r="AD582" s="308"/>
    </row>
    <row r="583" spans="2:30" ht="17.25" customHeight="1" thickBot="1" x14ac:dyDescent="0.3">
      <c r="B583" s="505" t="s">
        <v>1021</v>
      </c>
      <c r="C583" s="506"/>
      <c r="D583" s="506"/>
      <c r="E583" s="506"/>
      <c r="F583" s="506"/>
      <c r="G583" s="506"/>
      <c r="H583" s="506"/>
      <c r="I583" s="506"/>
      <c r="J583" s="506"/>
      <c r="K583" s="506"/>
      <c r="L583" s="506"/>
      <c r="M583" s="506"/>
      <c r="N583" s="506"/>
      <c r="O583" s="506"/>
      <c r="P583" s="506"/>
      <c r="Q583" s="506"/>
      <c r="R583" s="506"/>
      <c r="S583" s="506"/>
      <c r="T583" s="507"/>
      <c r="Z583" s="251"/>
      <c r="AB583" s="251"/>
      <c r="AC583" s="251"/>
      <c r="AD583" s="308"/>
    </row>
    <row r="584" spans="2:30" ht="17.25" customHeight="1" x14ac:dyDescent="0.25">
      <c r="B584" s="604" t="s">
        <v>840</v>
      </c>
      <c r="C584" s="729" t="s">
        <v>16</v>
      </c>
      <c r="D584" s="740"/>
      <c r="E584" s="741"/>
      <c r="F584" s="742"/>
      <c r="G584" s="742"/>
      <c r="H584" s="742" t="s">
        <v>900</v>
      </c>
      <c r="I584" s="285">
        <v>3.86</v>
      </c>
      <c r="J584" s="215">
        <f t="shared" ref="J584:J589" si="344">H584*I584</f>
        <v>450.50059999999996</v>
      </c>
      <c r="K584" s="678"/>
      <c r="L584" s="678"/>
      <c r="M584" s="743"/>
      <c r="N584" s="744">
        <f>O659+O660+O667</f>
        <v>190</v>
      </c>
      <c r="O584" s="745"/>
      <c r="P584" s="746"/>
      <c r="Q584" s="746"/>
      <c r="R584" s="746"/>
      <c r="S584" s="747"/>
      <c r="T584" s="748"/>
      <c r="Z584" s="251"/>
      <c r="AB584" s="251"/>
      <c r="AC584" s="251"/>
      <c r="AD584" s="308"/>
    </row>
    <row r="585" spans="2:30" ht="17.25" customHeight="1" x14ac:dyDescent="0.25">
      <c r="B585" s="679" t="s">
        <v>841</v>
      </c>
      <c r="C585" s="637" t="s">
        <v>828</v>
      </c>
      <c r="D585" s="663" t="s">
        <v>55</v>
      </c>
      <c r="E585" s="664" t="s">
        <v>55</v>
      </c>
      <c r="F585" s="713" t="s">
        <v>55</v>
      </c>
      <c r="G585" s="713" t="s">
        <v>55</v>
      </c>
      <c r="H585" s="713" t="s">
        <v>901</v>
      </c>
      <c r="I585" s="235">
        <v>3.86</v>
      </c>
      <c r="J585" s="215">
        <f t="shared" si="344"/>
        <v>109.3152</v>
      </c>
      <c r="K585" s="214">
        <v>1</v>
      </c>
      <c r="L585" s="214">
        <v>1</v>
      </c>
      <c r="M585" s="214" t="s">
        <v>55</v>
      </c>
      <c r="N585" s="215">
        <f>CEILING((K585*J585),10)</f>
        <v>110</v>
      </c>
      <c r="O585" s="220">
        <f>CEILING((J585*L585),10)</f>
        <v>110</v>
      </c>
      <c r="P585" s="356">
        <f>N585/J585</f>
        <v>1.0062644536166974</v>
      </c>
      <c r="Q585" s="356">
        <f>O585/J585</f>
        <v>1.0062644536166974</v>
      </c>
      <c r="R585" s="217" t="s">
        <v>55</v>
      </c>
      <c r="S585" s="519" t="s">
        <v>257</v>
      </c>
      <c r="T585" s="749" t="s">
        <v>719</v>
      </c>
      <c r="Z585" s="251"/>
      <c r="AB585" s="251"/>
      <c r="AC585" s="251"/>
      <c r="AD585" s="308"/>
    </row>
    <row r="586" spans="2:30" ht="25.5" customHeight="1" x14ac:dyDescent="0.25">
      <c r="B586" s="679" t="s">
        <v>842</v>
      </c>
      <c r="C586" s="637" t="s">
        <v>20</v>
      </c>
      <c r="D586" s="586" t="s">
        <v>55</v>
      </c>
      <c r="E586" s="664" t="s">
        <v>55</v>
      </c>
      <c r="F586" s="713" t="s">
        <v>55</v>
      </c>
      <c r="G586" s="713">
        <f>ROUNDDOWN(4*4*0.8,0)</f>
        <v>12</v>
      </c>
      <c r="H586" s="713" t="s">
        <v>902</v>
      </c>
      <c r="I586" s="235">
        <v>3.86</v>
      </c>
      <c r="J586" s="215">
        <f t="shared" si="344"/>
        <v>190.45240000000001</v>
      </c>
      <c r="K586" s="216" t="s">
        <v>558</v>
      </c>
      <c r="L586" s="317" t="s">
        <v>55</v>
      </c>
      <c r="M586" s="228" t="s">
        <v>55</v>
      </c>
      <c r="N586" s="226">
        <f>20*G586</f>
        <v>240</v>
      </c>
      <c r="O586" s="241">
        <f t="shared" ref="O586" si="345">20*G586</f>
        <v>240</v>
      </c>
      <c r="P586" s="356">
        <f t="shared" ref="P586" si="346">N586/J586</f>
        <v>1.2601573936584678</v>
      </c>
      <c r="Q586" s="356">
        <f t="shared" ref="Q586:Q588" si="347">O586/J586</f>
        <v>1.2601573936584678</v>
      </c>
      <c r="R586" s="240"/>
      <c r="S586" s="715" t="s">
        <v>257</v>
      </c>
      <c r="T586" s="711" t="s">
        <v>595</v>
      </c>
      <c r="Z586" s="251"/>
      <c r="AB586" s="251"/>
      <c r="AC586" s="251"/>
      <c r="AD586" s="308"/>
    </row>
    <row r="587" spans="2:30" ht="17.25" customHeight="1" x14ac:dyDescent="0.25">
      <c r="B587" s="679" t="s">
        <v>843</v>
      </c>
      <c r="C587" s="637" t="s">
        <v>95</v>
      </c>
      <c r="D587" s="586" t="s">
        <v>55</v>
      </c>
      <c r="E587" s="664" t="s">
        <v>55</v>
      </c>
      <c r="F587" s="713" t="s">
        <v>55</v>
      </c>
      <c r="G587" s="713" t="s">
        <v>55</v>
      </c>
      <c r="H587" s="713" t="s">
        <v>37</v>
      </c>
      <c r="I587" s="235">
        <v>3.86</v>
      </c>
      <c r="J587" s="215">
        <f t="shared" si="344"/>
        <v>31.922199999999997</v>
      </c>
      <c r="K587" s="216" t="s">
        <v>55</v>
      </c>
      <c r="L587" s="214">
        <v>1</v>
      </c>
      <c r="M587" s="650" t="s">
        <v>55</v>
      </c>
      <c r="N587" s="653" t="s">
        <v>55</v>
      </c>
      <c r="O587" s="220">
        <f>CEILING((J587*L587),10)</f>
        <v>40</v>
      </c>
      <c r="P587" s="356" t="s">
        <v>55</v>
      </c>
      <c r="Q587" s="356" t="s">
        <v>55</v>
      </c>
      <c r="R587" s="590" t="s">
        <v>55</v>
      </c>
      <c r="S587" s="586" t="s">
        <v>55</v>
      </c>
      <c r="T587" s="711" t="s">
        <v>595</v>
      </c>
      <c r="Z587" s="251"/>
      <c r="AB587" s="251"/>
      <c r="AC587" s="251"/>
      <c r="AD587" s="308"/>
    </row>
    <row r="588" spans="2:30" ht="33" customHeight="1" x14ac:dyDescent="0.25">
      <c r="B588" s="679" t="s">
        <v>844</v>
      </c>
      <c r="C588" s="637" t="s">
        <v>829</v>
      </c>
      <c r="D588" s="586" t="s">
        <v>55</v>
      </c>
      <c r="E588" s="664" t="s">
        <v>55</v>
      </c>
      <c r="F588" s="713" t="s">
        <v>55</v>
      </c>
      <c r="G588" s="713" t="s">
        <v>55</v>
      </c>
      <c r="H588" s="713" t="s">
        <v>903</v>
      </c>
      <c r="I588" s="235">
        <v>3.86</v>
      </c>
      <c r="J588" s="215">
        <f t="shared" si="344"/>
        <v>21.886199999999999</v>
      </c>
      <c r="K588" s="216" t="s">
        <v>55</v>
      </c>
      <c r="L588" s="216" t="s">
        <v>820</v>
      </c>
      <c r="M588" s="320" t="s">
        <v>55</v>
      </c>
      <c r="N588" s="217" t="s">
        <v>55</v>
      </c>
      <c r="O588" s="220">
        <v>75</v>
      </c>
      <c r="P588" s="356" t="s">
        <v>55</v>
      </c>
      <c r="Q588" s="356">
        <f t="shared" si="347"/>
        <v>3.4268168983194891</v>
      </c>
      <c r="R588" s="220"/>
      <c r="S588" s="233" t="s">
        <v>55</v>
      </c>
      <c r="T588" s="749" t="s">
        <v>1022</v>
      </c>
      <c r="Z588" s="251"/>
      <c r="AB588" s="251"/>
      <c r="AC588" s="251"/>
      <c r="AD588" s="308"/>
    </row>
    <row r="589" spans="2:30" ht="34.15" customHeight="1" x14ac:dyDescent="0.25">
      <c r="B589" s="679" t="s">
        <v>845</v>
      </c>
      <c r="C589" s="637" t="s">
        <v>961</v>
      </c>
      <c r="D589" s="586" t="s">
        <v>55</v>
      </c>
      <c r="E589" s="664" t="s">
        <v>55</v>
      </c>
      <c r="F589" s="713">
        <v>1</v>
      </c>
      <c r="G589" s="713">
        <v>2</v>
      </c>
      <c r="H589" s="713" t="s">
        <v>904</v>
      </c>
      <c r="I589" s="235">
        <v>3.86</v>
      </c>
      <c r="J589" s="215">
        <f t="shared" si="344"/>
        <v>93.798000000000002</v>
      </c>
      <c r="K589" s="216" t="s">
        <v>670</v>
      </c>
      <c r="L589" s="237" t="s">
        <v>55</v>
      </c>
      <c r="M589" s="579" t="s">
        <v>55</v>
      </c>
      <c r="N589" s="215">
        <f>60*F589+20*G589</f>
        <v>100</v>
      </c>
      <c r="O589" s="220">
        <f>60*F589+20*G589</f>
        <v>100</v>
      </c>
      <c r="P589" s="356">
        <f>N589/J589</f>
        <v>1.0661208128105077</v>
      </c>
      <c r="Q589" s="356">
        <f>O589/J589</f>
        <v>1.0661208128105077</v>
      </c>
      <c r="R589" s="218" t="s">
        <v>55</v>
      </c>
      <c r="S589" s="608" t="s">
        <v>257</v>
      </c>
      <c r="T589" s="520" t="s">
        <v>595</v>
      </c>
      <c r="Z589" s="251"/>
      <c r="AB589" s="251"/>
      <c r="AC589" s="251"/>
      <c r="AD589" s="308"/>
    </row>
    <row r="590" spans="2:30" ht="17.25" customHeight="1" x14ac:dyDescent="0.25">
      <c r="B590" s="679"/>
      <c r="C590" s="637" t="s">
        <v>962</v>
      </c>
      <c r="D590" s="586" t="s">
        <v>55</v>
      </c>
      <c r="E590" s="223" t="s">
        <v>55</v>
      </c>
      <c r="F590" s="713" t="s">
        <v>55</v>
      </c>
      <c r="G590" s="713" t="s">
        <v>55</v>
      </c>
      <c r="H590" s="662" t="s">
        <v>55</v>
      </c>
      <c r="I590" s="713" t="s">
        <v>55</v>
      </c>
      <c r="J590" s="713" t="s">
        <v>55</v>
      </c>
      <c r="K590" s="216" t="s">
        <v>55</v>
      </c>
      <c r="L590" s="586" t="s">
        <v>55</v>
      </c>
      <c r="M590" s="650" t="s">
        <v>55</v>
      </c>
      <c r="N590" s="653" t="s">
        <v>55</v>
      </c>
      <c r="O590" s="656" t="s">
        <v>55</v>
      </c>
      <c r="P590" s="590" t="s">
        <v>55</v>
      </c>
      <c r="Q590" s="590" t="s">
        <v>55</v>
      </c>
      <c r="R590" s="590" t="s">
        <v>55</v>
      </c>
      <c r="S590" s="586" t="s">
        <v>55</v>
      </c>
      <c r="T590" s="717" t="s">
        <v>55</v>
      </c>
      <c r="Z590" s="251"/>
      <c r="AB590" s="251"/>
      <c r="AC590" s="251"/>
      <c r="AD590" s="308"/>
    </row>
    <row r="591" spans="2:30" ht="22.5" customHeight="1" x14ac:dyDescent="0.25">
      <c r="B591" s="679" t="s">
        <v>846</v>
      </c>
      <c r="C591" s="637" t="s">
        <v>20</v>
      </c>
      <c r="D591" s="586" t="s">
        <v>55</v>
      </c>
      <c r="E591" s="223" t="s">
        <v>55</v>
      </c>
      <c r="F591" s="713" t="s">
        <v>55</v>
      </c>
      <c r="G591" s="713">
        <f>ROUNDDOWN(8*0.8,0)</f>
        <v>6</v>
      </c>
      <c r="H591" s="713" t="s">
        <v>618</v>
      </c>
      <c r="I591" s="235">
        <v>3.86</v>
      </c>
      <c r="J591" s="215">
        <f t="shared" ref="J591:J592" si="348">H591*I591</f>
        <v>70.367800000000003</v>
      </c>
      <c r="K591" s="216" t="s">
        <v>558</v>
      </c>
      <c r="L591" s="317" t="s">
        <v>55</v>
      </c>
      <c r="M591" s="228" t="s">
        <v>55</v>
      </c>
      <c r="N591" s="226">
        <f>20*G591</f>
        <v>120</v>
      </c>
      <c r="O591" s="241">
        <f t="shared" ref="O591" si="349">20*G591</f>
        <v>120</v>
      </c>
      <c r="P591" s="356">
        <f t="shared" ref="P591" si="350">N591/J591</f>
        <v>1.7053254471505432</v>
      </c>
      <c r="Q591" s="356">
        <f t="shared" ref="Q591" si="351">O591/J591</f>
        <v>1.7053254471505432</v>
      </c>
      <c r="R591" s="240"/>
      <c r="S591" s="715" t="s">
        <v>257</v>
      </c>
      <c r="T591" s="711" t="s">
        <v>595</v>
      </c>
      <c r="Z591" s="251"/>
      <c r="AB591" s="251"/>
      <c r="AC591" s="251"/>
      <c r="AD591" s="308"/>
    </row>
    <row r="592" spans="2:30" ht="21.75" customHeight="1" x14ac:dyDescent="0.25">
      <c r="B592" s="679" t="s">
        <v>847</v>
      </c>
      <c r="C592" s="637" t="s">
        <v>1013</v>
      </c>
      <c r="D592" s="586" t="s">
        <v>55</v>
      </c>
      <c r="E592" s="223" t="s">
        <v>55</v>
      </c>
      <c r="F592" s="713">
        <v>2</v>
      </c>
      <c r="G592" s="713">
        <v>1</v>
      </c>
      <c r="H592" s="713" t="s">
        <v>905</v>
      </c>
      <c r="I592" s="235">
        <v>3.86</v>
      </c>
      <c r="J592" s="215">
        <f t="shared" si="348"/>
        <v>84.418199999999999</v>
      </c>
      <c r="K592" s="216" t="s">
        <v>670</v>
      </c>
      <c r="L592" s="237" t="s">
        <v>55</v>
      </c>
      <c r="M592" s="579" t="s">
        <v>55</v>
      </c>
      <c r="N592" s="215">
        <f>60*F592+20*G592</f>
        <v>140</v>
      </c>
      <c r="O592" s="220">
        <f>60*F592+20*G592</f>
        <v>140</v>
      </c>
      <c r="P592" s="356">
        <f>N592/J592</f>
        <v>1.6584101532607898</v>
      </c>
      <c r="Q592" s="356">
        <f>O592/J592</f>
        <v>1.6584101532607898</v>
      </c>
      <c r="R592" s="218" t="s">
        <v>55</v>
      </c>
      <c r="S592" s="608" t="s">
        <v>257</v>
      </c>
      <c r="T592" s="520" t="s">
        <v>595</v>
      </c>
      <c r="Z592" s="251"/>
      <c r="AB592" s="251"/>
      <c r="AC592" s="251"/>
      <c r="AD592" s="308"/>
    </row>
    <row r="593" spans="2:30" ht="17.25" customHeight="1" x14ac:dyDescent="0.25">
      <c r="B593" s="679"/>
      <c r="C593" s="637" t="s">
        <v>1014</v>
      </c>
      <c r="D593" s="586" t="s">
        <v>55</v>
      </c>
      <c r="E593" s="223" t="s">
        <v>55</v>
      </c>
      <c r="F593" s="713" t="s">
        <v>55</v>
      </c>
      <c r="G593" s="713" t="s">
        <v>55</v>
      </c>
      <c r="H593" s="662" t="s">
        <v>55</v>
      </c>
      <c r="I593" s="713" t="s">
        <v>55</v>
      </c>
      <c r="J593" s="713" t="s">
        <v>55</v>
      </c>
      <c r="K593" s="216"/>
      <c r="L593" s="586" t="s">
        <v>55</v>
      </c>
      <c r="M593" s="650" t="s">
        <v>55</v>
      </c>
      <c r="N593" s="653" t="s">
        <v>55</v>
      </c>
      <c r="O593" s="656" t="s">
        <v>55</v>
      </c>
      <c r="P593" s="356" t="s">
        <v>55</v>
      </c>
      <c r="Q593" s="356" t="s">
        <v>55</v>
      </c>
      <c r="R593" s="590" t="s">
        <v>55</v>
      </c>
      <c r="S593" s="586" t="s">
        <v>55</v>
      </c>
      <c r="T593" s="717" t="s">
        <v>55</v>
      </c>
      <c r="Z593" s="251"/>
      <c r="AB593" s="251"/>
      <c r="AC593" s="251"/>
      <c r="AD593" s="308"/>
    </row>
    <row r="594" spans="2:30" ht="33.75" customHeight="1" x14ac:dyDescent="0.25">
      <c r="B594" s="679" t="s">
        <v>848</v>
      </c>
      <c r="C594" s="637" t="s">
        <v>957</v>
      </c>
      <c r="D594" s="586" t="s">
        <v>55</v>
      </c>
      <c r="E594" s="223" t="s">
        <v>55</v>
      </c>
      <c r="F594" s="713">
        <v>2</v>
      </c>
      <c r="G594" s="713">
        <v>1</v>
      </c>
      <c r="H594" s="713" t="s">
        <v>906</v>
      </c>
      <c r="I594" s="235">
        <v>3.86</v>
      </c>
      <c r="J594" s="215">
        <f>H594*I594</f>
        <v>81.716200000000001</v>
      </c>
      <c r="K594" s="216" t="s">
        <v>670</v>
      </c>
      <c r="L594" s="237" t="s">
        <v>55</v>
      </c>
      <c r="M594" s="579" t="s">
        <v>55</v>
      </c>
      <c r="N594" s="215">
        <f>60*F594+20*G594</f>
        <v>140</v>
      </c>
      <c r="O594" s="220">
        <f>60*F594+20*G594</f>
        <v>140</v>
      </c>
      <c r="P594" s="356">
        <f>N594/J594</f>
        <v>1.7132465777899608</v>
      </c>
      <c r="Q594" s="356">
        <f>O594/J594</f>
        <v>1.7132465777899608</v>
      </c>
      <c r="R594" s="218" t="s">
        <v>55</v>
      </c>
      <c r="S594" s="608" t="s">
        <v>257</v>
      </c>
      <c r="T594" s="520" t="s">
        <v>595</v>
      </c>
      <c r="Z594" s="251"/>
      <c r="AB594" s="251"/>
      <c r="AC594" s="251"/>
      <c r="AD594" s="308"/>
    </row>
    <row r="595" spans="2:30" ht="17.25" customHeight="1" x14ac:dyDescent="0.25">
      <c r="B595" s="679"/>
      <c r="C595" s="637" t="s">
        <v>958</v>
      </c>
      <c r="D595" s="586" t="s">
        <v>55</v>
      </c>
      <c r="E595" s="223" t="s">
        <v>55</v>
      </c>
      <c r="F595" s="223" t="s">
        <v>55</v>
      </c>
      <c r="G595" s="223" t="s">
        <v>55</v>
      </c>
      <c r="H595" s="223" t="s">
        <v>55</v>
      </c>
      <c r="I595" s="223" t="s">
        <v>55</v>
      </c>
      <c r="J595" s="223" t="s">
        <v>55</v>
      </c>
      <c r="K595" s="216"/>
      <c r="L595" s="223" t="s">
        <v>55</v>
      </c>
      <c r="M595" s="223" t="s">
        <v>55</v>
      </c>
      <c r="N595" s="240" t="s">
        <v>55</v>
      </c>
      <c r="O595" s="229" t="s">
        <v>55</v>
      </c>
      <c r="P595" s="356" t="s">
        <v>55</v>
      </c>
      <c r="Q595" s="356" t="s">
        <v>55</v>
      </c>
      <c r="R595" s="229" t="s">
        <v>55</v>
      </c>
      <c r="S595" s="223" t="s">
        <v>55</v>
      </c>
      <c r="T595" s="321" t="s">
        <v>55</v>
      </c>
      <c r="Z595" s="251"/>
      <c r="AB595" s="251"/>
      <c r="AC595" s="251"/>
      <c r="AD595" s="308"/>
    </row>
    <row r="596" spans="2:30" ht="17.25" customHeight="1" x14ac:dyDescent="0.25">
      <c r="B596" s="679"/>
      <c r="C596" s="637" t="s">
        <v>959</v>
      </c>
      <c r="D596" s="586" t="s">
        <v>55</v>
      </c>
      <c r="E596" s="223" t="s">
        <v>55</v>
      </c>
      <c r="F596" s="223" t="s">
        <v>55</v>
      </c>
      <c r="G596" s="223" t="s">
        <v>55</v>
      </c>
      <c r="H596" s="223" t="s">
        <v>55</v>
      </c>
      <c r="I596" s="223" t="s">
        <v>55</v>
      </c>
      <c r="J596" s="223" t="s">
        <v>55</v>
      </c>
      <c r="K596" s="216" t="s">
        <v>55</v>
      </c>
      <c r="L596" s="223" t="s">
        <v>55</v>
      </c>
      <c r="M596" s="223" t="s">
        <v>55</v>
      </c>
      <c r="N596" s="240" t="s">
        <v>55</v>
      </c>
      <c r="O596" s="229" t="s">
        <v>55</v>
      </c>
      <c r="P596" s="356" t="s">
        <v>55</v>
      </c>
      <c r="Q596" s="356" t="s">
        <v>55</v>
      </c>
      <c r="R596" s="229" t="s">
        <v>55</v>
      </c>
      <c r="S596" s="223" t="s">
        <v>55</v>
      </c>
      <c r="T596" s="321" t="s">
        <v>55</v>
      </c>
      <c r="Z596" s="251"/>
      <c r="AB596" s="251"/>
      <c r="AC596" s="251"/>
      <c r="AD596" s="308"/>
    </row>
    <row r="597" spans="2:30" ht="17.25" customHeight="1" x14ac:dyDescent="0.25">
      <c r="B597" s="679"/>
      <c r="C597" s="637" t="s">
        <v>960</v>
      </c>
      <c r="D597" s="586" t="s">
        <v>55</v>
      </c>
      <c r="E597" s="223" t="s">
        <v>55</v>
      </c>
      <c r="F597" s="223" t="s">
        <v>55</v>
      </c>
      <c r="G597" s="223" t="s">
        <v>55</v>
      </c>
      <c r="H597" s="223" t="s">
        <v>55</v>
      </c>
      <c r="I597" s="223" t="s">
        <v>55</v>
      </c>
      <c r="J597" s="223" t="s">
        <v>55</v>
      </c>
      <c r="K597" s="216" t="s">
        <v>55</v>
      </c>
      <c r="L597" s="223" t="s">
        <v>55</v>
      </c>
      <c r="M597" s="223" t="s">
        <v>55</v>
      </c>
      <c r="N597" s="240" t="s">
        <v>55</v>
      </c>
      <c r="O597" s="229" t="s">
        <v>55</v>
      </c>
      <c r="P597" s="356" t="s">
        <v>55</v>
      </c>
      <c r="Q597" s="356" t="s">
        <v>55</v>
      </c>
      <c r="R597" s="229" t="s">
        <v>55</v>
      </c>
      <c r="S597" s="223" t="s">
        <v>55</v>
      </c>
      <c r="T597" s="321" t="s">
        <v>55</v>
      </c>
      <c r="Z597" s="251"/>
      <c r="AB597" s="251"/>
      <c r="AC597" s="251"/>
      <c r="AD597" s="308"/>
    </row>
    <row r="598" spans="2:30" ht="17.25" customHeight="1" x14ac:dyDescent="0.25">
      <c r="B598" s="679" t="s">
        <v>849</v>
      </c>
      <c r="C598" s="637" t="s">
        <v>54</v>
      </c>
      <c r="D598" s="663" t="s">
        <v>303</v>
      </c>
      <c r="E598" s="223" t="s">
        <v>55</v>
      </c>
      <c r="F598" s="713"/>
      <c r="G598" s="713"/>
      <c r="H598" s="713" t="s">
        <v>875</v>
      </c>
      <c r="I598" s="235">
        <v>3.86</v>
      </c>
      <c r="J598" s="215">
        <f t="shared" ref="J598:J599" si="352">H598*I598</f>
        <v>63.883000000000003</v>
      </c>
      <c r="K598" s="216" t="s">
        <v>55</v>
      </c>
      <c r="L598" s="214">
        <v>1</v>
      </c>
      <c r="M598" s="650" t="s">
        <v>55</v>
      </c>
      <c r="N598" s="215" t="s">
        <v>55</v>
      </c>
      <c r="O598" s="220">
        <f>CEILING((J598*L598),10)</f>
        <v>70</v>
      </c>
      <c r="P598" s="356" t="s">
        <v>55</v>
      </c>
      <c r="Q598" s="356">
        <f>O598/J598</f>
        <v>1.0957531737707997</v>
      </c>
      <c r="R598" s="217" t="s">
        <v>55</v>
      </c>
      <c r="S598" s="608" t="s">
        <v>55</v>
      </c>
      <c r="T598" s="520" t="s">
        <v>595</v>
      </c>
      <c r="Z598" s="251"/>
      <c r="AB598" s="251"/>
      <c r="AC598" s="251"/>
      <c r="AD598" s="308"/>
    </row>
    <row r="599" spans="2:30" ht="35.25" customHeight="1" x14ac:dyDescent="0.25">
      <c r="B599" s="679" t="s">
        <v>850</v>
      </c>
      <c r="C599" s="637" t="s">
        <v>963</v>
      </c>
      <c r="D599" s="586" t="s">
        <v>55</v>
      </c>
      <c r="E599" s="223" t="s">
        <v>55</v>
      </c>
      <c r="F599" s="713">
        <v>1</v>
      </c>
      <c r="G599" s="713">
        <v>2</v>
      </c>
      <c r="H599" s="713" t="s">
        <v>907</v>
      </c>
      <c r="I599" s="235">
        <v>3.86</v>
      </c>
      <c r="J599" s="215">
        <f t="shared" si="352"/>
        <v>87.467600000000004</v>
      </c>
      <c r="K599" s="216" t="s">
        <v>670</v>
      </c>
      <c r="L599" s="237" t="s">
        <v>55</v>
      </c>
      <c r="M599" s="579" t="s">
        <v>55</v>
      </c>
      <c r="N599" s="215">
        <f>60*F599+20*G599</f>
        <v>100</v>
      </c>
      <c r="O599" s="220">
        <f>60*F599+20*G599</f>
        <v>100</v>
      </c>
      <c r="P599" s="356">
        <f>N599/J599</f>
        <v>1.1432804832875259</v>
      </c>
      <c r="Q599" s="356">
        <f>O599/J599</f>
        <v>1.1432804832875259</v>
      </c>
      <c r="R599" s="218" t="s">
        <v>55</v>
      </c>
      <c r="S599" s="608" t="s">
        <v>257</v>
      </c>
      <c r="T599" s="520" t="s">
        <v>595</v>
      </c>
      <c r="Z599" s="251"/>
      <c r="AB599" s="251"/>
      <c r="AC599" s="251"/>
      <c r="AD599" s="308"/>
    </row>
    <row r="600" spans="2:30" ht="17.25" customHeight="1" x14ac:dyDescent="0.25">
      <c r="B600" s="679"/>
      <c r="C600" s="637" t="s">
        <v>964</v>
      </c>
      <c r="D600" s="586" t="s">
        <v>55</v>
      </c>
      <c r="E600" s="223" t="s">
        <v>55</v>
      </c>
      <c r="F600" s="223" t="s">
        <v>55</v>
      </c>
      <c r="G600" s="223" t="s">
        <v>55</v>
      </c>
      <c r="H600" s="223" t="s">
        <v>55</v>
      </c>
      <c r="I600" s="223" t="s">
        <v>55</v>
      </c>
      <c r="J600" s="223" t="s">
        <v>55</v>
      </c>
      <c r="K600" s="216"/>
      <c r="L600" s="237" t="s">
        <v>55</v>
      </c>
      <c r="M600" s="579" t="s">
        <v>55</v>
      </c>
      <c r="N600" s="673" t="s">
        <v>55</v>
      </c>
      <c r="O600" s="580" t="s">
        <v>55</v>
      </c>
      <c r="P600" s="356" t="s">
        <v>55</v>
      </c>
      <c r="Q600" s="356" t="s">
        <v>55</v>
      </c>
      <c r="R600" s="580" t="s">
        <v>55</v>
      </c>
      <c r="S600" s="579" t="s">
        <v>55</v>
      </c>
      <c r="T600" s="674" t="s">
        <v>55</v>
      </c>
      <c r="Z600" s="251"/>
      <c r="AB600" s="251"/>
      <c r="AC600" s="251"/>
      <c r="AD600" s="308"/>
    </row>
    <row r="601" spans="2:30" ht="37.5" customHeight="1" x14ac:dyDescent="0.25">
      <c r="B601" s="679" t="s">
        <v>851</v>
      </c>
      <c r="C601" s="637" t="s">
        <v>965</v>
      </c>
      <c r="D601" s="586" t="s">
        <v>55</v>
      </c>
      <c r="E601" s="223" t="s">
        <v>55</v>
      </c>
      <c r="F601" s="713">
        <v>1</v>
      </c>
      <c r="G601" s="713">
        <v>2</v>
      </c>
      <c r="H601" s="713" t="s">
        <v>908</v>
      </c>
      <c r="I601" s="235">
        <v>3.86</v>
      </c>
      <c r="J601" s="215">
        <f>H601*I601</f>
        <v>93.952399999999997</v>
      </c>
      <c r="K601" s="216" t="s">
        <v>670</v>
      </c>
      <c r="L601" s="237" t="s">
        <v>55</v>
      </c>
      <c r="M601" s="579" t="s">
        <v>55</v>
      </c>
      <c r="N601" s="215">
        <f>60*F601+20*G601</f>
        <v>100</v>
      </c>
      <c r="O601" s="220">
        <f>60*F601+20*G601</f>
        <v>100</v>
      </c>
      <c r="P601" s="356">
        <f>N601/J601</f>
        <v>1.0643687654599563</v>
      </c>
      <c r="Q601" s="356">
        <f>O601/J601</f>
        <v>1.0643687654599563</v>
      </c>
      <c r="R601" s="218" t="s">
        <v>55</v>
      </c>
      <c r="S601" s="608" t="s">
        <v>257</v>
      </c>
      <c r="T601" s="520" t="s">
        <v>595</v>
      </c>
      <c r="Z601" s="251"/>
      <c r="AB601" s="251"/>
      <c r="AC601" s="251"/>
      <c r="AD601" s="308"/>
    </row>
    <row r="602" spans="2:30" ht="17.25" customHeight="1" x14ac:dyDescent="0.25">
      <c r="B602" s="679"/>
      <c r="C602" s="637" t="s">
        <v>966</v>
      </c>
      <c r="D602" s="586" t="s">
        <v>55</v>
      </c>
      <c r="E602" s="223" t="s">
        <v>55</v>
      </c>
      <c r="F602" s="223" t="s">
        <v>55</v>
      </c>
      <c r="G602" s="223" t="s">
        <v>55</v>
      </c>
      <c r="H602" s="223" t="s">
        <v>55</v>
      </c>
      <c r="I602" s="223" t="s">
        <v>55</v>
      </c>
      <c r="J602" s="223" t="s">
        <v>55</v>
      </c>
      <c r="K602" s="216"/>
      <c r="L602" s="237" t="s">
        <v>55</v>
      </c>
      <c r="M602" s="579" t="s">
        <v>55</v>
      </c>
      <c r="N602" s="673" t="s">
        <v>55</v>
      </c>
      <c r="O602" s="580" t="s">
        <v>55</v>
      </c>
      <c r="P602" s="356" t="s">
        <v>55</v>
      </c>
      <c r="Q602" s="356" t="s">
        <v>55</v>
      </c>
      <c r="R602" s="580" t="s">
        <v>55</v>
      </c>
      <c r="S602" s="579" t="s">
        <v>55</v>
      </c>
      <c r="T602" s="674" t="s">
        <v>55</v>
      </c>
      <c r="Z602" s="251"/>
      <c r="AB602" s="251"/>
      <c r="AC602" s="251"/>
      <c r="AD602" s="308"/>
    </row>
    <row r="603" spans="2:30" ht="25.5" customHeight="1" x14ac:dyDescent="0.25">
      <c r="B603" s="679" t="s">
        <v>852</v>
      </c>
      <c r="C603" s="637" t="s">
        <v>967</v>
      </c>
      <c r="D603" s="586" t="s">
        <v>55</v>
      </c>
      <c r="E603" s="223" t="s">
        <v>55</v>
      </c>
      <c r="F603" s="713">
        <v>2</v>
      </c>
      <c r="G603" s="713"/>
      <c r="H603" s="713" t="s">
        <v>790</v>
      </c>
      <c r="I603" s="235">
        <v>3.86</v>
      </c>
      <c r="J603" s="215">
        <f>H603*I603</f>
        <v>85.923600000000008</v>
      </c>
      <c r="K603" s="316" t="s">
        <v>559</v>
      </c>
      <c r="L603" s="237" t="s">
        <v>55</v>
      </c>
      <c r="M603" s="579" t="s">
        <v>55</v>
      </c>
      <c r="N603" s="215">
        <f>60*F603+20*G603</f>
        <v>120</v>
      </c>
      <c r="O603" s="220">
        <f>60*F603+20*G603</f>
        <v>120</v>
      </c>
      <c r="P603" s="356">
        <f>N603/J603</f>
        <v>1.3965895283717162</v>
      </c>
      <c r="Q603" s="356">
        <f>O603/J603</f>
        <v>1.3965895283717162</v>
      </c>
      <c r="R603" s="218" t="s">
        <v>55</v>
      </c>
      <c r="S603" s="608" t="s">
        <v>257</v>
      </c>
      <c r="T603" s="520" t="s">
        <v>595</v>
      </c>
      <c r="Z603" s="251"/>
      <c r="AB603" s="251"/>
      <c r="AC603" s="251"/>
      <c r="AD603" s="308"/>
    </row>
    <row r="604" spans="2:30" ht="17.25" customHeight="1" x14ac:dyDescent="0.25">
      <c r="B604" s="679"/>
      <c r="C604" s="637" t="s">
        <v>968</v>
      </c>
      <c r="D604" s="586" t="s">
        <v>55</v>
      </c>
      <c r="E604" s="223" t="s">
        <v>55</v>
      </c>
      <c r="F604" s="586" t="s">
        <v>55</v>
      </c>
      <c r="G604" s="223" t="s">
        <v>55</v>
      </c>
      <c r="H604" s="586" t="s">
        <v>55</v>
      </c>
      <c r="I604" s="223" t="s">
        <v>55</v>
      </c>
      <c r="J604" s="586" t="s">
        <v>55</v>
      </c>
      <c r="K604" s="223" t="s">
        <v>55</v>
      </c>
      <c r="L604" s="586" t="s">
        <v>55</v>
      </c>
      <c r="M604" s="223" t="s">
        <v>55</v>
      </c>
      <c r="N604" s="750" t="s">
        <v>55</v>
      </c>
      <c r="O604" s="229" t="s">
        <v>55</v>
      </c>
      <c r="P604" s="590" t="s">
        <v>55</v>
      </c>
      <c r="Q604" s="229" t="s">
        <v>55</v>
      </c>
      <c r="R604" s="590" t="s">
        <v>55</v>
      </c>
      <c r="S604" s="223" t="s">
        <v>55</v>
      </c>
      <c r="T604" s="717" t="s">
        <v>55</v>
      </c>
      <c r="Z604" s="251"/>
      <c r="AB604" s="251"/>
      <c r="AC604" s="251"/>
      <c r="AD604" s="308"/>
    </row>
    <row r="605" spans="2:30" ht="17.25" customHeight="1" x14ac:dyDescent="0.25">
      <c r="B605" s="679"/>
      <c r="C605" s="637" t="s">
        <v>969</v>
      </c>
      <c r="D605" s="586" t="s">
        <v>55</v>
      </c>
      <c r="E605" s="223" t="s">
        <v>55</v>
      </c>
      <c r="F605" s="586" t="s">
        <v>55</v>
      </c>
      <c r="G605" s="223" t="s">
        <v>55</v>
      </c>
      <c r="H605" s="586" t="s">
        <v>55</v>
      </c>
      <c r="I605" s="223" t="s">
        <v>55</v>
      </c>
      <c r="J605" s="586" t="s">
        <v>55</v>
      </c>
      <c r="K605" s="223" t="s">
        <v>55</v>
      </c>
      <c r="L605" s="586" t="s">
        <v>55</v>
      </c>
      <c r="M605" s="223" t="s">
        <v>55</v>
      </c>
      <c r="N605" s="750" t="s">
        <v>55</v>
      </c>
      <c r="O605" s="229" t="s">
        <v>55</v>
      </c>
      <c r="P605" s="590" t="s">
        <v>55</v>
      </c>
      <c r="Q605" s="229" t="s">
        <v>55</v>
      </c>
      <c r="R605" s="590" t="s">
        <v>55</v>
      </c>
      <c r="S605" s="223" t="s">
        <v>55</v>
      </c>
      <c r="T605" s="717" t="s">
        <v>55</v>
      </c>
      <c r="Z605" s="251"/>
      <c r="AB605" s="251"/>
      <c r="AC605" s="251"/>
      <c r="AD605" s="308"/>
    </row>
    <row r="606" spans="2:30" ht="17.25" customHeight="1" x14ac:dyDescent="0.25">
      <c r="B606" s="679"/>
      <c r="C606" s="637" t="s">
        <v>970</v>
      </c>
      <c r="D606" s="586" t="s">
        <v>55</v>
      </c>
      <c r="E606" s="223" t="s">
        <v>55</v>
      </c>
      <c r="F606" s="586" t="s">
        <v>55</v>
      </c>
      <c r="G606" s="223" t="s">
        <v>55</v>
      </c>
      <c r="H606" s="586" t="s">
        <v>55</v>
      </c>
      <c r="I606" s="223" t="s">
        <v>55</v>
      </c>
      <c r="J606" s="586" t="s">
        <v>55</v>
      </c>
      <c r="K606" s="223" t="s">
        <v>55</v>
      </c>
      <c r="L606" s="586" t="s">
        <v>55</v>
      </c>
      <c r="M606" s="223" t="s">
        <v>55</v>
      </c>
      <c r="N606" s="750" t="s">
        <v>55</v>
      </c>
      <c r="O606" s="229" t="s">
        <v>55</v>
      </c>
      <c r="P606" s="590" t="s">
        <v>55</v>
      </c>
      <c r="Q606" s="229" t="s">
        <v>55</v>
      </c>
      <c r="R606" s="590" t="s">
        <v>55</v>
      </c>
      <c r="S606" s="223" t="s">
        <v>55</v>
      </c>
      <c r="T606" s="717" t="s">
        <v>55</v>
      </c>
      <c r="Z606" s="251"/>
      <c r="AB606" s="251"/>
      <c r="AC606" s="251"/>
      <c r="AD606" s="308"/>
    </row>
    <row r="607" spans="2:30" ht="17.25" customHeight="1" x14ac:dyDescent="0.25">
      <c r="B607" s="679"/>
      <c r="C607" s="637" t="s">
        <v>971</v>
      </c>
      <c r="D607" s="586" t="s">
        <v>55</v>
      </c>
      <c r="E607" s="223" t="s">
        <v>55</v>
      </c>
      <c r="F607" s="586" t="s">
        <v>55</v>
      </c>
      <c r="G607" s="223" t="s">
        <v>55</v>
      </c>
      <c r="H607" s="586" t="s">
        <v>55</v>
      </c>
      <c r="I607" s="223" t="s">
        <v>55</v>
      </c>
      <c r="J607" s="586" t="s">
        <v>55</v>
      </c>
      <c r="K607" s="223" t="s">
        <v>55</v>
      </c>
      <c r="L607" s="586" t="s">
        <v>55</v>
      </c>
      <c r="M607" s="223" t="s">
        <v>55</v>
      </c>
      <c r="N607" s="750" t="s">
        <v>55</v>
      </c>
      <c r="O607" s="229" t="s">
        <v>55</v>
      </c>
      <c r="P607" s="590" t="s">
        <v>55</v>
      </c>
      <c r="Q607" s="229" t="s">
        <v>55</v>
      </c>
      <c r="R607" s="590" t="s">
        <v>55</v>
      </c>
      <c r="S607" s="223" t="s">
        <v>55</v>
      </c>
      <c r="T607" s="717" t="s">
        <v>55</v>
      </c>
      <c r="Z607" s="251"/>
      <c r="AB607" s="251"/>
      <c r="AC607" s="251"/>
      <c r="AD607" s="308"/>
    </row>
    <row r="608" spans="2:30" ht="38.25" customHeight="1" x14ac:dyDescent="0.25">
      <c r="B608" s="679" t="s">
        <v>853</v>
      </c>
      <c r="C608" s="637" t="s">
        <v>153</v>
      </c>
      <c r="D608" s="586" t="s">
        <v>55</v>
      </c>
      <c r="E608" s="223" t="s">
        <v>55</v>
      </c>
      <c r="F608" s="713">
        <v>1</v>
      </c>
      <c r="G608" s="713">
        <v>2</v>
      </c>
      <c r="H608" s="713" t="s">
        <v>909</v>
      </c>
      <c r="I608" s="235">
        <v>3.86</v>
      </c>
      <c r="J608" s="215">
        <f>H608*I608</f>
        <v>91.211799999999997</v>
      </c>
      <c r="K608" s="216" t="s">
        <v>670</v>
      </c>
      <c r="L608" s="237" t="s">
        <v>55</v>
      </c>
      <c r="M608" s="579" t="s">
        <v>55</v>
      </c>
      <c r="N608" s="215">
        <f>60*F608+20*G608</f>
        <v>100</v>
      </c>
      <c r="O608" s="220">
        <f>60*F608+20*G608</f>
        <v>100</v>
      </c>
      <c r="P608" s="356">
        <f>N608/J608</f>
        <v>1.0963493758483003</v>
      </c>
      <c r="Q608" s="356">
        <f>O608/J608</f>
        <v>1.0963493758483003</v>
      </c>
      <c r="R608" s="218" t="s">
        <v>55</v>
      </c>
      <c r="S608" s="608" t="s">
        <v>257</v>
      </c>
      <c r="T608" s="520" t="s">
        <v>595</v>
      </c>
      <c r="Z608" s="251"/>
      <c r="AB608" s="251"/>
      <c r="AC608" s="251"/>
      <c r="AD608" s="308"/>
    </row>
    <row r="609" spans="2:30" ht="17.25" customHeight="1" x14ac:dyDescent="0.25">
      <c r="B609" s="679"/>
      <c r="C609" s="637" t="s">
        <v>1015</v>
      </c>
      <c r="D609" s="586" t="s">
        <v>55</v>
      </c>
      <c r="E609" s="223" t="s">
        <v>55</v>
      </c>
      <c r="F609" s="586" t="s">
        <v>55</v>
      </c>
      <c r="G609" s="223" t="s">
        <v>55</v>
      </c>
      <c r="H609" s="586" t="s">
        <v>55</v>
      </c>
      <c r="I609" s="223" t="s">
        <v>55</v>
      </c>
      <c r="J609" s="586" t="s">
        <v>55</v>
      </c>
      <c r="K609" s="216"/>
      <c r="L609" s="237" t="s">
        <v>55</v>
      </c>
      <c r="M609" s="579" t="s">
        <v>55</v>
      </c>
      <c r="N609" s="673" t="s">
        <v>55</v>
      </c>
      <c r="O609" s="580" t="s">
        <v>55</v>
      </c>
      <c r="P609" s="356" t="s">
        <v>55</v>
      </c>
      <c r="Q609" s="356" t="s">
        <v>55</v>
      </c>
      <c r="R609" s="580" t="s">
        <v>55</v>
      </c>
      <c r="S609" s="579" t="s">
        <v>55</v>
      </c>
      <c r="T609" s="674" t="s">
        <v>55</v>
      </c>
      <c r="Z609" s="251"/>
      <c r="AB609" s="251"/>
      <c r="AC609" s="251"/>
      <c r="AD609" s="308"/>
    </row>
    <row r="610" spans="2:30" ht="29.25" customHeight="1" x14ac:dyDescent="0.25">
      <c r="B610" s="679" t="s">
        <v>854</v>
      </c>
      <c r="C610" s="637" t="s">
        <v>967</v>
      </c>
      <c r="D610" s="586" t="s">
        <v>55</v>
      </c>
      <c r="E610" s="223" t="s">
        <v>55</v>
      </c>
      <c r="F610" s="713">
        <v>2</v>
      </c>
      <c r="G610" s="713"/>
      <c r="H610" s="713" t="s">
        <v>910</v>
      </c>
      <c r="I610" s="235">
        <v>3.86</v>
      </c>
      <c r="J610" s="215">
        <f>H610*I610</f>
        <v>97.233400000000003</v>
      </c>
      <c r="K610" s="216" t="s">
        <v>559</v>
      </c>
      <c r="L610" s="237" t="s">
        <v>55</v>
      </c>
      <c r="M610" s="579" t="s">
        <v>55</v>
      </c>
      <c r="N610" s="215">
        <f>60*F610+20*G610</f>
        <v>120</v>
      </c>
      <c r="O610" s="220">
        <f>60*F610+20*G610</f>
        <v>120</v>
      </c>
      <c r="P610" s="356">
        <f>N610/J610</f>
        <v>1.2341438230073205</v>
      </c>
      <c r="Q610" s="356">
        <f>O610/J610</f>
        <v>1.2341438230073205</v>
      </c>
      <c r="R610" s="218" t="s">
        <v>55</v>
      </c>
      <c r="S610" s="608" t="s">
        <v>257</v>
      </c>
      <c r="T610" s="520" t="s">
        <v>595</v>
      </c>
      <c r="Z610" s="251"/>
      <c r="AB610" s="251"/>
      <c r="AC610" s="251"/>
      <c r="AD610" s="308"/>
    </row>
    <row r="611" spans="2:30" ht="17.25" customHeight="1" x14ac:dyDescent="0.25">
      <c r="B611" s="679"/>
      <c r="C611" s="637" t="s">
        <v>972</v>
      </c>
      <c r="D611" s="586" t="s">
        <v>55</v>
      </c>
      <c r="E611" s="223" t="s">
        <v>55</v>
      </c>
      <c r="F611" s="223" t="s">
        <v>55</v>
      </c>
      <c r="G611" s="223" t="s">
        <v>55</v>
      </c>
      <c r="H611" s="223" t="s">
        <v>55</v>
      </c>
      <c r="I611" s="223" t="s">
        <v>55</v>
      </c>
      <c r="J611" s="223" t="s">
        <v>55</v>
      </c>
      <c r="K611" s="216" t="s">
        <v>55</v>
      </c>
      <c r="L611" s="223" t="s">
        <v>55</v>
      </c>
      <c r="M611" s="223" t="s">
        <v>55</v>
      </c>
      <c r="N611" s="240" t="s">
        <v>55</v>
      </c>
      <c r="O611" s="229" t="s">
        <v>55</v>
      </c>
      <c r="P611" s="356" t="s">
        <v>55</v>
      </c>
      <c r="Q611" s="356" t="s">
        <v>55</v>
      </c>
      <c r="R611" s="229" t="s">
        <v>55</v>
      </c>
      <c r="S611" s="223" t="s">
        <v>55</v>
      </c>
      <c r="T611" s="321" t="s">
        <v>55</v>
      </c>
      <c r="Z611" s="251"/>
      <c r="AB611" s="251"/>
      <c r="AC611" s="251"/>
      <c r="AD611" s="308"/>
    </row>
    <row r="612" spans="2:30" ht="17.25" customHeight="1" x14ac:dyDescent="0.25">
      <c r="B612" s="679"/>
      <c r="C612" s="637" t="s">
        <v>973</v>
      </c>
      <c r="D612" s="586" t="s">
        <v>55</v>
      </c>
      <c r="E612" s="223" t="s">
        <v>55</v>
      </c>
      <c r="F612" s="223" t="s">
        <v>55</v>
      </c>
      <c r="G612" s="223" t="s">
        <v>55</v>
      </c>
      <c r="H612" s="223" t="s">
        <v>55</v>
      </c>
      <c r="I612" s="223" t="s">
        <v>55</v>
      </c>
      <c r="J612" s="223" t="s">
        <v>55</v>
      </c>
      <c r="K612" s="216" t="s">
        <v>55</v>
      </c>
      <c r="L612" s="223" t="s">
        <v>55</v>
      </c>
      <c r="M612" s="223" t="s">
        <v>55</v>
      </c>
      <c r="N612" s="240" t="s">
        <v>55</v>
      </c>
      <c r="O612" s="229" t="s">
        <v>55</v>
      </c>
      <c r="P612" s="356" t="s">
        <v>55</v>
      </c>
      <c r="Q612" s="356" t="s">
        <v>55</v>
      </c>
      <c r="R612" s="229" t="s">
        <v>55</v>
      </c>
      <c r="S612" s="223" t="s">
        <v>55</v>
      </c>
      <c r="T612" s="321" t="s">
        <v>55</v>
      </c>
      <c r="Z612" s="251"/>
      <c r="AB612" s="251"/>
      <c r="AC612" s="251"/>
      <c r="AD612" s="308"/>
    </row>
    <row r="613" spans="2:30" ht="17.25" customHeight="1" x14ac:dyDescent="0.25">
      <c r="B613" s="679"/>
      <c r="C613" s="637" t="s">
        <v>974</v>
      </c>
      <c r="D613" s="586" t="s">
        <v>55</v>
      </c>
      <c r="E613" s="223" t="s">
        <v>55</v>
      </c>
      <c r="F613" s="223" t="s">
        <v>55</v>
      </c>
      <c r="G613" s="223" t="s">
        <v>55</v>
      </c>
      <c r="H613" s="223" t="s">
        <v>55</v>
      </c>
      <c r="I613" s="223" t="s">
        <v>55</v>
      </c>
      <c r="J613" s="223" t="s">
        <v>55</v>
      </c>
      <c r="K613" s="216" t="s">
        <v>55</v>
      </c>
      <c r="L613" s="223" t="s">
        <v>55</v>
      </c>
      <c r="M613" s="223" t="s">
        <v>55</v>
      </c>
      <c r="N613" s="240" t="s">
        <v>55</v>
      </c>
      <c r="O613" s="229" t="s">
        <v>55</v>
      </c>
      <c r="P613" s="356" t="s">
        <v>55</v>
      </c>
      <c r="Q613" s="356" t="s">
        <v>55</v>
      </c>
      <c r="R613" s="229" t="s">
        <v>55</v>
      </c>
      <c r="S613" s="223" t="s">
        <v>55</v>
      </c>
      <c r="T613" s="321" t="s">
        <v>55</v>
      </c>
      <c r="Z613" s="251"/>
      <c r="AB613" s="251"/>
      <c r="AC613" s="251"/>
      <c r="AD613" s="308"/>
    </row>
    <row r="614" spans="2:30" ht="37.5" customHeight="1" x14ac:dyDescent="0.25">
      <c r="B614" s="679" t="s">
        <v>855</v>
      </c>
      <c r="C614" s="637" t="s">
        <v>830</v>
      </c>
      <c r="D614" s="586" t="s">
        <v>55</v>
      </c>
      <c r="E614" s="223" t="s">
        <v>55</v>
      </c>
      <c r="F614" s="713">
        <v>1</v>
      </c>
      <c r="G614" s="713">
        <v>2</v>
      </c>
      <c r="H614" s="713" t="s">
        <v>911</v>
      </c>
      <c r="I614" s="235">
        <v>3.86</v>
      </c>
      <c r="J614" s="215">
        <f t="shared" ref="J614:J615" si="353">H614*I614</f>
        <v>83.376000000000005</v>
      </c>
      <c r="K614" s="216" t="s">
        <v>670</v>
      </c>
      <c r="L614" s="237" t="s">
        <v>55</v>
      </c>
      <c r="M614" s="579" t="s">
        <v>55</v>
      </c>
      <c r="N614" s="215">
        <f>60*F614+20*G614</f>
        <v>100</v>
      </c>
      <c r="O614" s="220">
        <f>60*F614+20*G614</f>
        <v>100</v>
      </c>
      <c r="P614" s="356">
        <f>N614/J614</f>
        <v>1.1993859144118211</v>
      </c>
      <c r="Q614" s="356">
        <f>O614/J614</f>
        <v>1.1993859144118211</v>
      </c>
      <c r="R614" s="218" t="s">
        <v>55</v>
      </c>
      <c r="S614" s="608" t="s">
        <v>257</v>
      </c>
      <c r="T614" s="520" t="s">
        <v>595</v>
      </c>
      <c r="Z614" s="251"/>
      <c r="AB614" s="251"/>
      <c r="AC614" s="251"/>
      <c r="AD614" s="308"/>
    </row>
    <row r="615" spans="2:30" ht="33.75" customHeight="1" x14ac:dyDescent="0.25">
      <c r="B615" s="679" t="s">
        <v>856</v>
      </c>
      <c r="C615" s="637" t="s">
        <v>975</v>
      </c>
      <c r="D615" s="586" t="s">
        <v>55</v>
      </c>
      <c r="E615" s="223" t="s">
        <v>55</v>
      </c>
      <c r="F615" s="713">
        <v>1</v>
      </c>
      <c r="G615" s="713">
        <v>2</v>
      </c>
      <c r="H615" s="713" t="s">
        <v>912</v>
      </c>
      <c r="I615" s="235">
        <v>3.86</v>
      </c>
      <c r="J615" s="215">
        <f t="shared" si="353"/>
        <v>75.076999999999998</v>
      </c>
      <c r="K615" s="216" t="s">
        <v>670</v>
      </c>
      <c r="L615" s="237" t="s">
        <v>55</v>
      </c>
      <c r="M615" s="579" t="s">
        <v>55</v>
      </c>
      <c r="N615" s="215">
        <f>60*F615+20*G615</f>
        <v>100</v>
      </c>
      <c r="O615" s="220">
        <f>60*F615+20*G615</f>
        <v>100</v>
      </c>
      <c r="P615" s="356">
        <f>N615/J615</f>
        <v>1.3319658483956471</v>
      </c>
      <c r="Q615" s="356">
        <f>O615/J615</f>
        <v>1.3319658483956471</v>
      </c>
      <c r="R615" s="218" t="s">
        <v>55</v>
      </c>
      <c r="S615" s="608" t="s">
        <v>257</v>
      </c>
      <c r="T615" s="520" t="s">
        <v>595</v>
      </c>
      <c r="Z615" s="251"/>
      <c r="AB615" s="251"/>
      <c r="AC615" s="251"/>
      <c r="AD615" s="308"/>
    </row>
    <row r="616" spans="2:30" ht="17.25" customHeight="1" x14ac:dyDescent="0.25">
      <c r="B616" s="679"/>
      <c r="C616" s="637" t="s">
        <v>976</v>
      </c>
      <c r="D616" s="586" t="s">
        <v>55</v>
      </c>
      <c r="E616" s="223" t="s">
        <v>55</v>
      </c>
      <c r="F616" s="586" t="s">
        <v>55</v>
      </c>
      <c r="G616" s="223" t="s">
        <v>55</v>
      </c>
      <c r="H616" s="223" t="s">
        <v>55</v>
      </c>
      <c r="I616" s="223" t="s">
        <v>55</v>
      </c>
      <c r="J616" s="223" t="s">
        <v>55</v>
      </c>
      <c r="K616" s="216"/>
      <c r="L616" s="237" t="s">
        <v>55</v>
      </c>
      <c r="M616" s="579" t="s">
        <v>55</v>
      </c>
      <c r="N616" s="673" t="s">
        <v>55</v>
      </c>
      <c r="O616" s="580" t="s">
        <v>55</v>
      </c>
      <c r="P616" s="356" t="s">
        <v>55</v>
      </c>
      <c r="Q616" s="356" t="s">
        <v>55</v>
      </c>
      <c r="R616" s="580" t="s">
        <v>55</v>
      </c>
      <c r="S616" s="579" t="s">
        <v>55</v>
      </c>
      <c r="T616" s="674" t="s">
        <v>55</v>
      </c>
      <c r="Z616" s="251"/>
      <c r="AB616" s="251"/>
      <c r="AC616" s="251"/>
      <c r="AD616" s="308"/>
    </row>
    <row r="617" spans="2:30" ht="17.25" customHeight="1" x14ac:dyDescent="0.25">
      <c r="B617" s="679" t="s">
        <v>857</v>
      </c>
      <c r="C617" s="637" t="s">
        <v>54</v>
      </c>
      <c r="D617" s="663" t="s">
        <v>303</v>
      </c>
      <c r="E617" s="223" t="s">
        <v>55</v>
      </c>
      <c r="F617" s="586" t="s">
        <v>55</v>
      </c>
      <c r="G617" s="713"/>
      <c r="H617" s="713" t="s">
        <v>913</v>
      </c>
      <c r="I617" s="235">
        <v>3.86</v>
      </c>
      <c r="J617" s="215">
        <f t="shared" ref="J617:J622" si="354">H617*I617</f>
        <v>42.073999999999998</v>
      </c>
      <c r="K617" s="291" t="s">
        <v>55</v>
      </c>
      <c r="L617" s="214">
        <v>1</v>
      </c>
      <c r="M617" s="650" t="s">
        <v>55</v>
      </c>
      <c r="N617" s="215" t="s">
        <v>55</v>
      </c>
      <c r="O617" s="220">
        <f>CEILING((J617*L617),10)</f>
        <v>50</v>
      </c>
      <c r="P617" s="356" t="s">
        <v>55</v>
      </c>
      <c r="Q617" s="356">
        <f>O617/J617</f>
        <v>1.1883823739126302</v>
      </c>
      <c r="R617" s="217" t="s">
        <v>55</v>
      </c>
      <c r="S617" s="608" t="s">
        <v>55</v>
      </c>
      <c r="T617" s="520" t="s">
        <v>595</v>
      </c>
      <c r="Z617" s="251"/>
      <c r="AB617" s="251"/>
      <c r="AC617" s="251"/>
      <c r="AD617" s="308"/>
    </row>
    <row r="618" spans="2:30" ht="17.25" customHeight="1" x14ac:dyDescent="0.25">
      <c r="B618" s="679" t="s">
        <v>858</v>
      </c>
      <c r="C618" s="637" t="s">
        <v>831</v>
      </c>
      <c r="D618" s="586" t="s">
        <v>55</v>
      </c>
      <c r="E618" s="223" t="s">
        <v>55</v>
      </c>
      <c r="F618" s="586" t="s">
        <v>55</v>
      </c>
      <c r="G618" s="713"/>
      <c r="H618" s="713" t="s">
        <v>914</v>
      </c>
      <c r="I618" s="235">
        <v>3.86</v>
      </c>
      <c r="J618" s="215">
        <f t="shared" si="354"/>
        <v>84.688400000000001</v>
      </c>
      <c r="K618" s="291" t="s">
        <v>55</v>
      </c>
      <c r="L618" s="214">
        <v>1</v>
      </c>
      <c r="M618" s="650" t="s">
        <v>55</v>
      </c>
      <c r="N618" s="215" t="s">
        <v>55</v>
      </c>
      <c r="O618" s="220">
        <f>CEILING((J618*L618),10)</f>
        <v>90</v>
      </c>
      <c r="P618" s="356" t="s">
        <v>55</v>
      </c>
      <c r="Q618" s="356">
        <f>O618/J618</f>
        <v>1.0627193334624341</v>
      </c>
      <c r="R618" s="217" t="s">
        <v>55</v>
      </c>
      <c r="S618" s="608" t="s">
        <v>55</v>
      </c>
      <c r="T618" s="520" t="s">
        <v>595</v>
      </c>
      <c r="Z618" s="251"/>
      <c r="AB618" s="251"/>
      <c r="AC618" s="251"/>
      <c r="AD618" s="308"/>
    </row>
    <row r="619" spans="2:30" ht="34.5" customHeight="1" x14ac:dyDescent="0.25">
      <c r="B619" s="679" t="s">
        <v>859</v>
      </c>
      <c r="C619" s="637" t="s">
        <v>540</v>
      </c>
      <c r="D619" s="586" t="s">
        <v>55</v>
      </c>
      <c r="E619" s="223" t="s">
        <v>55</v>
      </c>
      <c r="F619" s="586" t="s">
        <v>55</v>
      </c>
      <c r="G619" s="713">
        <f>ROUNDDOWN(9*0.8,0)</f>
        <v>7</v>
      </c>
      <c r="H619" s="713" t="s">
        <v>915</v>
      </c>
      <c r="I619" s="235">
        <v>3.86</v>
      </c>
      <c r="J619" s="215">
        <f t="shared" si="354"/>
        <v>153.55080000000001</v>
      </c>
      <c r="K619" s="216" t="s">
        <v>558</v>
      </c>
      <c r="L619" s="317" t="s">
        <v>55</v>
      </c>
      <c r="M619" s="228" t="s">
        <v>55</v>
      </c>
      <c r="N619" s="226">
        <f>20*G619</f>
        <v>140</v>
      </c>
      <c r="O619" s="241">
        <f t="shared" ref="O619" si="355">20*G619</f>
        <v>140</v>
      </c>
      <c r="P619" s="356">
        <f t="shared" ref="P619" si="356">N619/J619</f>
        <v>0.91175037837640693</v>
      </c>
      <c r="Q619" s="356">
        <f t="shared" ref="Q619" si="357">O619/J619</f>
        <v>0.91175037837640693</v>
      </c>
      <c r="R619" s="240"/>
      <c r="S619" s="608" t="s">
        <v>257</v>
      </c>
      <c r="T619" s="520" t="s">
        <v>595</v>
      </c>
      <c r="Z619" s="251"/>
      <c r="AB619" s="251"/>
      <c r="AC619" s="251"/>
      <c r="AD619" s="308"/>
    </row>
    <row r="620" spans="2:30" ht="22.5" customHeight="1" x14ac:dyDescent="0.25">
      <c r="B620" s="679" t="s">
        <v>860</v>
      </c>
      <c r="C620" s="637" t="s">
        <v>553</v>
      </c>
      <c r="D620" s="586" t="s">
        <v>55</v>
      </c>
      <c r="E620" s="223" t="s">
        <v>55</v>
      </c>
      <c r="F620" s="586" t="s">
        <v>55</v>
      </c>
      <c r="G620" s="713">
        <f>ROUNDDOWN(12*0.8,0)</f>
        <v>9</v>
      </c>
      <c r="H620" s="713" t="s">
        <v>868</v>
      </c>
      <c r="I620" s="235">
        <v>3.86</v>
      </c>
      <c r="J620" s="215">
        <f t="shared" si="354"/>
        <v>63.6128</v>
      </c>
      <c r="K620" s="216" t="s">
        <v>558</v>
      </c>
      <c r="L620" s="317" t="s">
        <v>55</v>
      </c>
      <c r="M620" s="228" t="s">
        <v>55</v>
      </c>
      <c r="N620" s="226">
        <f>20*G620</f>
        <v>180</v>
      </c>
      <c r="O620" s="241">
        <f t="shared" ref="O620" si="358">20*G620</f>
        <v>180</v>
      </c>
      <c r="P620" s="356">
        <f t="shared" ref="P620" si="359">N620/J620</f>
        <v>2.8296191961366266</v>
      </c>
      <c r="Q620" s="356">
        <f t="shared" ref="Q620" si="360">O620/J620</f>
        <v>2.8296191961366266</v>
      </c>
      <c r="R620" s="240"/>
      <c r="S620" s="715" t="s">
        <v>257</v>
      </c>
      <c r="T620" s="711" t="s">
        <v>595</v>
      </c>
      <c r="Z620" s="251"/>
      <c r="AB620" s="251"/>
      <c r="AC620" s="251"/>
      <c r="AD620" s="308"/>
    </row>
    <row r="621" spans="2:30" ht="23.25" customHeight="1" x14ac:dyDescent="0.25">
      <c r="B621" s="679" t="s">
        <v>861</v>
      </c>
      <c r="C621" s="637" t="s">
        <v>20</v>
      </c>
      <c r="D621" s="586" t="s">
        <v>55</v>
      </c>
      <c r="E621" s="223" t="s">
        <v>55</v>
      </c>
      <c r="F621" s="586" t="s">
        <v>55</v>
      </c>
      <c r="G621" s="713">
        <f>ROUNDDOWN(6*0.8,0)</f>
        <v>4</v>
      </c>
      <c r="H621" s="713" t="s">
        <v>916</v>
      </c>
      <c r="I621" s="235">
        <v>3.86</v>
      </c>
      <c r="J621" s="215">
        <f t="shared" si="354"/>
        <v>60.486199999999997</v>
      </c>
      <c r="K621" s="216" t="s">
        <v>558</v>
      </c>
      <c r="L621" s="317" t="s">
        <v>55</v>
      </c>
      <c r="M621" s="228" t="s">
        <v>55</v>
      </c>
      <c r="N621" s="226">
        <f>20*G621</f>
        <v>80</v>
      </c>
      <c r="O621" s="241">
        <f t="shared" ref="O621" si="361">20*G621</f>
        <v>80</v>
      </c>
      <c r="P621" s="356">
        <f t="shared" ref="P621" si="362">N621/J621</f>
        <v>1.3226157371433485</v>
      </c>
      <c r="Q621" s="356">
        <f t="shared" ref="Q621" si="363">O621/J621</f>
        <v>1.3226157371433485</v>
      </c>
      <c r="R621" s="240"/>
      <c r="S621" s="715" t="s">
        <v>257</v>
      </c>
      <c r="T621" s="711" t="s">
        <v>595</v>
      </c>
      <c r="Z621" s="251"/>
      <c r="AB621" s="251"/>
      <c r="AC621" s="251"/>
      <c r="AD621" s="308"/>
    </row>
    <row r="622" spans="2:30" ht="33.75" customHeight="1" x14ac:dyDescent="0.25">
      <c r="B622" s="679" t="s">
        <v>862</v>
      </c>
      <c r="C622" s="637" t="s">
        <v>977</v>
      </c>
      <c r="D622" s="586" t="s">
        <v>55</v>
      </c>
      <c r="E622" s="223" t="s">
        <v>55</v>
      </c>
      <c r="F622" s="713">
        <v>1</v>
      </c>
      <c r="G622" s="713">
        <v>2</v>
      </c>
      <c r="H622" s="713" t="s">
        <v>917</v>
      </c>
      <c r="I622" s="235">
        <v>3.86</v>
      </c>
      <c r="J622" s="215">
        <f t="shared" si="354"/>
        <v>77.431599999999989</v>
      </c>
      <c r="K622" s="216" t="s">
        <v>670</v>
      </c>
      <c r="L622" s="237" t="s">
        <v>55</v>
      </c>
      <c r="M622" s="579" t="s">
        <v>55</v>
      </c>
      <c r="N622" s="215">
        <f>60*F622+20*G622</f>
        <v>100</v>
      </c>
      <c r="O622" s="220">
        <f>60*F622+20*G622</f>
        <v>100</v>
      </c>
      <c r="P622" s="356">
        <f>N622/J622</f>
        <v>1.2914624003636761</v>
      </c>
      <c r="Q622" s="356">
        <f>O622/J622</f>
        <v>1.2914624003636761</v>
      </c>
      <c r="R622" s="218" t="s">
        <v>55</v>
      </c>
      <c r="S622" s="608" t="s">
        <v>257</v>
      </c>
      <c r="T622" s="520" t="s">
        <v>595</v>
      </c>
      <c r="Z622" s="251"/>
      <c r="AB622" s="251"/>
      <c r="AC622" s="251"/>
      <c r="AD622" s="308"/>
    </row>
    <row r="623" spans="2:30" ht="17.25" customHeight="1" x14ac:dyDescent="0.25">
      <c r="B623" s="679"/>
      <c r="C623" s="637" t="s">
        <v>978</v>
      </c>
      <c r="D623" s="586" t="s">
        <v>55</v>
      </c>
      <c r="E623" s="223" t="s">
        <v>55</v>
      </c>
      <c r="F623" s="223" t="s">
        <v>55</v>
      </c>
      <c r="G623" s="223" t="s">
        <v>55</v>
      </c>
      <c r="H623" s="223" t="s">
        <v>55</v>
      </c>
      <c r="I623" s="223" t="s">
        <v>55</v>
      </c>
      <c r="J623" s="223" t="s">
        <v>55</v>
      </c>
      <c r="K623" s="216"/>
      <c r="L623" s="237" t="s">
        <v>55</v>
      </c>
      <c r="M623" s="579" t="s">
        <v>55</v>
      </c>
      <c r="N623" s="673" t="s">
        <v>55</v>
      </c>
      <c r="O623" s="580" t="s">
        <v>55</v>
      </c>
      <c r="P623" s="356" t="s">
        <v>55</v>
      </c>
      <c r="Q623" s="356" t="s">
        <v>55</v>
      </c>
      <c r="R623" s="580" t="s">
        <v>55</v>
      </c>
      <c r="S623" s="579" t="s">
        <v>55</v>
      </c>
      <c r="T623" s="674" t="s">
        <v>55</v>
      </c>
      <c r="Z623" s="251"/>
      <c r="AB623" s="251"/>
      <c r="AC623" s="251"/>
      <c r="AD623" s="308"/>
    </row>
    <row r="624" spans="2:30" ht="17.25" customHeight="1" x14ac:dyDescent="0.25">
      <c r="B624" s="679"/>
      <c r="C624" s="637" t="s">
        <v>979</v>
      </c>
      <c r="D624" s="586" t="s">
        <v>55</v>
      </c>
      <c r="E624" s="223" t="s">
        <v>55</v>
      </c>
      <c r="F624" s="223" t="s">
        <v>55</v>
      </c>
      <c r="G624" s="223" t="s">
        <v>55</v>
      </c>
      <c r="H624" s="223" t="s">
        <v>55</v>
      </c>
      <c r="I624" s="223" t="s">
        <v>55</v>
      </c>
      <c r="J624" s="223" t="s">
        <v>55</v>
      </c>
      <c r="K624" s="216" t="s">
        <v>55</v>
      </c>
      <c r="L624" s="237" t="s">
        <v>55</v>
      </c>
      <c r="M624" s="579" t="s">
        <v>55</v>
      </c>
      <c r="N624" s="673" t="s">
        <v>55</v>
      </c>
      <c r="O624" s="580" t="s">
        <v>55</v>
      </c>
      <c r="P624" s="356" t="s">
        <v>55</v>
      </c>
      <c r="Q624" s="356" t="s">
        <v>55</v>
      </c>
      <c r="R624" s="580" t="s">
        <v>55</v>
      </c>
      <c r="S624" s="579" t="s">
        <v>55</v>
      </c>
      <c r="T624" s="674" t="s">
        <v>55</v>
      </c>
      <c r="Z624" s="251"/>
      <c r="AB624" s="251"/>
      <c r="AC624" s="251"/>
      <c r="AD624" s="308"/>
    </row>
    <row r="625" spans="2:30" ht="36" customHeight="1" x14ac:dyDescent="0.25">
      <c r="B625" s="679" t="s">
        <v>863</v>
      </c>
      <c r="C625" s="637" t="s">
        <v>980</v>
      </c>
      <c r="D625" s="586" t="s">
        <v>55</v>
      </c>
      <c r="E625" s="223" t="s">
        <v>55</v>
      </c>
      <c r="F625" s="713">
        <v>1</v>
      </c>
      <c r="G625" s="713">
        <v>2</v>
      </c>
      <c r="H625" s="713" t="s">
        <v>918</v>
      </c>
      <c r="I625" s="235">
        <v>3.86</v>
      </c>
      <c r="J625" s="215">
        <f>H625*I625</f>
        <v>65.658600000000007</v>
      </c>
      <c r="K625" s="216" t="s">
        <v>670</v>
      </c>
      <c r="L625" s="237" t="s">
        <v>55</v>
      </c>
      <c r="M625" s="579" t="s">
        <v>55</v>
      </c>
      <c r="N625" s="215">
        <f>60*F625+20*G625</f>
        <v>100</v>
      </c>
      <c r="O625" s="220">
        <f>60*F625+20*G625</f>
        <v>100</v>
      </c>
      <c r="P625" s="356">
        <f>N625/J625</f>
        <v>1.5230297325864395</v>
      </c>
      <c r="Q625" s="356">
        <f>O625/J625</f>
        <v>1.5230297325864395</v>
      </c>
      <c r="R625" s="218" t="s">
        <v>55</v>
      </c>
      <c r="S625" s="608" t="s">
        <v>257</v>
      </c>
      <c r="T625" s="520" t="s">
        <v>595</v>
      </c>
      <c r="Z625" s="251"/>
      <c r="AB625" s="251"/>
      <c r="AC625" s="251"/>
      <c r="AD625" s="308"/>
    </row>
    <row r="626" spans="2:30" ht="17.25" customHeight="1" x14ac:dyDescent="0.25">
      <c r="B626" s="679"/>
      <c r="C626" s="637" t="s">
        <v>981</v>
      </c>
      <c r="D626" s="586" t="s">
        <v>55</v>
      </c>
      <c r="E626" s="223" t="s">
        <v>55</v>
      </c>
      <c r="F626" s="223" t="s">
        <v>55</v>
      </c>
      <c r="G626" s="223" t="s">
        <v>55</v>
      </c>
      <c r="H626" s="223" t="s">
        <v>55</v>
      </c>
      <c r="I626" s="223" t="s">
        <v>55</v>
      </c>
      <c r="J626" s="223" t="s">
        <v>55</v>
      </c>
      <c r="K626" s="216"/>
      <c r="L626" s="237" t="s">
        <v>55</v>
      </c>
      <c r="M626" s="579" t="s">
        <v>55</v>
      </c>
      <c r="N626" s="673" t="s">
        <v>55</v>
      </c>
      <c r="O626" s="580" t="s">
        <v>55</v>
      </c>
      <c r="P626" s="356" t="s">
        <v>55</v>
      </c>
      <c r="Q626" s="356" t="s">
        <v>55</v>
      </c>
      <c r="R626" s="580" t="s">
        <v>55</v>
      </c>
      <c r="S626" s="579" t="s">
        <v>55</v>
      </c>
      <c r="T626" s="674" t="s">
        <v>55</v>
      </c>
      <c r="Z626" s="251"/>
      <c r="AB626" s="251"/>
      <c r="AC626" s="251"/>
      <c r="AD626" s="308"/>
    </row>
    <row r="627" spans="2:30" ht="17.25" customHeight="1" x14ac:dyDescent="0.25">
      <c r="B627" s="679"/>
      <c r="C627" s="637" t="s">
        <v>982</v>
      </c>
      <c r="D627" s="586" t="s">
        <v>55</v>
      </c>
      <c r="E627" s="223" t="s">
        <v>55</v>
      </c>
      <c r="F627" s="223" t="s">
        <v>55</v>
      </c>
      <c r="G627" s="223" t="s">
        <v>55</v>
      </c>
      <c r="H627" s="223" t="s">
        <v>55</v>
      </c>
      <c r="I627" s="223" t="s">
        <v>55</v>
      </c>
      <c r="J627" s="223" t="s">
        <v>55</v>
      </c>
      <c r="K627" s="216" t="s">
        <v>55</v>
      </c>
      <c r="L627" s="237" t="s">
        <v>55</v>
      </c>
      <c r="M627" s="579" t="s">
        <v>55</v>
      </c>
      <c r="N627" s="673" t="s">
        <v>55</v>
      </c>
      <c r="O627" s="580" t="s">
        <v>55</v>
      </c>
      <c r="P627" s="356" t="s">
        <v>55</v>
      </c>
      <c r="Q627" s="356" t="s">
        <v>55</v>
      </c>
      <c r="R627" s="580" t="s">
        <v>55</v>
      </c>
      <c r="S627" s="579" t="s">
        <v>55</v>
      </c>
      <c r="T627" s="674" t="s">
        <v>55</v>
      </c>
      <c r="Z627" s="251"/>
      <c r="AB627" s="251"/>
      <c r="AC627" s="251"/>
      <c r="AD627" s="308"/>
    </row>
    <row r="628" spans="2:30" ht="23.25" customHeight="1" x14ac:dyDescent="0.25">
      <c r="B628" s="679" t="s">
        <v>864</v>
      </c>
      <c r="C628" s="637" t="s">
        <v>983</v>
      </c>
      <c r="D628" s="586" t="s">
        <v>55</v>
      </c>
      <c r="E628" s="223" t="s">
        <v>55</v>
      </c>
      <c r="F628" s="713">
        <v>7</v>
      </c>
      <c r="G628" s="223"/>
      <c r="H628" s="713" t="s">
        <v>919</v>
      </c>
      <c r="I628" s="235">
        <v>3.86</v>
      </c>
      <c r="J628" s="215">
        <f>H628*I628</f>
        <v>165.2852</v>
      </c>
      <c r="K628" s="216" t="s">
        <v>559</v>
      </c>
      <c r="L628" s="237" t="s">
        <v>55</v>
      </c>
      <c r="M628" s="579" t="s">
        <v>55</v>
      </c>
      <c r="N628" s="215">
        <f>60*F628+20*G628</f>
        <v>420</v>
      </c>
      <c r="O628" s="220">
        <f>60*F628+20*G628</f>
        <v>420</v>
      </c>
      <c r="P628" s="356">
        <f>N628/J628</f>
        <v>2.5410623576702571</v>
      </c>
      <c r="Q628" s="356">
        <f>O628/J628</f>
        <v>2.5410623576702571</v>
      </c>
      <c r="R628" s="218" t="s">
        <v>55</v>
      </c>
      <c r="S628" s="608" t="s">
        <v>257</v>
      </c>
      <c r="T628" s="520" t="s">
        <v>595</v>
      </c>
      <c r="Z628" s="251"/>
      <c r="AB628" s="251"/>
      <c r="AC628" s="251"/>
      <c r="AD628" s="308"/>
    </row>
    <row r="629" spans="2:30" ht="17.25" customHeight="1" x14ac:dyDescent="0.25">
      <c r="B629" s="679"/>
      <c r="C629" s="637" t="s">
        <v>984</v>
      </c>
      <c r="D629" s="586" t="s">
        <v>55</v>
      </c>
      <c r="E629" s="223" t="s">
        <v>55</v>
      </c>
      <c r="F629" s="223" t="s">
        <v>55</v>
      </c>
      <c r="G629" s="223" t="s">
        <v>55</v>
      </c>
      <c r="H629" s="223" t="s">
        <v>55</v>
      </c>
      <c r="I629" s="223" t="s">
        <v>55</v>
      </c>
      <c r="J629" s="223" t="s">
        <v>55</v>
      </c>
      <c r="K629" s="216" t="s">
        <v>55</v>
      </c>
      <c r="L629" s="223" t="s">
        <v>55</v>
      </c>
      <c r="M629" s="223" t="s">
        <v>55</v>
      </c>
      <c r="N629" s="240" t="s">
        <v>55</v>
      </c>
      <c r="O629" s="229" t="s">
        <v>55</v>
      </c>
      <c r="P629" s="356" t="s">
        <v>55</v>
      </c>
      <c r="Q629" s="356" t="s">
        <v>55</v>
      </c>
      <c r="R629" s="229" t="s">
        <v>55</v>
      </c>
      <c r="S629" s="223" t="s">
        <v>55</v>
      </c>
      <c r="T629" s="321" t="s">
        <v>55</v>
      </c>
      <c r="Z629" s="251"/>
      <c r="AB629" s="251"/>
      <c r="AC629" s="251"/>
      <c r="AD629" s="308"/>
    </row>
    <row r="630" spans="2:30" ht="17.25" customHeight="1" x14ac:dyDescent="0.25">
      <c r="B630" s="679" t="s">
        <v>865</v>
      </c>
      <c r="C630" s="637" t="s">
        <v>95</v>
      </c>
      <c r="D630" s="586" t="s">
        <v>55</v>
      </c>
      <c r="E630" s="223" t="s">
        <v>55</v>
      </c>
      <c r="F630" s="223" t="s">
        <v>55</v>
      </c>
      <c r="G630" s="223" t="s">
        <v>55</v>
      </c>
      <c r="H630" s="713" t="s">
        <v>875</v>
      </c>
      <c r="I630" s="235">
        <v>3.86</v>
      </c>
      <c r="J630" s="215">
        <f t="shared" ref="J630:J631" si="364">H630*I630</f>
        <v>63.883000000000003</v>
      </c>
      <c r="K630" s="216" t="s">
        <v>55</v>
      </c>
      <c r="L630" s="214">
        <v>1</v>
      </c>
      <c r="M630" s="650" t="s">
        <v>55</v>
      </c>
      <c r="N630" s="215" t="s">
        <v>55</v>
      </c>
      <c r="O630" s="220">
        <f>CEILING((J630*L630),10)</f>
        <v>70</v>
      </c>
      <c r="P630" s="356" t="s">
        <v>55</v>
      </c>
      <c r="Q630" s="356">
        <f>O630/J630</f>
        <v>1.0957531737707997</v>
      </c>
      <c r="R630" s="217" t="s">
        <v>55</v>
      </c>
      <c r="S630" s="608" t="s">
        <v>55</v>
      </c>
      <c r="T630" s="520" t="s">
        <v>595</v>
      </c>
      <c r="Z630" s="251"/>
      <c r="AB630" s="251"/>
      <c r="AC630" s="251"/>
      <c r="AD630" s="308"/>
    </row>
    <row r="631" spans="2:30" ht="20.25" customHeight="1" x14ac:dyDescent="0.25">
      <c r="B631" s="679" t="s">
        <v>866</v>
      </c>
      <c r="C631" s="637" t="s">
        <v>81</v>
      </c>
      <c r="D631" s="586" t="s">
        <v>55</v>
      </c>
      <c r="E631" s="223" t="s">
        <v>55</v>
      </c>
      <c r="F631" s="713">
        <v>3</v>
      </c>
      <c r="G631" s="713"/>
      <c r="H631" s="713" t="s">
        <v>802</v>
      </c>
      <c r="I631" s="235">
        <v>3.86</v>
      </c>
      <c r="J631" s="215">
        <f t="shared" si="364"/>
        <v>89.513400000000004</v>
      </c>
      <c r="K631" s="216" t="s">
        <v>559</v>
      </c>
      <c r="L631" s="237" t="s">
        <v>55</v>
      </c>
      <c r="M631" s="579" t="s">
        <v>55</v>
      </c>
      <c r="N631" s="215">
        <f>60*F631+20*G631</f>
        <v>180</v>
      </c>
      <c r="O631" s="220">
        <f>60*F631+20*G631</f>
        <v>180</v>
      </c>
      <c r="P631" s="356">
        <f>N631/J631</f>
        <v>2.0108721152363778</v>
      </c>
      <c r="Q631" s="356">
        <f>O631/J631</f>
        <v>2.0108721152363778</v>
      </c>
      <c r="R631" s="218" t="s">
        <v>55</v>
      </c>
      <c r="S631" s="608" t="s">
        <v>257</v>
      </c>
      <c r="T631" s="520" t="s">
        <v>595</v>
      </c>
      <c r="Z631" s="251"/>
      <c r="AB631" s="251"/>
      <c r="AC631" s="251"/>
      <c r="AD631" s="308"/>
    </row>
    <row r="632" spans="2:30" ht="17.25" customHeight="1" x14ac:dyDescent="0.25">
      <c r="B632" s="679"/>
      <c r="C632" s="637" t="s">
        <v>1012</v>
      </c>
      <c r="D632" s="586" t="s">
        <v>55</v>
      </c>
      <c r="E632" s="223" t="s">
        <v>55</v>
      </c>
      <c r="F632" s="223" t="s">
        <v>55</v>
      </c>
      <c r="G632" s="223" t="s">
        <v>55</v>
      </c>
      <c r="H632" s="223" t="s">
        <v>55</v>
      </c>
      <c r="I632" s="223" t="s">
        <v>55</v>
      </c>
      <c r="J632" s="223" t="s">
        <v>55</v>
      </c>
      <c r="K632" s="216" t="s">
        <v>55</v>
      </c>
      <c r="L632" s="223" t="s">
        <v>55</v>
      </c>
      <c r="M632" s="223" t="s">
        <v>55</v>
      </c>
      <c r="N632" s="240" t="s">
        <v>55</v>
      </c>
      <c r="O632" s="229" t="s">
        <v>55</v>
      </c>
      <c r="P632" s="356" t="s">
        <v>55</v>
      </c>
      <c r="Q632" s="356" t="s">
        <v>55</v>
      </c>
      <c r="R632" s="229" t="s">
        <v>55</v>
      </c>
      <c r="S632" s="223" t="s">
        <v>55</v>
      </c>
      <c r="T632" s="321" t="s">
        <v>55</v>
      </c>
      <c r="Z632" s="251"/>
      <c r="AB632" s="251"/>
      <c r="AC632" s="251"/>
      <c r="AD632" s="308"/>
    </row>
    <row r="633" spans="2:30" ht="21.75" customHeight="1" x14ac:dyDescent="0.25">
      <c r="B633" s="679" t="s">
        <v>867</v>
      </c>
      <c r="C633" s="637" t="s">
        <v>832</v>
      </c>
      <c r="D633" s="586" t="s">
        <v>55</v>
      </c>
      <c r="E633" s="223" t="s">
        <v>55</v>
      </c>
      <c r="F633" s="713">
        <v>4</v>
      </c>
      <c r="G633" s="713"/>
      <c r="H633" s="713" t="s">
        <v>920</v>
      </c>
      <c r="I633" s="235">
        <v>3.86</v>
      </c>
      <c r="J633" s="215">
        <f t="shared" ref="J633:J636" si="365">H633*I633</f>
        <v>110.47320000000001</v>
      </c>
      <c r="K633" s="216" t="s">
        <v>559</v>
      </c>
      <c r="L633" s="237" t="s">
        <v>55</v>
      </c>
      <c r="M633" s="579" t="s">
        <v>55</v>
      </c>
      <c r="N633" s="215">
        <f>60*F633+20*G633</f>
        <v>240</v>
      </c>
      <c r="O633" s="220">
        <f>60*F633+20*G633</f>
        <v>240</v>
      </c>
      <c r="P633" s="356">
        <f>N633/J633</f>
        <v>2.1724725996893364</v>
      </c>
      <c r="Q633" s="356">
        <f>O633/J633</f>
        <v>2.1724725996893364</v>
      </c>
      <c r="R633" s="218" t="s">
        <v>55</v>
      </c>
      <c r="S633" s="608" t="s">
        <v>257</v>
      </c>
      <c r="T633" s="520" t="s">
        <v>595</v>
      </c>
      <c r="Z633" s="251"/>
      <c r="AB633" s="251"/>
      <c r="AC633" s="251"/>
      <c r="AD633" s="308"/>
    </row>
    <row r="634" spans="2:30" ht="21" customHeight="1" x14ac:dyDescent="0.25">
      <c r="B634" s="679" t="s">
        <v>868</v>
      </c>
      <c r="C634" s="637" t="s">
        <v>833</v>
      </c>
      <c r="D634" s="586" t="s">
        <v>55</v>
      </c>
      <c r="E634" s="223" t="s">
        <v>55</v>
      </c>
      <c r="F634" s="713">
        <v>3</v>
      </c>
      <c r="G634" s="713"/>
      <c r="H634" s="713" t="s">
        <v>921</v>
      </c>
      <c r="I634" s="235">
        <v>3.86</v>
      </c>
      <c r="J634" s="215">
        <f t="shared" si="365"/>
        <v>81.253</v>
      </c>
      <c r="K634" s="216" t="s">
        <v>559</v>
      </c>
      <c r="L634" s="237" t="s">
        <v>55</v>
      </c>
      <c r="M634" s="579" t="s">
        <v>55</v>
      </c>
      <c r="N634" s="215">
        <f>60*F634+20*G634</f>
        <v>180</v>
      </c>
      <c r="O634" s="220">
        <f>60*F634+20*G634</f>
        <v>180</v>
      </c>
      <c r="P634" s="356">
        <f>N634/J634</f>
        <v>2.2153028195881999</v>
      </c>
      <c r="Q634" s="356">
        <f>O634/J634</f>
        <v>2.2153028195881999</v>
      </c>
      <c r="R634" s="218" t="s">
        <v>55</v>
      </c>
      <c r="S634" s="608" t="s">
        <v>257</v>
      </c>
      <c r="T634" s="520" t="s">
        <v>595</v>
      </c>
      <c r="Z634" s="251"/>
      <c r="AB634" s="251"/>
      <c r="AC634" s="251"/>
      <c r="AD634" s="308"/>
    </row>
    <row r="635" spans="2:30" ht="20.25" customHeight="1" x14ac:dyDescent="0.25">
      <c r="B635" s="679" t="s">
        <v>869</v>
      </c>
      <c r="C635" s="637" t="s">
        <v>834</v>
      </c>
      <c r="D635" s="586" t="s">
        <v>55</v>
      </c>
      <c r="E635" s="223" t="s">
        <v>55</v>
      </c>
      <c r="F635" s="713">
        <v>2</v>
      </c>
      <c r="G635" s="713"/>
      <c r="H635" s="713" t="s">
        <v>922</v>
      </c>
      <c r="I635" s="235">
        <v>3.86</v>
      </c>
      <c r="J635" s="215">
        <f t="shared" si="365"/>
        <v>53.268000000000001</v>
      </c>
      <c r="K635" s="216" t="s">
        <v>559</v>
      </c>
      <c r="L635" s="237" t="s">
        <v>55</v>
      </c>
      <c r="M635" s="579" t="s">
        <v>55</v>
      </c>
      <c r="N635" s="215">
        <f>60*F635+20*G635</f>
        <v>120</v>
      </c>
      <c r="O635" s="220">
        <f>60*F635+20*G635</f>
        <v>120</v>
      </c>
      <c r="P635" s="356">
        <f>N635/J635</f>
        <v>2.2527596305474207</v>
      </c>
      <c r="Q635" s="356">
        <f>O635/J635</f>
        <v>2.2527596305474207</v>
      </c>
      <c r="R635" s="218" t="s">
        <v>55</v>
      </c>
      <c r="S635" s="608" t="s">
        <v>257</v>
      </c>
      <c r="T635" s="520" t="s">
        <v>595</v>
      </c>
      <c r="Z635" s="251">
        <f>SUM(N633:N635)</f>
        <v>540</v>
      </c>
      <c r="AB635" s="251"/>
      <c r="AC635" s="251"/>
      <c r="AD635" s="308"/>
    </row>
    <row r="636" spans="2:30" ht="22.5" customHeight="1" x14ac:dyDescent="0.25">
      <c r="B636" s="679" t="s">
        <v>870</v>
      </c>
      <c r="C636" s="637" t="s">
        <v>1010</v>
      </c>
      <c r="D636" s="586" t="s">
        <v>55</v>
      </c>
      <c r="E636" s="223" t="s">
        <v>55</v>
      </c>
      <c r="F636" s="713">
        <v>8</v>
      </c>
      <c r="G636" s="713"/>
      <c r="H636" s="713" t="s">
        <v>923</v>
      </c>
      <c r="I636" s="235">
        <v>3.86</v>
      </c>
      <c r="J636" s="215">
        <f t="shared" si="365"/>
        <v>188.75399999999999</v>
      </c>
      <c r="K636" s="216" t="s">
        <v>559</v>
      </c>
      <c r="L636" s="237" t="s">
        <v>55</v>
      </c>
      <c r="M636" s="579" t="s">
        <v>55</v>
      </c>
      <c r="N636" s="215">
        <f>60*F636+20*G636</f>
        <v>480</v>
      </c>
      <c r="O636" s="220">
        <f>60*F636+20*G636</f>
        <v>480</v>
      </c>
      <c r="P636" s="356">
        <f>N636/J636</f>
        <v>2.5429924663848182</v>
      </c>
      <c r="Q636" s="356">
        <f>O636/J636</f>
        <v>2.5429924663848182</v>
      </c>
      <c r="R636" s="218" t="s">
        <v>55</v>
      </c>
      <c r="S636" s="608" t="s">
        <v>257</v>
      </c>
      <c r="T636" s="520" t="s">
        <v>595</v>
      </c>
      <c r="Z636" s="251"/>
      <c r="AB636" s="251"/>
      <c r="AC636" s="251"/>
      <c r="AD636" s="308"/>
    </row>
    <row r="637" spans="2:30" ht="17.25" customHeight="1" x14ac:dyDescent="0.25">
      <c r="B637" s="679"/>
      <c r="C637" s="637" t="s">
        <v>1011</v>
      </c>
      <c r="D637" s="586" t="s">
        <v>55</v>
      </c>
      <c r="E637" s="223" t="s">
        <v>55</v>
      </c>
      <c r="F637" s="223" t="s">
        <v>55</v>
      </c>
      <c r="G637" s="223" t="s">
        <v>55</v>
      </c>
      <c r="H637" s="223" t="s">
        <v>55</v>
      </c>
      <c r="I637" s="223" t="s">
        <v>55</v>
      </c>
      <c r="J637" s="223" t="s">
        <v>55</v>
      </c>
      <c r="K637" s="216" t="s">
        <v>55</v>
      </c>
      <c r="L637" s="223" t="s">
        <v>55</v>
      </c>
      <c r="M637" s="223" t="s">
        <v>55</v>
      </c>
      <c r="N637" s="240" t="s">
        <v>55</v>
      </c>
      <c r="O637" s="229" t="s">
        <v>55</v>
      </c>
      <c r="P637" s="356" t="s">
        <v>55</v>
      </c>
      <c r="Q637" s="356" t="s">
        <v>55</v>
      </c>
      <c r="R637" s="229" t="s">
        <v>55</v>
      </c>
      <c r="S637" s="223" t="s">
        <v>55</v>
      </c>
      <c r="T637" s="321" t="s">
        <v>55</v>
      </c>
      <c r="Z637" s="251"/>
      <c r="AB637" s="251"/>
      <c r="AC637" s="251"/>
      <c r="AD637" s="308"/>
    </row>
    <row r="638" spans="2:30" ht="23.25" customHeight="1" x14ac:dyDescent="0.25">
      <c r="B638" s="679" t="s">
        <v>871</v>
      </c>
      <c r="C638" s="637" t="s">
        <v>950</v>
      </c>
      <c r="D638" s="586" t="s">
        <v>55</v>
      </c>
      <c r="E638" s="223" t="s">
        <v>55</v>
      </c>
      <c r="F638" s="713">
        <v>17</v>
      </c>
      <c r="G638" s="713"/>
      <c r="H638" s="713" t="s">
        <v>924</v>
      </c>
      <c r="I638" s="235">
        <v>3.86</v>
      </c>
      <c r="J638" s="215">
        <f>H638*I638</f>
        <v>453.97460000000001</v>
      </c>
      <c r="K638" s="216" t="s">
        <v>559</v>
      </c>
      <c r="L638" s="237" t="s">
        <v>55</v>
      </c>
      <c r="M638" s="579" t="s">
        <v>55</v>
      </c>
      <c r="N638" s="215">
        <f>60*F638+20*G638</f>
        <v>1020</v>
      </c>
      <c r="O638" s="220">
        <f>60*F638+20*G638</f>
        <v>1020</v>
      </c>
      <c r="P638" s="356">
        <f>N638/J638</f>
        <v>2.2468217384849285</v>
      </c>
      <c r="Q638" s="356">
        <f>O638/J638</f>
        <v>2.2468217384849285</v>
      </c>
      <c r="R638" s="218" t="s">
        <v>55</v>
      </c>
      <c r="S638" s="608" t="s">
        <v>257</v>
      </c>
      <c r="T638" s="520" t="s">
        <v>595</v>
      </c>
      <c r="Z638" s="251"/>
      <c r="AB638" s="251"/>
      <c r="AC638" s="251"/>
      <c r="AD638" s="308"/>
    </row>
    <row r="639" spans="2:30" ht="17.25" customHeight="1" x14ac:dyDescent="0.25">
      <c r="B639" s="679"/>
      <c r="C639" s="751" t="s">
        <v>951</v>
      </c>
      <c r="D639" s="586" t="s">
        <v>55</v>
      </c>
      <c r="E639" s="223" t="s">
        <v>55</v>
      </c>
      <c r="F639" s="223" t="s">
        <v>55</v>
      </c>
      <c r="G639" s="223" t="s">
        <v>55</v>
      </c>
      <c r="H639" s="223" t="s">
        <v>55</v>
      </c>
      <c r="I639" s="223" t="s">
        <v>55</v>
      </c>
      <c r="J639" s="223" t="s">
        <v>55</v>
      </c>
      <c r="K639" s="216" t="s">
        <v>55</v>
      </c>
      <c r="L639" s="223" t="s">
        <v>55</v>
      </c>
      <c r="M639" s="223" t="s">
        <v>55</v>
      </c>
      <c r="N639" s="240" t="s">
        <v>55</v>
      </c>
      <c r="O639" s="229" t="s">
        <v>55</v>
      </c>
      <c r="P639" s="356" t="s">
        <v>55</v>
      </c>
      <c r="Q639" s="356" t="s">
        <v>55</v>
      </c>
      <c r="R639" s="229" t="s">
        <v>55</v>
      </c>
      <c r="S639" s="223" t="s">
        <v>55</v>
      </c>
      <c r="T639" s="321" t="s">
        <v>55</v>
      </c>
      <c r="Z639" s="251"/>
      <c r="AB639" s="251"/>
      <c r="AC639" s="251"/>
      <c r="AD639" s="308"/>
    </row>
    <row r="640" spans="2:30" ht="17.25" customHeight="1" x14ac:dyDescent="0.25">
      <c r="B640" s="679"/>
      <c r="C640" s="637" t="s">
        <v>952</v>
      </c>
      <c r="D640" s="586" t="s">
        <v>55</v>
      </c>
      <c r="E640" s="223" t="s">
        <v>55</v>
      </c>
      <c r="F640" s="223" t="s">
        <v>55</v>
      </c>
      <c r="G640" s="223" t="s">
        <v>55</v>
      </c>
      <c r="H640" s="223" t="s">
        <v>55</v>
      </c>
      <c r="I640" s="223" t="s">
        <v>55</v>
      </c>
      <c r="J640" s="223" t="s">
        <v>55</v>
      </c>
      <c r="K640" s="216" t="s">
        <v>55</v>
      </c>
      <c r="L640" s="223" t="s">
        <v>55</v>
      </c>
      <c r="M640" s="223" t="s">
        <v>55</v>
      </c>
      <c r="N640" s="240" t="s">
        <v>55</v>
      </c>
      <c r="O640" s="229" t="s">
        <v>55</v>
      </c>
      <c r="P640" s="356" t="s">
        <v>55</v>
      </c>
      <c r="Q640" s="356" t="s">
        <v>55</v>
      </c>
      <c r="R640" s="229" t="s">
        <v>55</v>
      </c>
      <c r="S640" s="223" t="s">
        <v>55</v>
      </c>
      <c r="T640" s="321" t="s">
        <v>55</v>
      </c>
      <c r="Z640" s="251"/>
      <c r="AB640" s="251"/>
      <c r="AC640" s="251"/>
      <c r="AD640" s="308"/>
    </row>
    <row r="641" spans="2:30" ht="17.25" customHeight="1" x14ac:dyDescent="0.25">
      <c r="B641" s="679"/>
      <c r="C641" s="637" t="s">
        <v>953</v>
      </c>
      <c r="D641" s="586" t="s">
        <v>55</v>
      </c>
      <c r="E641" s="223" t="s">
        <v>55</v>
      </c>
      <c r="F641" s="223" t="s">
        <v>55</v>
      </c>
      <c r="G641" s="223" t="s">
        <v>55</v>
      </c>
      <c r="H641" s="223" t="s">
        <v>55</v>
      </c>
      <c r="I641" s="223" t="s">
        <v>55</v>
      </c>
      <c r="J641" s="223" t="s">
        <v>55</v>
      </c>
      <c r="K641" s="216" t="s">
        <v>55</v>
      </c>
      <c r="L641" s="223" t="s">
        <v>55</v>
      </c>
      <c r="M641" s="223" t="s">
        <v>55</v>
      </c>
      <c r="N641" s="240" t="s">
        <v>55</v>
      </c>
      <c r="O641" s="229" t="s">
        <v>55</v>
      </c>
      <c r="P641" s="356" t="s">
        <v>55</v>
      </c>
      <c r="Q641" s="356" t="s">
        <v>55</v>
      </c>
      <c r="R641" s="229" t="s">
        <v>55</v>
      </c>
      <c r="S641" s="223" t="s">
        <v>55</v>
      </c>
      <c r="T641" s="321" t="s">
        <v>55</v>
      </c>
      <c r="Z641" s="251"/>
      <c r="AB641" s="251"/>
      <c r="AC641" s="251"/>
      <c r="AD641" s="308"/>
    </row>
    <row r="642" spans="2:30" ht="17.25" customHeight="1" x14ac:dyDescent="0.25">
      <c r="B642" s="679"/>
      <c r="C642" s="637" t="s">
        <v>954</v>
      </c>
      <c r="D642" s="586" t="s">
        <v>55</v>
      </c>
      <c r="E642" s="223" t="s">
        <v>55</v>
      </c>
      <c r="F642" s="223" t="s">
        <v>55</v>
      </c>
      <c r="G642" s="223" t="s">
        <v>55</v>
      </c>
      <c r="H642" s="223" t="s">
        <v>55</v>
      </c>
      <c r="I642" s="223" t="s">
        <v>55</v>
      </c>
      <c r="J642" s="223" t="s">
        <v>55</v>
      </c>
      <c r="K642" s="216" t="s">
        <v>55</v>
      </c>
      <c r="L642" s="223" t="s">
        <v>55</v>
      </c>
      <c r="M642" s="223" t="s">
        <v>55</v>
      </c>
      <c r="N642" s="240" t="s">
        <v>55</v>
      </c>
      <c r="O642" s="229" t="s">
        <v>55</v>
      </c>
      <c r="P642" s="356" t="s">
        <v>55</v>
      </c>
      <c r="Q642" s="356" t="s">
        <v>55</v>
      </c>
      <c r="R642" s="229" t="s">
        <v>55</v>
      </c>
      <c r="S642" s="223" t="s">
        <v>55</v>
      </c>
      <c r="T642" s="321" t="s">
        <v>55</v>
      </c>
      <c r="Z642" s="251"/>
      <c r="AB642" s="251"/>
      <c r="AC642" s="251"/>
      <c r="AD642" s="308"/>
    </row>
    <row r="643" spans="2:30" ht="17.25" customHeight="1" x14ac:dyDescent="0.25">
      <c r="B643" s="679"/>
      <c r="C643" s="637" t="s">
        <v>955</v>
      </c>
      <c r="D643" s="586" t="s">
        <v>55</v>
      </c>
      <c r="E643" s="223" t="s">
        <v>55</v>
      </c>
      <c r="F643" s="223" t="s">
        <v>55</v>
      </c>
      <c r="G643" s="223" t="s">
        <v>55</v>
      </c>
      <c r="H643" s="223" t="s">
        <v>55</v>
      </c>
      <c r="I643" s="223" t="s">
        <v>55</v>
      </c>
      <c r="J643" s="223" t="s">
        <v>55</v>
      </c>
      <c r="K643" s="216" t="s">
        <v>55</v>
      </c>
      <c r="L643" s="223" t="s">
        <v>55</v>
      </c>
      <c r="M643" s="223" t="s">
        <v>55</v>
      </c>
      <c r="N643" s="240" t="s">
        <v>55</v>
      </c>
      <c r="O643" s="229" t="s">
        <v>55</v>
      </c>
      <c r="P643" s="356" t="s">
        <v>55</v>
      </c>
      <c r="Q643" s="356" t="s">
        <v>55</v>
      </c>
      <c r="R643" s="229" t="s">
        <v>55</v>
      </c>
      <c r="S643" s="223" t="s">
        <v>55</v>
      </c>
      <c r="T643" s="321" t="s">
        <v>55</v>
      </c>
      <c r="Z643" s="251"/>
      <c r="AB643" s="251"/>
      <c r="AC643" s="251"/>
      <c r="AD643" s="308"/>
    </row>
    <row r="644" spans="2:30" ht="17.25" customHeight="1" x14ac:dyDescent="0.25">
      <c r="B644" s="679"/>
      <c r="C644" s="637" t="s">
        <v>956</v>
      </c>
      <c r="D644" s="586" t="s">
        <v>55</v>
      </c>
      <c r="E644" s="223" t="s">
        <v>55</v>
      </c>
      <c r="F644" s="223" t="s">
        <v>55</v>
      </c>
      <c r="G644" s="223" t="s">
        <v>55</v>
      </c>
      <c r="H644" s="223" t="s">
        <v>55</v>
      </c>
      <c r="I644" s="223" t="s">
        <v>55</v>
      </c>
      <c r="J644" s="223" t="s">
        <v>55</v>
      </c>
      <c r="K644" s="216" t="s">
        <v>55</v>
      </c>
      <c r="L644" s="223" t="s">
        <v>55</v>
      </c>
      <c r="M644" s="223" t="s">
        <v>55</v>
      </c>
      <c r="N644" s="240" t="s">
        <v>55</v>
      </c>
      <c r="O644" s="229" t="s">
        <v>55</v>
      </c>
      <c r="P644" s="356" t="s">
        <v>55</v>
      </c>
      <c r="Q644" s="356" t="s">
        <v>55</v>
      </c>
      <c r="R644" s="229" t="s">
        <v>55</v>
      </c>
      <c r="S644" s="223" t="s">
        <v>55</v>
      </c>
      <c r="T644" s="321" t="s">
        <v>55</v>
      </c>
      <c r="Z644" s="251"/>
      <c r="AB644" s="251"/>
      <c r="AC644" s="251"/>
      <c r="AD644" s="308"/>
    </row>
    <row r="645" spans="2:30" ht="21.75" customHeight="1" x14ac:dyDescent="0.25">
      <c r="B645" s="679" t="s">
        <v>872</v>
      </c>
      <c r="C645" s="637" t="s">
        <v>985</v>
      </c>
      <c r="D645" s="586" t="s">
        <v>55</v>
      </c>
      <c r="E645" s="223" t="s">
        <v>55</v>
      </c>
      <c r="F645" s="713">
        <v>8</v>
      </c>
      <c r="G645" s="713"/>
      <c r="H645" s="713" t="s">
        <v>925</v>
      </c>
      <c r="I645" s="235">
        <v>3.86</v>
      </c>
      <c r="J645" s="215">
        <f>H645*I645</f>
        <v>189.25579999999999</v>
      </c>
      <c r="K645" s="216" t="s">
        <v>559</v>
      </c>
      <c r="L645" s="237" t="s">
        <v>55</v>
      </c>
      <c r="M645" s="579" t="s">
        <v>55</v>
      </c>
      <c r="N645" s="215">
        <f>60*F645+20*G645</f>
        <v>480</v>
      </c>
      <c r="O645" s="220">
        <f>60*F645+20*G645</f>
        <v>480</v>
      </c>
      <c r="P645" s="356">
        <f>N645/J645</f>
        <v>2.5362498797923236</v>
      </c>
      <c r="Q645" s="356">
        <f>O645/J645</f>
        <v>2.5362498797923236</v>
      </c>
      <c r="R645" s="218" t="s">
        <v>55</v>
      </c>
      <c r="S645" s="608" t="s">
        <v>257</v>
      </c>
      <c r="T645" s="520" t="s">
        <v>595</v>
      </c>
      <c r="Z645" s="251"/>
      <c r="AB645" s="251"/>
      <c r="AC645" s="251"/>
      <c r="AD645" s="308"/>
    </row>
    <row r="646" spans="2:30" ht="17.25" customHeight="1" x14ac:dyDescent="0.25">
      <c r="B646" s="679"/>
      <c r="C646" s="637" t="s">
        <v>986</v>
      </c>
      <c r="D646" s="586" t="s">
        <v>55</v>
      </c>
      <c r="E646" s="223" t="s">
        <v>55</v>
      </c>
      <c r="F646" s="223" t="s">
        <v>55</v>
      </c>
      <c r="G646" s="223" t="s">
        <v>55</v>
      </c>
      <c r="H646" s="223" t="s">
        <v>55</v>
      </c>
      <c r="I646" s="223" t="s">
        <v>55</v>
      </c>
      <c r="J646" s="223" t="s">
        <v>55</v>
      </c>
      <c r="K646" s="216" t="s">
        <v>55</v>
      </c>
      <c r="L646" s="223" t="s">
        <v>55</v>
      </c>
      <c r="M646" s="223" t="s">
        <v>55</v>
      </c>
      <c r="N646" s="240" t="s">
        <v>55</v>
      </c>
      <c r="O646" s="229" t="s">
        <v>55</v>
      </c>
      <c r="P646" s="356" t="s">
        <v>55</v>
      </c>
      <c r="Q646" s="356" t="s">
        <v>55</v>
      </c>
      <c r="R646" s="229" t="s">
        <v>55</v>
      </c>
      <c r="S646" s="223" t="s">
        <v>55</v>
      </c>
      <c r="T646" s="321" t="s">
        <v>55</v>
      </c>
      <c r="Z646" s="251"/>
      <c r="AB646" s="251"/>
      <c r="AC646" s="251"/>
      <c r="AD646" s="308"/>
    </row>
    <row r="647" spans="2:30" ht="21" customHeight="1" x14ac:dyDescent="0.25">
      <c r="B647" s="679" t="s">
        <v>873</v>
      </c>
      <c r="C647" s="637" t="s">
        <v>987</v>
      </c>
      <c r="D647" s="586" t="s">
        <v>55</v>
      </c>
      <c r="E647" s="223" t="s">
        <v>55</v>
      </c>
      <c r="F647" s="713">
        <v>4</v>
      </c>
      <c r="G647" s="713"/>
      <c r="H647" s="713" t="s">
        <v>926</v>
      </c>
      <c r="I647" s="235">
        <v>3.86</v>
      </c>
      <c r="J647" s="215">
        <f>H647*I647</f>
        <v>133.55600000000001</v>
      </c>
      <c r="K647" s="216" t="s">
        <v>559</v>
      </c>
      <c r="L647" s="237" t="s">
        <v>55</v>
      </c>
      <c r="M647" s="579" t="s">
        <v>55</v>
      </c>
      <c r="N647" s="215">
        <f>60*F647+20*G647</f>
        <v>240</v>
      </c>
      <c r="O647" s="220">
        <f>60*F647+20*G647</f>
        <v>240</v>
      </c>
      <c r="P647" s="356">
        <f>N647/J647</f>
        <v>1.7969990116505434</v>
      </c>
      <c r="Q647" s="356">
        <f>O647/J647</f>
        <v>1.7969990116505434</v>
      </c>
      <c r="R647" s="218" t="s">
        <v>55</v>
      </c>
      <c r="S647" s="608" t="s">
        <v>257</v>
      </c>
      <c r="T647" s="520" t="s">
        <v>595</v>
      </c>
      <c r="Z647" s="251"/>
      <c r="AB647" s="251"/>
      <c r="AC647" s="251"/>
      <c r="AD647" s="308"/>
    </row>
    <row r="648" spans="2:30" ht="17.25" customHeight="1" x14ac:dyDescent="0.25">
      <c r="B648" s="679"/>
      <c r="C648" s="637" t="s">
        <v>988</v>
      </c>
      <c r="D648" s="586" t="s">
        <v>55</v>
      </c>
      <c r="E648" s="223" t="s">
        <v>55</v>
      </c>
      <c r="F648" s="223" t="s">
        <v>55</v>
      </c>
      <c r="G648" s="223" t="s">
        <v>55</v>
      </c>
      <c r="H648" s="223" t="s">
        <v>55</v>
      </c>
      <c r="I648" s="223" t="s">
        <v>55</v>
      </c>
      <c r="J648" s="223" t="s">
        <v>55</v>
      </c>
      <c r="K648" s="216" t="s">
        <v>55</v>
      </c>
      <c r="L648" s="223" t="s">
        <v>55</v>
      </c>
      <c r="M648" s="223" t="s">
        <v>55</v>
      </c>
      <c r="N648" s="240" t="s">
        <v>55</v>
      </c>
      <c r="O648" s="229" t="s">
        <v>55</v>
      </c>
      <c r="P648" s="229" t="s">
        <v>55</v>
      </c>
      <c r="Q648" s="229" t="s">
        <v>55</v>
      </c>
      <c r="R648" s="229" t="s">
        <v>55</v>
      </c>
      <c r="S648" s="223" t="s">
        <v>55</v>
      </c>
      <c r="T648" s="321" t="s">
        <v>55</v>
      </c>
      <c r="Z648" s="251"/>
      <c r="AB648" s="251"/>
      <c r="AC648" s="251"/>
      <c r="AD648" s="308"/>
    </row>
    <row r="649" spans="2:30" ht="17.25" customHeight="1" x14ac:dyDescent="0.25">
      <c r="B649" s="679"/>
      <c r="C649" s="637" t="s">
        <v>989</v>
      </c>
      <c r="D649" s="586" t="s">
        <v>55</v>
      </c>
      <c r="E649" s="223" t="s">
        <v>55</v>
      </c>
      <c r="F649" s="223" t="s">
        <v>55</v>
      </c>
      <c r="G649" s="223" t="s">
        <v>55</v>
      </c>
      <c r="H649" s="223" t="s">
        <v>55</v>
      </c>
      <c r="I649" s="223" t="s">
        <v>55</v>
      </c>
      <c r="J649" s="223" t="s">
        <v>55</v>
      </c>
      <c r="K649" s="216" t="s">
        <v>55</v>
      </c>
      <c r="L649" s="223" t="s">
        <v>55</v>
      </c>
      <c r="M649" s="223" t="s">
        <v>55</v>
      </c>
      <c r="N649" s="240" t="s">
        <v>55</v>
      </c>
      <c r="O649" s="229" t="s">
        <v>55</v>
      </c>
      <c r="P649" s="229" t="s">
        <v>55</v>
      </c>
      <c r="Q649" s="229" t="s">
        <v>55</v>
      </c>
      <c r="R649" s="229" t="s">
        <v>55</v>
      </c>
      <c r="S649" s="223" t="s">
        <v>55</v>
      </c>
      <c r="T649" s="321" t="s">
        <v>55</v>
      </c>
      <c r="Z649" s="251"/>
      <c r="AB649" s="251"/>
      <c r="AC649" s="251"/>
      <c r="AD649" s="308"/>
    </row>
    <row r="650" spans="2:30" ht="18" customHeight="1" x14ac:dyDescent="0.25">
      <c r="B650" s="679" t="s">
        <v>874</v>
      </c>
      <c r="C650" s="637" t="s">
        <v>95</v>
      </c>
      <c r="D650" s="586" t="s">
        <v>55</v>
      </c>
      <c r="E650" s="223" t="s">
        <v>55</v>
      </c>
      <c r="F650" s="713"/>
      <c r="G650" s="713"/>
      <c r="H650" s="713" t="s">
        <v>927</v>
      </c>
      <c r="I650" s="235">
        <v>3.86</v>
      </c>
      <c r="J650" s="215">
        <f t="shared" ref="J650:J654" si="366">H650*I650</f>
        <v>60.988</v>
      </c>
      <c r="K650" s="216" t="s">
        <v>55</v>
      </c>
      <c r="L650" s="214">
        <v>1</v>
      </c>
      <c r="M650" s="650" t="s">
        <v>55</v>
      </c>
      <c r="N650" s="653" t="s">
        <v>55</v>
      </c>
      <c r="O650" s="220">
        <f>CEILING((J650*L650),10)</f>
        <v>70</v>
      </c>
      <c r="P650" s="592" t="s">
        <v>55</v>
      </c>
      <c r="Q650" s="592" t="s">
        <v>55</v>
      </c>
      <c r="R650" s="592" t="s">
        <v>55</v>
      </c>
      <c r="S650" s="593" t="s">
        <v>55</v>
      </c>
      <c r="T650" s="711" t="s">
        <v>595</v>
      </c>
      <c r="Z650" s="251"/>
      <c r="AB650" s="251"/>
      <c r="AC650" s="251"/>
      <c r="AD650" s="308"/>
    </row>
    <row r="651" spans="2:30" ht="23.25" customHeight="1" x14ac:dyDescent="0.25">
      <c r="B651" s="679" t="s">
        <v>875</v>
      </c>
      <c r="C651" s="637" t="s">
        <v>835</v>
      </c>
      <c r="D651" s="586" t="s">
        <v>55</v>
      </c>
      <c r="E651" s="223" t="s">
        <v>55</v>
      </c>
      <c r="F651" s="713">
        <v>9</v>
      </c>
      <c r="G651" s="713"/>
      <c r="H651" s="713" t="s">
        <v>928</v>
      </c>
      <c r="I651" s="235">
        <v>3.86</v>
      </c>
      <c r="J651" s="215">
        <f t="shared" si="366"/>
        <v>210.2542</v>
      </c>
      <c r="K651" s="216" t="s">
        <v>559</v>
      </c>
      <c r="L651" s="237" t="s">
        <v>55</v>
      </c>
      <c r="M651" s="579" t="s">
        <v>55</v>
      </c>
      <c r="N651" s="215">
        <f>60*F651+20*G651</f>
        <v>540</v>
      </c>
      <c r="O651" s="220">
        <f>60*F651+20*G651</f>
        <v>540</v>
      </c>
      <c r="P651" s="356">
        <f>N651/J651</f>
        <v>2.568319681604458</v>
      </c>
      <c r="Q651" s="356">
        <f>O651/J651</f>
        <v>2.568319681604458</v>
      </c>
      <c r="R651" s="218" t="s">
        <v>55</v>
      </c>
      <c r="S651" s="608" t="s">
        <v>257</v>
      </c>
      <c r="T651" s="520" t="s">
        <v>595</v>
      </c>
      <c r="Z651" s="251"/>
      <c r="AB651" s="251"/>
      <c r="AC651" s="251"/>
      <c r="AD651" s="308"/>
    </row>
    <row r="652" spans="2:30" ht="23.25" customHeight="1" x14ac:dyDescent="0.25">
      <c r="B652" s="679" t="s">
        <v>876</v>
      </c>
      <c r="C652" s="637" t="s">
        <v>836</v>
      </c>
      <c r="D652" s="586" t="s">
        <v>55</v>
      </c>
      <c r="E652" s="223" t="s">
        <v>55</v>
      </c>
      <c r="F652" s="713">
        <v>4</v>
      </c>
      <c r="G652" s="713"/>
      <c r="H652" s="713" t="s">
        <v>910</v>
      </c>
      <c r="I652" s="235">
        <v>3.86</v>
      </c>
      <c r="J652" s="215">
        <f t="shared" si="366"/>
        <v>97.233400000000003</v>
      </c>
      <c r="K652" s="216" t="s">
        <v>559</v>
      </c>
      <c r="L652" s="237" t="s">
        <v>55</v>
      </c>
      <c r="M652" s="579" t="s">
        <v>55</v>
      </c>
      <c r="N652" s="215">
        <f>60*F652+20*G652</f>
        <v>240</v>
      </c>
      <c r="O652" s="220">
        <f>60*F652+20*G652</f>
        <v>240</v>
      </c>
      <c r="P652" s="356">
        <f>N652/J652</f>
        <v>2.468287646014641</v>
      </c>
      <c r="Q652" s="356">
        <f>O652/J652</f>
        <v>2.468287646014641</v>
      </c>
      <c r="R652" s="218" t="s">
        <v>55</v>
      </c>
      <c r="S652" s="608" t="s">
        <v>257</v>
      </c>
      <c r="T652" s="520" t="s">
        <v>595</v>
      </c>
      <c r="Z652" s="251"/>
      <c r="AB652" s="251"/>
      <c r="AC652" s="251"/>
      <c r="AD652" s="308"/>
    </row>
    <row r="653" spans="2:30" ht="24.75" customHeight="1" x14ac:dyDescent="0.25">
      <c r="B653" s="679" t="s">
        <v>877</v>
      </c>
      <c r="C653" s="637" t="s">
        <v>837</v>
      </c>
      <c r="D653" s="586" t="s">
        <v>55</v>
      </c>
      <c r="E653" s="223" t="s">
        <v>55</v>
      </c>
      <c r="F653" s="713">
        <v>3</v>
      </c>
      <c r="G653" s="713"/>
      <c r="H653" s="713" t="s">
        <v>929</v>
      </c>
      <c r="I653" s="235">
        <v>3.86</v>
      </c>
      <c r="J653" s="215">
        <f t="shared" si="366"/>
        <v>84.109399999999994</v>
      </c>
      <c r="K653" s="216" t="s">
        <v>559</v>
      </c>
      <c r="L653" s="237" t="s">
        <v>55</v>
      </c>
      <c r="M653" s="579" t="s">
        <v>55</v>
      </c>
      <c r="N653" s="215">
        <f>60*F653+20*G653</f>
        <v>180</v>
      </c>
      <c r="O653" s="220">
        <f>60*F653+20*G653</f>
        <v>180</v>
      </c>
      <c r="P653" s="356">
        <f>N653/J653</f>
        <v>2.1400699565090231</v>
      </c>
      <c r="Q653" s="356">
        <f>O653/J653</f>
        <v>2.1400699565090231</v>
      </c>
      <c r="R653" s="218" t="s">
        <v>55</v>
      </c>
      <c r="S653" s="608" t="s">
        <v>257</v>
      </c>
      <c r="T653" s="520" t="s">
        <v>595</v>
      </c>
      <c r="Z653" s="251"/>
      <c r="AB653" s="251"/>
      <c r="AC653" s="251"/>
      <c r="AD653" s="308"/>
    </row>
    <row r="654" spans="2:30" ht="21" customHeight="1" x14ac:dyDescent="0.25">
      <c r="B654" s="679" t="s">
        <v>878</v>
      </c>
      <c r="C654" s="637" t="s">
        <v>990</v>
      </c>
      <c r="D654" s="586" t="s">
        <v>55</v>
      </c>
      <c r="E654" s="223" t="s">
        <v>55</v>
      </c>
      <c r="F654" s="713">
        <v>1</v>
      </c>
      <c r="G654" s="713"/>
      <c r="H654" s="713" t="s">
        <v>930</v>
      </c>
      <c r="I654" s="235">
        <v>3.86</v>
      </c>
      <c r="J654" s="215">
        <f t="shared" si="366"/>
        <v>44.39</v>
      </c>
      <c r="K654" s="216" t="s">
        <v>559</v>
      </c>
      <c r="L654" s="237" t="s">
        <v>55</v>
      </c>
      <c r="M654" s="579" t="s">
        <v>55</v>
      </c>
      <c r="N654" s="215">
        <f>60*F654+20*G654</f>
        <v>60</v>
      </c>
      <c r="O654" s="220">
        <f>60*F654+20*G654</f>
        <v>60</v>
      </c>
      <c r="P654" s="356">
        <f>N654/J654</f>
        <v>1.3516557783284524</v>
      </c>
      <c r="Q654" s="356">
        <f>O654/J654</f>
        <v>1.3516557783284524</v>
      </c>
      <c r="R654" s="218" t="s">
        <v>55</v>
      </c>
      <c r="S654" s="608" t="s">
        <v>257</v>
      </c>
      <c r="T654" s="520" t="s">
        <v>595</v>
      </c>
      <c r="Z654" s="251"/>
      <c r="AB654" s="251"/>
      <c r="AC654" s="251"/>
      <c r="AD654" s="308"/>
    </row>
    <row r="655" spans="2:30" ht="17.25" customHeight="1" x14ac:dyDescent="0.25">
      <c r="B655" s="679"/>
      <c r="C655" s="637" t="s">
        <v>991</v>
      </c>
      <c r="D655" s="586" t="s">
        <v>55</v>
      </c>
      <c r="E655" s="223" t="s">
        <v>55</v>
      </c>
      <c r="F655" s="223" t="s">
        <v>55</v>
      </c>
      <c r="G655" s="223" t="s">
        <v>55</v>
      </c>
      <c r="H655" s="223" t="s">
        <v>55</v>
      </c>
      <c r="I655" s="223" t="s">
        <v>55</v>
      </c>
      <c r="J655" s="223" t="s">
        <v>55</v>
      </c>
      <c r="K655" s="216" t="s">
        <v>55</v>
      </c>
      <c r="L655" s="223" t="s">
        <v>55</v>
      </c>
      <c r="M655" s="223" t="s">
        <v>55</v>
      </c>
      <c r="N655" s="240" t="s">
        <v>55</v>
      </c>
      <c r="O655" s="229" t="s">
        <v>55</v>
      </c>
      <c r="P655" s="229" t="s">
        <v>55</v>
      </c>
      <c r="Q655" s="229" t="s">
        <v>55</v>
      </c>
      <c r="R655" s="229" t="s">
        <v>55</v>
      </c>
      <c r="S655" s="223" t="s">
        <v>55</v>
      </c>
      <c r="T655" s="321" t="s">
        <v>55</v>
      </c>
      <c r="Z655" s="251"/>
      <c r="AB655" s="251"/>
      <c r="AC655" s="251"/>
      <c r="AD655" s="308"/>
    </row>
    <row r="656" spans="2:30" ht="17.25" customHeight="1" x14ac:dyDescent="0.25">
      <c r="B656" s="679"/>
      <c r="C656" s="637" t="s">
        <v>992</v>
      </c>
      <c r="D656" s="586" t="s">
        <v>55</v>
      </c>
      <c r="E656" s="223" t="s">
        <v>55</v>
      </c>
      <c r="F656" s="223" t="s">
        <v>55</v>
      </c>
      <c r="G656" s="223" t="s">
        <v>55</v>
      </c>
      <c r="H656" s="223" t="s">
        <v>55</v>
      </c>
      <c r="I656" s="223" t="s">
        <v>55</v>
      </c>
      <c r="J656" s="223" t="s">
        <v>55</v>
      </c>
      <c r="K656" s="223" t="s">
        <v>55</v>
      </c>
      <c r="L656" s="223" t="s">
        <v>55</v>
      </c>
      <c r="M656" s="223" t="s">
        <v>55</v>
      </c>
      <c r="N656" s="240" t="s">
        <v>55</v>
      </c>
      <c r="O656" s="229" t="s">
        <v>55</v>
      </c>
      <c r="P656" s="229" t="s">
        <v>55</v>
      </c>
      <c r="Q656" s="229" t="s">
        <v>55</v>
      </c>
      <c r="R656" s="229" t="s">
        <v>55</v>
      </c>
      <c r="S656" s="223" t="s">
        <v>55</v>
      </c>
      <c r="T656" s="321" t="s">
        <v>55</v>
      </c>
      <c r="Z656" s="251"/>
      <c r="AB656" s="251"/>
      <c r="AC656" s="251"/>
      <c r="AD656" s="308"/>
    </row>
    <row r="657" spans="2:30" ht="24" customHeight="1" x14ac:dyDescent="0.25">
      <c r="B657" s="679" t="s">
        <v>879</v>
      </c>
      <c r="C657" s="637" t="s">
        <v>838</v>
      </c>
      <c r="D657" s="586" t="s">
        <v>55</v>
      </c>
      <c r="E657" s="223" t="s">
        <v>55</v>
      </c>
      <c r="F657" s="713">
        <v>1</v>
      </c>
      <c r="G657" s="713"/>
      <c r="H657" s="713" t="s">
        <v>750</v>
      </c>
      <c r="I657" s="235">
        <v>3.86</v>
      </c>
      <c r="J657" s="215">
        <f t="shared" ref="J657:J664" si="367">H657*I657</f>
        <v>56.085799999999999</v>
      </c>
      <c r="K657" s="216" t="s">
        <v>559</v>
      </c>
      <c r="L657" s="237" t="s">
        <v>55</v>
      </c>
      <c r="M657" s="579" t="s">
        <v>55</v>
      </c>
      <c r="N657" s="215">
        <f>60*F657+20*G657</f>
        <v>60</v>
      </c>
      <c r="O657" s="220">
        <f>60*F657+20*G657</f>
        <v>60</v>
      </c>
      <c r="P657" s="220">
        <f>N657/J657</f>
        <v>1.0697895010858363</v>
      </c>
      <c r="Q657" s="220">
        <f>O657/J657</f>
        <v>1.0697895010858363</v>
      </c>
      <c r="R657" s="218" t="s">
        <v>55</v>
      </c>
      <c r="S657" s="608" t="s">
        <v>257</v>
      </c>
      <c r="T657" s="520" t="s">
        <v>595</v>
      </c>
      <c r="Z657" s="251"/>
      <c r="AB657" s="251"/>
      <c r="AC657" s="251"/>
      <c r="AD657" s="308"/>
    </row>
    <row r="658" spans="2:30" ht="23.25" customHeight="1" x14ac:dyDescent="0.25">
      <c r="B658" s="679" t="s">
        <v>880</v>
      </c>
      <c r="C658" s="637" t="s">
        <v>839</v>
      </c>
      <c r="D658" s="586" t="s">
        <v>55</v>
      </c>
      <c r="E658" s="223" t="s">
        <v>55</v>
      </c>
      <c r="F658" s="713">
        <v>9</v>
      </c>
      <c r="G658" s="713"/>
      <c r="H658" s="713" t="s">
        <v>931</v>
      </c>
      <c r="I658" s="235">
        <v>3.86</v>
      </c>
      <c r="J658" s="215">
        <f t="shared" si="367"/>
        <v>213.18779999999998</v>
      </c>
      <c r="K658" s="216" t="s">
        <v>559</v>
      </c>
      <c r="L658" s="237" t="s">
        <v>55</v>
      </c>
      <c r="M658" s="579" t="s">
        <v>55</v>
      </c>
      <c r="N658" s="215">
        <f>60*F658+20*G658</f>
        <v>540</v>
      </c>
      <c r="O658" s="220">
        <f>60*F658+20*G658</f>
        <v>540</v>
      </c>
      <c r="P658" s="220">
        <f>N658/J658</f>
        <v>2.5329779659061167</v>
      </c>
      <c r="Q658" s="220">
        <f>O658/J658</f>
        <v>2.5329779659061167</v>
      </c>
      <c r="R658" s="218" t="s">
        <v>55</v>
      </c>
      <c r="S658" s="608" t="s">
        <v>257</v>
      </c>
      <c r="T658" s="520" t="s">
        <v>595</v>
      </c>
      <c r="Z658" s="251"/>
      <c r="AB658" s="251"/>
      <c r="AC658" s="251"/>
      <c r="AD658" s="308"/>
    </row>
    <row r="659" spans="2:30" ht="18" customHeight="1" x14ac:dyDescent="0.25">
      <c r="B659" s="679" t="s">
        <v>881</v>
      </c>
      <c r="C659" s="637" t="s">
        <v>54</v>
      </c>
      <c r="D659" s="663" t="s">
        <v>303</v>
      </c>
      <c r="E659" s="223" t="s">
        <v>55</v>
      </c>
      <c r="F659" s="223" t="s">
        <v>55</v>
      </c>
      <c r="G659" s="223" t="s">
        <v>55</v>
      </c>
      <c r="H659" s="713" t="s">
        <v>932</v>
      </c>
      <c r="I659" s="235">
        <v>3.86</v>
      </c>
      <c r="J659" s="215">
        <f t="shared" si="367"/>
        <v>66.893799999999985</v>
      </c>
      <c r="K659" s="216" t="s">
        <v>55</v>
      </c>
      <c r="L659" s="214">
        <v>1</v>
      </c>
      <c r="M659" s="650" t="s">
        <v>55</v>
      </c>
      <c r="N659" s="653" t="s">
        <v>55</v>
      </c>
      <c r="O659" s="220">
        <f>CEILING((J659*L659),10)</f>
        <v>70</v>
      </c>
      <c r="P659" s="590" t="s">
        <v>55</v>
      </c>
      <c r="Q659" s="590" t="s">
        <v>55</v>
      </c>
      <c r="R659" s="218" t="s">
        <v>55</v>
      </c>
      <c r="S659" s="586" t="s">
        <v>55</v>
      </c>
      <c r="T659" s="711" t="s">
        <v>595</v>
      </c>
      <c r="Z659" s="251"/>
      <c r="AB659" s="251"/>
      <c r="AC659" s="251"/>
      <c r="AD659" s="308"/>
    </row>
    <row r="660" spans="2:30" ht="17.25" customHeight="1" x14ac:dyDescent="0.25">
      <c r="B660" s="679" t="s">
        <v>882</v>
      </c>
      <c r="C660" s="637" t="s">
        <v>95</v>
      </c>
      <c r="D660" s="586" t="s">
        <v>55</v>
      </c>
      <c r="E660" s="223" t="s">
        <v>55</v>
      </c>
      <c r="F660" s="223" t="s">
        <v>55</v>
      </c>
      <c r="G660" s="223" t="s">
        <v>55</v>
      </c>
      <c r="H660" s="713" t="s">
        <v>933</v>
      </c>
      <c r="I660" s="235">
        <v>3.86</v>
      </c>
      <c r="J660" s="215">
        <f t="shared" si="367"/>
        <v>55.854199999999999</v>
      </c>
      <c r="K660" s="216" t="s">
        <v>55</v>
      </c>
      <c r="L660" s="214">
        <v>1</v>
      </c>
      <c r="M660" s="650" t="s">
        <v>55</v>
      </c>
      <c r="N660" s="653" t="s">
        <v>55</v>
      </c>
      <c r="O660" s="220">
        <f>CEILING((J660*L660),10)</f>
        <v>60</v>
      </c>
      <c r="P660" s="590" t="s">
        <v>55</v>
      </c>
      <c r="Q660" s="590" t="s">
        <v>55</v>
      </c>
      <c r="R660" s="218" t="s">
        <v>55</v>
      </c>
      <c r="S660" s="586" t="s">
        <v>55</v>
      </c>
      <c r="T660" s="711" t="s">
        <v>595</v>
      </c>
      <c r="Z660" s="251"/>
      <c r="AB660" s="251"/>
      <c r="AC660" s="251"/>
      <c r="AD660" s="308"/>
    </row>
    <row r="661" spans="2:30" ht="22.15" customHeight="1" x14ac:dyDescent="0.25">
      <c r="B661" s="679" t="s">
        <v>883</v>
      </c>
      <c r="C661" s="637" t="s">
        <v>540</v>
      </c>
      <c r="D661" s="586" t="s">
        <v>55</v>
      </c>
      <c r="E661" s="223" t="s">
        <v>55</v>
      </c>
      <c r="F661" s="223" t="s">
        <v>55</v>
      </c>
      <c r="G661" s="713">
        <f>ROUNDDOWN(12*0.8,0)</f>
        <v>9</v>
      </c>
      <c r="H661" s="713" t="s">
        <v>934</v>
      </c>
      <c r="I661" s="235">
        <v>3.86</v>
      </c>
      <c r="J661" s="215">
        <f t="shared" si="367"/>
        <v>137.26160000000002</v>
      </c>
      <c r="K661" s="216" t="s">
        <v>558</v>
      </c>
      <c r="L661" s="317" t="s">
        <v>55</v>
      </c>
      <c r="M661" s="228" t="s">
        <v>55</v>
      </c>
      <c r="N661" s="226">
        <f>20*G661</f>
        <v>180</v>
      </c>
      <c r="O661" s="241">
        <f t="shared" ref="O661" si="368">20*G661</f>
        <v>180</v>
      </c>
      <c r="P661" s="356">
        <f t="shared" ref="P661" si="369">N661/J661</f>
        <v>1.3113645768372215</v>
      </c>
      <c r="Q661" s="356">
        <f t="shared" ref="Q661" si="370">O661/J661</f>
        <v>1.3113645768372215</v>
      </c>
      <c r="R661" s="218" t="s">
        <v>55</v>
      </c>
      <c r="S661" s="608" t="s">
        <v>257</v>
      </c>
      <c r="T661" s="520" t="s">
        <v>595</v>
      </c>
      <c r="Z661" s="251"/>
      <c r="AB661" s="251"/>
      <c r="AC661" s="251"/>
      <c r="AD661" s="308"/>
    </row>
    <row r="662" spans="2:30" ht="21" customHeight="1" x14ac:dyDescent="0.25">
      <c r="B662" s="679" t="s">
        <v>884</v>
      </c>
      <c r="C662" s="637" t="s">
        <v>20</v>
      </c>
      <c r="D662" s="586" t="s">
        <v>55</v>
      </c>
      <c r="E662" s="223" t="s">
        <v>55</v>
      </c>
      <c r="F662" s="223" t="s">
        <v>55</v>
      </c>
      <c r="G662" s="713">
        <f>ROUNDDOWN(8*0.8,0)</f>
        <v>6</v>
      </c>
      <c r="H662" s="713" t="s">
        <v>935</v>
      </c>
      <c r="I662" s="235">
        <v>3.86</v>
      </c>
      <c r="J662" s="215">
        <f t="shared" si="367"/>
        <v>75.926200000000009</v>
      </c>
      <c r="K662" s="216" t="s">
        <v>558</v>
      </c>
      <c r="L662" s="317" t="s">
        <v>55</v>
      </c>
      <c r="M662" s="228" t="s">
        <v>55</v>
      </c>
      <c r="N662" s="226">
        <f>20*G662</f>
        <v>120</v>
      </c>
      <c r="O662" s="241">
        <f t="shared" ref="O662" si="371">20*G662</f>
        <v>120</v>
      </c>
      <c r="P662" s="356">
        <f t="shared" ref="P662" si="372">N662/J662</f>
        <v>1.5804820997231521</v>
      </c>
      <c r="Q662" s="356">
        <f t="shared" ref="Q662" si="373">O662/J662</f>
        <v>1.5804820997231521</v>
      </c>
      <c r="R662" s="218" t="s">
        <v>55</v>
      </c>
      <c r="S662" s="608" t="s">
        <v>257</v>
      </c>
      <c r="T662" s="520" t="s">
        <v>595</v>
      </c>
      <c r="Z662" s="251"/>
      <c r="AB662" s="251"/>
      <c r="AC662" s="251"/>
      <c r="AD662" s="308"/>
    </row>
    <row r="663" spans="2:30" ht="23.25" customHeight="1" x14ac:dyDescent="0.25">
      <c r="B663" s="679" t="s">
        <v>885</v>
      </c>
      <c r="C663" s="637" t="s">
        <v>553</v>
      </c>
      <c r="D663" s="586" t="s">
        <v>55</v>
      </c>
      <c r="E663" s="223" t="s">
        <v>55</v>
      </c>
      <c r="F663" s="713"/>
      <c r="G663" s="713">
        <f>ROUNDDOWN(24*0.8,0)</f>
        <v>19</v>
      </c>
      <c r="H663" s="713" t="s">
        <v>936</v>
      </c>
      <c r="I663" s="235">
        <v>3.86</v>
      </c>
      <c r="J663" s="215">
        <f t="shared" si="367"/>
        <v>116.4948</v>
      </c>
      <c r="K663" s="216" t="s">
        <v>558</v>
      </c>
      <c r="L663" s="317" t="s">
        <v>55</v>
      </c>
      <c r="M663" s="228" t="s">
        <v>55</v>
      </c>
      <c r="N663" s="226">
        <f>20*G663</f>
        <v>380</v>
      </c>
      <c r="O663" s="241">
        <f t="shared" ref="O663" si="374">20*G663</f>
        <v>380</v>
      </c>
      <c r="P663" s="356">
        <f t="shared" ref="P663" si="375">N663/J663</f>
        <v>3.261948172793979</v>
      </c>
      <c r="Q663" s="356">
        <f t="shared" ref="Q663" si="376">O663/J663</f>
        <v>3.261948172793979</v>
      </c>
      <c r="R663" s="218" t="s">
        <v>55</v>
      </c>
      <c r="S663" s="608" t="s">
        <v>257</v>
      </c>
      <c r="T663" s="520" t="s">
        <v>595</v>
      </c>
      <c r="Z663" s="251"/>
      <c r="AB663" s="251"/>
      <c r="AC663" s="251"/>
      <c r="AD663" s="308"/>
    </row>
    <row r="664" spans="2:30" ht="20.25" customHeight="1" x14ac:dyDescent="0.25">
      <c r="B664" s="679" t="s">
        <v>886</v>
      </c>
      <c r="C664" s="637" t="s">
        <v>993</v>
      </c>
      <c r="D664" s="586" t="s">
        <v>55</v>
      </c>
      <c r="E664" s="223" t="s">
        <v>55</v>
      </c>
      <c r="F664" s="713">
        <v>5</v>
      </c>
      <c r="G664" s="713"/>
      <c r="H664" s="713" t="s">
        <v>937</v>
      </c>
      <c r="I664" s="235">
        <v>3.86</v>
      </c>
      <c r="J664" s="215">
        <f t="shared" si="367"/>
        <v>134.05779999999999</v>
      </c>
      <c r="K664" s="216" t="s">
        <v>559</v>
      </c>
      <c r="L664" s="237" t="s">
        <v>55</v>
      </c>
      <c r="M664" s="579" t="s">
        <v>55</v>
      </c>
      <c r="N664" s="215">
        <f>60*F664+20*G664</f>
        <v>300</v>
      </c>
      <c r="O664" s="220">
        <f>60*F664+20*G664</f>
        <v>300</v>
      </c>
      <c r="P664" s="356">
        <f>N664/J664</f>
        <v>2.2378406925967758</v>
      </c>
      <c r="Q664" s="356">
        <f>O664/J664</f>
        <v>2.2378406925967758</v>
      </c>
      <c r="R664" s="218" t="s">
        <v>55</v>
      </c>
      <c r="S664" s="608" t="s">
        <v>257</v>
      </c>
      <c r="T664" s="520" t="s">
        <v>595</v>
      </c>
      <c r="Z664" s="251"/>
      <c r="AB664" s="251"/>
      <c r="AC664" s="251"/>
      <c r="AD664" s="308"/>
    </row>
    <row r="665" spans="2:30" ht="17.25" customHeight="1" x14ac:dyDescent="0.25">
      <c r="B665" s="679"/>
      <c r="C665" s="637" t="s">
        <v>994</v>
      </c>
      <c r="D665" s="586" t="s">
        <v>55</v>
      </c>
      <c r="E665" s="586" t="s">
        <v>55</v>
      </c>
      <c r="F665" s="586" t="s">
        <v>55</v>
      </c>
      <c r="G665" s="586" t="s">
        <v>55</v>
      </c>
      <c r="H665" s="586" t="s">
        <v>55</v>
      </c>
      <c r="I665" s="586" t="s">
        <v>55</v>
      </c>
      <c r="J665" s="586" t="s">
        <v>55</v>
      </c>
      <c r="K665" s="216" t="s">
        <v>55</v>
      </c>
      <c r="L665" s="586" t="s">
        <v>55</v>
      </c>
      <c r="M665" s="586" t="s">
        <v>55</v>
      </c>
      <c r="N665" s="750" t="s">
        <v>55</v>
      </c>
      <c r="O665" s="590" t="s">
        <v>55</v>
      </c>
      <c r="P665" s="356" t="s">
        <v>55</v>
      </c>
      <c r="Q665" s="356" t="s">
        <v>55</v>
      </c>
      <c r="R665" s="590" t="s">
        <v>55</v>
      </c>
      <c r="S665" s="586" t="s">
        <v>55</v>
      </c>
      <c r="T665" s="717" t="s">
        <v>55</v>
      </c>
      <c r="Z665" s="251"/>
      <c r="AB665" s="251"/>
      <c r="AC665" s="251"/>
      <c r="AD665" s="308"/>
    </row>
    <row r="666" spans="2:30" ht="17.25" customHeight="1" x14ac:dyDescent="0.25">
      <c r="B666" s="679"/>
      <c r="C666" s="637" t="s">
        <v>995</v>
      </c>
      <c r="D666" s="586" t="s">
        <v>55</v>
      </c>
      <c r="E666" s="586" t="s">
        <v>55</v>
      </c>
      <c r="F666" s="586" t="s">
        <v>55</v>
      </c>
      <c r="G666" s="586" t="s">
        <v>55</v>
      </c>
      <c r="H666" s="586" t="s">
        <v>55</v>
      </c>
      <c r="I666" s="586" t="s">
        <v>55</v>
      </c>
      <c r="J666" s="586" t="s">
        <v>55</v>
      </c>
      <c r="K666" s="216" t="s">
        <v>55</v>
      </c>
      <c r="L666" s="586" t="s">
        <v>55</v>
      </c>
      <c r="M666" s="586" t="s">
        <v>55</v>
      </c>
      <c r="N666" s="750" t="s">
        <v>55</v>
      </c>
      <c r="O666" s="590" t="s">
        <v>55</v>
      </c>
      <c r="P666" s="356" t="s">
        <v>55</v>
      </c>
      <c r="Q666" s="356" t="s">
        <v>55</v>
      </c>
      <c r="R666" s="590" t="s">
        <v>55</v>
      </c>
      <c r="S666" s="586" t="s">
        <v>55</v>
      </c>
      <c r="T666" s="717" t="s">
        <v>55</v>
      </c>
      <c r="Z666" s="251"/>
      <c r="AB666" s="251"/>
      <c r="AC666" s="251"/>
      <c r="AD666" s="308"/>
    </row>
    <row r="667" spans="2:30" ht="17.25" customHeight="1" x14ac:dyDescent="0.25">
      <c r="B667" s="679" t="s">
        <v>887</v>
      </c>
      <c r="C667" s="637" t="s">
        <v>95</v>
      </c>
      <c r="D667" s="586" t="s">
        <v>55</v>
      </c>
      <c r="E667" s="223" t="s">
        <v>55</v>
      </c>
      <c r="F667" s="586" t="s">
        <v>55</v>
      </c>
      <c r="G667" s="586" t="s">
        <v>55</v>
      </c>
      <c r="H667" s="713" t="s">
        <v>938</v>
      </c>
      <c r="I667" s="235">
        <v>3.86</v>
      </c>
      <c r="J667" s="215">
        <f t="shared" ref="J667:J668" si="377">H667*I667</f>
        <v>50.5274</v>
      </c>
      <c r="K667" s="216" t="s">
        <v>55</v>
      </c>
      <c r="L667" s="214">
        <v>1</v>
      </c>
      <c r="M667" s="650" t="s">
        <v>55</v>
      </c>
      <c r="N667" s="653" t="s">
        <v>55</v>
      </c>
      <c r="O667" s="220">
        <f>CEILING((J667*L667),10)</f>
        <v>60</v>
      </c>
      <c r="P667" s="356" t="s">
        <v>55</v>
      </c>
      <c r="Q667" s="356" t="s">
        <v>55</v>
      </c>
      <c r="R667" s="218" t="s">
        <v>55</v>
      </c>
      <c r="S667" s="586" t="s">
        <v>55</v>
      </c>
      <c r="T667" s="719"/>
      <c r="Z667" s="251"/>
      <c r="AB667" s="251"/>
      <c r="AC667" s="251"/>
      <c r="AD667" s="308"/>
    </row>
    <row r="668" spans="2:30" ht="37.5" customHeight="1" x14ac:dyDescent="0.25">
      <c r="B668" s="679" t="s">
        <v>888</v>
      </c>
      <c r="C668" s="637" t="s">
        <v>996</v>
      </c>
      <c r="D668" s="586" t="s">
        <v>55</v>
      </c>
      <c r="E668" s="223" t="s">
        <v>55</v>
      </c>
      <c r="F668" s="713">
        <v>1</v>
      </c>
      <c r="G668" s="713">
        <v>2</v>
      </c>
      <c r="H668" s="713" t="s">
        <v>939</v>
      </c>
      <c r="I668" s="235">
        <v>3.86</v>
      </c>
      <c r="J668" s="215">
        <f t="shared" si="377"/>
        <v>99.97399999999999</v>
      </c>
      <c r="K668" s="216" t="s">
        <v>670</v>
      </c>
      <c r="L668" s="237" t="s">
        <v>55</v>
      </c>
      <c r="M668" s="579" t="s">
        <v>55</v>
      </c>
      <c r="N668" s="215">
        <f>60*F668+20*G668</f>
        <v>100</v>
      </c>
      <c r="O668" s="220">
        <f>60*F668+20*G668</f>
        <v>100</v>
      </c>
      <c r="P668" s="356">
        <f>N668/J668</f>
        <v>1.0002600676175806</v>
      </c>
      <c r="Q668" s="356">
        <f>O668/J668</f>
        <v>1.0002600676175806</v>
      </c>
      <c r="R668" s="218" t="s">
        <v>55</v>
      </c>
      <c r="S668" s="608" t="s">
        <v>257</v>
      </c>
      <c r="T668" s="520" t="s">
        <v>595</v>
      </c>
      <c r="Z668" s="251"/>
      <c r="AB668" s="251"/>
      <c r="AC668" s="251"/>
      <c r="AD668" s="308"/>
    </row>
    <row r="669" spans="2:30" ht="17.25" customHeight="1" x14ac:dyDescent="0.25">
      <c r="B669" s="679"/>
      <c r="C669" s="637" t="s">
        <v>997</v>
      </c>
      <c r="D669" s="586" t="s">
        <v>55</v>
      </c>
      <c r="E669" s="223" t="s">
        <v>55</v>
      </c>
      <c r="F669" s="586" t="s">
        <v>55</v>
      </c>
      <c r="G669" s="586" t="s">
        <v>55</v>
      </c>
      <c r="H669" s="586" t="s">
        <v>55</v>
      </c>
      <c r="I669" s="586" t="s">
        <v>55</v>
      </c>
      <c r="J669" s="586" t="s">
        <v>55</v>
      </c>
      <c r="K669" s="216"/>
      <c r="L669" s="237" t="s">
        <v>55</v>
      </c>
      <c r="M669" s="579" t="s">
        <v>55</v>
      </c>
      <c r="N669" s="673" t="s">
        <v>55</v>
      </c>
      <c r="O669" s="580" t="s">
        <v>55</v>
      </c>
      <c r="P669" s="580" t="s">
        <v>55</v>
      </c>
      <c r="Q669" s="580" t="s">
        <v>55</v>
      </c>
      <c r="R669" s="580" t="s">
        <v>55</v>
      </c>
      <c r="S669" s="579" t="s">
        <v>55</v>
      </c>
      <c r="T669" s="674" t="s">
        <v>55</v>
      </c>
      <c r="Z669" s="251"/>
      <c r="AB669" s="251"/>
      <c r="AC669" s="251"/>
      <c r="AD669" s="308"/>
    </row>
    <row r="670" spans="2:30" ht="17.25" customHeight="1" x14ac:dyDescent="0.25">
      <c r="B670" s="679"/>
      <c r="C670" s="637" t="s">
        <v>998</v>
      </c>
      <c r="D670" s="586" t="s">
        <v>55</v>
      </c>
      <c r="E670" s="223" t="s">
        <v>55</v>
      </c>
      <c r="F670" s="586" t="s">
        <v>55</v>
      </c>
      <c r="G670" s="586" t="s">
        <v>55</v>
      </c>
      <c r="H670" s="586" t="s">
        <v>55</v>
      </c>
      <c r="I670" s="586" t="s">
        <v>55</v>
      </c>
      <c r="J670" s="586" t="s">
        <v>55</v>
      </c>
      <c r="K670" s="216" t="s">
        <v>55</v>
      </c>
      <c r="L670" s="586" t="s">
        <v>55</v>
      </c>
      <c r="M670" s="586" t="s">
        <v>55</v>
      </c>
      <c r="N670" s="750" t="s">
        <v>55</v>
      </c>
      <c r="O670" s="590" t="s">
        <v>55</v>
      </c>
      <c r="P670" s="590" t="s">
        <v>55</v>
      </c>
      <c r="Q670" s="590" t="s">
        <v>55</v>
      </c>
      <c r="R670" s="590" t="s">
        <v>55</v>
      </c>
      <c r="S670" s="586" t="s">
        <v>55</v>
      </c>
      <c r="T670" s="717" t="s">
        <v>55</v>
      </c>
      <c r="Z670" s="251"/>
      <c r="AB670" s="251"/>
      <c r="AC670" s="251"/>
      <c r="AD670" s="308"/>
    </row>
    <row r="671" spans="2:30" ht="34.5" customHeight="1" x14ac:dyDescent="0.25">
      <c r="B671" s="679" t="s">
        <v>889</v>
      </c>
      <c r="C671" s="637" t="s">
        <v>999</v>
      </c>
      <c r="D671" s="586" t="s">
        <v>55</v>
      </c>
      <c r="E671" s="223" t="s">
        <v>55</v>
      </c>
      <c r="F671" s="713">
        <v>8</v>
      </c>
      <c r="G671" s="713">
        <v>1</v>
      </c>
      <c r="H671" s="713" t="s">
        <v>940</v>
      </c>
      <c r="I671" s="235">
        <v>3.86</v>
      </c>
      <c r="J671" s="215">
        <f>H671*I671</f>
        <v>226.196</v>
      </c>
      <c r="K671" s="216" t="s">
        <v>670</v>
      </c>
      <c r="L671" s="237" t="s">
        <v>55</v>
      </c>
      <c r="M671" s="579" t="s">
        <v>55</v>
      </c>
      <c r="N671" s="215">
        <f>60*F671+20*G671</f>
        <v>500</v>
      </c>
      <c r="O671" s="220">
        <f>60*F671+20*G671</f>
        <v>500</v>
      </c>
      <c r="P671" s="356">
        <f>N671/J671</f>
        <v>2.210472333728271</v>
      </c>
      <c r="Q671" s="356">
        <f>O671/J671</f>
        <v>2.210472333728271</v>
      </c>
      <c r="R671" s="218" t="s">
        <v>55</v>
      </c>
      <c r="S671" s="608" t="s">
        <v>257</v>
      </c>
      <c r="T671" s="520" t="s">
        <v>595</v>
      </c>
      <c r="Z671" s="251"/>
      <c r="AB671" s="251"/>
      <c r="AC671" s="251"/>
      <c r="AD671" s="308"/>
    </row>
    <row r="672" spans="2:30" ht="17.25" customHeight="1" x14ac:dyDescent="0.25">
      <c r="B672" s="679"/>
      <c r="C672" s="637" t="s">
        <v>1000</v>
      </c>
      <c r="D672" s="586" t="s">
        <v>55</v>
      </c>
      <c r="E672" s="223" t="s">
        <v>55</v>
      </c>
      <c r="F672" s="223" t="s">
        <v>55</v>
      </c>
      <c r="G672" s="223" t="s">
        <v>55</v>
      </c>
      <c r="H672" s="223" t="s">
        <v>55</v>
      </c>
      <c r="I672" s="223" t="s">
        <v>55</v>
      </c>
      <c r="J672" s="223" t="s">
        <v>55</v>
      </c>
      <c r="K672" s="216"/>
      <c r="L672" s="237" t="s">
        <v>55</v>
      </c>
      <c r="M672" s="579" t="s">
        <v>55</v>
      </c>
      <c r="N672" s="673" t="s">
        <v>55</v>
      </c>
      <c r="O672" s="580" t="s">
        <v>55</v>
      </c>
      <c r="P672" s="356" t="s">
        <v>55</v>
      </c>
      <c r="Q672" s="356" t="s">
        <v>55</v>
      </c>
      <c r="R672" s="580" t="s">
        <v>55</v>
      </c>
      <c r="S672" s="579" t="s">
        <v>55</v>
      </c>
      <c r="T672" s="674" t="s">
        <v>55</v>
      </c>
      <c r="Z672" s="251"/>
      <c r="AB672" s="251"/>
      <c r="AC672" s="251"/>
      <c r="AD672" s="308"/>
    </row>
    <row r="673" spans="2:30" ht="38.25" customHeight="1" x14ac:dyDescent="0.25">
      <c r="B673" s="679" t="s">
        <v>890</v>
      </c>
      <c r="C673" s="637" t="s">
        <v>1001</v>
      </c>
      <c r="D673" s="586" t="s">
        <v>55</v>
      </c>
      <c r="E673" s="223" t="s">
        <v>55</v>
      </c>
      <c r="F673" s="713">
        <v>1</v>
      </c>
      <c r="G673" s="713">
        <v>2</v>
      </c>
      <c r="H673" s="713" t="s">
        <v>780</v>
      </c>
      <c r="I673" s="235">
        <v>3.86</v>
      </c>
      <c r="J673" s="215">
        <f>H673*I673</f>
        <v>85.383200000000002</v>
      </c>
      <c r="K673" s="216" t="s">
        <v>670</v>
      </c>
      <c r="L673" s="237" t="s">
        <v>55</v>
      </c>
      <c r="M673" s="579" t="s">
        <v>55</v>
      </c>
      <c r="N673" s="215">
        <f>60*F673+20*G673</f>
        <v>100</v>
      </c>
      <c r="O673" s="220">
        <f>60*F673+20*G673</f>
        <v>100</v>
      </c>
      <c r="P673" s="356">
        <f>N673/J673</f>
        <v>1.1711905855015974</v>
      </c>
      <c r="Q673" s="356">
        <f>O673/J673</f>
        <v>1.1711905855015974</v>
      </c>
      <c r="R673" s="218" t="s">
        <v>55</v>
      </c>
      <c r="S673" s="608" t="s">
        <v>257</v>
      </c>
      <c r="T673" s="520" t="s">
        <v>595</v>
      </c>
      <c r="Z673" s="251"/>
      <c r="AB673" s="251"/>
      <c r="AC673" s="251"/>
      <c r="AD673" s="308"/>
    </row>
    <row r="674" spans="2:30" ht="17.25" customHeight="1" x14ac:dyDescent="0.25">
      <c r="B674" s="679"/>
      <c r="C674" s="637" t="s">
        <v>1002</v>
      </c>
      <c r="D674" s="586" t="s">
        <v>55</v>
      </c>
      <c r="E674" s="223" t="s">
        <v>55</v>
      </c>
      <c r="F674" s="223" t="s">
        <v>55</v>
      </c>
      <c r="G674" s="223" t="s">
        <v>55</v>
      </c>
      <c r="H674" s="223" t="s">
        <v>55</v>
      </c>
      <c r="I674" s="223" t="s">
        <v>55</v>
      </c>
      <c r="J674" s="223" t="s">
        <v>55</v>
      </c>
      <c r="K674" s="216"/>
      <c r="L674" s="237" t="s">
        <v>55</v>
      </c>
      <c r="M674" s="579" t="s">
        <v>55</v>
      </c>
      <c r="N674" s="673" t="s">
        <v>55</v>
      </c>
      <c r="O674" s="580" t="s">
        <v>55</v>
      </c>
      <c r="P674" s="356" t="s">
        <v>55</v>
      </c>
      <c r="Q674" s="356" t="s">
        <v>55</v>
      </c>
      <c r="R674" s="580" t="s">
        <v>55</v>
      </c>
      <c r="S674" s="579" t="s">
        <v>55</v>
      </c>
      <c r="T674" s="674" t="s">
        <v>55</v>
      </c>
      <c r="Z674" s="251"/>
      <c r="AB674" s="251"/>
      <c r="AC674" s="251"/>
      <c r="AD674" s="308"/>
    </row>
    <row r="675" spans="2:30" ht="17.25" customHeight="1" x14ac:dyDescent="0.25">
      <c r="B675" s="679"/>
      <c r="C675" s="637" t="s">
        <v>1000</v>
      </c>
      <c r="D675" s="586" t="s">
        <v>55</v>
      </c>
      <c r="E675" s="223" t="s">
        <v>55</v>
      </c>
      <c r="F675" s="223" t="s">
        <v>55</v>
      </c>
      <c r="G675" s="223" t="s">
        <v>55</v>
      </c>
      <c r="H675" s="223" t="s">
        <v>55</v>
      </c>
      <c r="I675" s="223" t="s">
        <v>55</v>
      </c>
      <c r="J675" s="223" t="s">
        <v>55</v>
      </c>
      <c r="K675" s="223" t="s">
        <v>55</v>
      </c>
      <c r="L675" s="223" t="s">
        <v>55</v>
      </c>
      <c r="M675" s="223" t="s">
        <v>55</v>
      </c>
      <c r="N675" s="240" t="s">
        <v>55</v>
      </c>
      <c r="O675" s="229" t="s">
        <v>55</v>
      </c>
      <c r="P675" s="356" t="s">
        <v>55</v>
      </c>
      <c r="Q675" s="356" t="s">
        <v>55</v>
      </c>
      <c r="R675" s="229" t="s">
        <v>55</v>
      </c>
      <c r="S675" s="223" t="s">
        <v>55</v>
      </c>
      <c r="T675" s="321" t="s">
        <v>55</v>
      </c>
      <c r="U675" s="323" t="s">
        <v>55</v>
      </c>
      <c r="V675" s="223" t="s">
        <v>55</v>
      </c>
      <c r="W675" s="223" t="s">
        <v>55</v>
      </c>
      <c r="X675" s="223" t="s">
        <v>55</v>
      </c>
      <c r="Y675" s="223" t="s">
        <v>55</v>
      </c>
      <c r="Z675" s="251"/>
      <c r="AB675" s="251"/>
      <c r="AC675" s="251"/>
      <c r="AD675" s="308"/>
    </row>
    <row r="676" spans="2:30" ht="24.75" customHeight="1" x14ac:dyDescent="0.25">
      <c r="B676" s="679" t="s">
        <v>891</v>
      </c>
      <c r="C676" s="752" t="s">
        <v>1003</v>
      </c>
      <c r="D676" s="586" t="s">
        <v>55</v>
      </c>
      <c r="E676" s="223" t="s">
        <v>55</v>
      </c>
      <c r="F676" s="713">
        <v>3</v>
      </c>
      <c r="G676" s="713"/>
      <c r="H676" s="713" t="s">
        <v>941</v>
      </c>
      <c r="I676" s="235">
        <v>3.86</v>
      </c>
      <c r="J676" s="215">
        <f>H676*I676</f>
        <v>99.935400000000001</v>
      </c>
      <c r="K676" s="216" t="s">
        <v>559</v>
      </c>
      <c r="L676" s="237" t="s">
        <v>55</v>
      </c>
      <c r="M676" s="579" t="s">
        <v>55</v>
      </c>
      <c r="N676" s="215">
        <f>60*F676+20*G676</f>
        <v>180</v>
      </c>
      <c r="O676" s="220">
        <f>60*F676+20*G676</f>
        <v>180</v>
      </c>
      <c r="P676" s="356">
        <f>N676/J676</f>
        <v>1.8011635516543687</v>
      </c>
      <c r="Q676" s="356">
        <f>O676/J676</f>
        <v>1.8011635516543687</v>
      </c>
      <c r="R676" s="218" t="s">
        <v>55</v>
      </c>
      <c r="S676" s="608" t="s">
        <v>257</v>
      </c>
      <c r="T676" s="520" t="s">
        <v>595</v>
      </c>
      <c r="Z676" s="251"/>
      <c r="AB676" s="251"/>
      <c r="AC676" s="251"/>
      <c r="AD676" s="308"/>
    </row>
    <row r="677" spans="2:30" ht="17.25" customHeight="1" x14ac:dyDescent="0.25">
      <c r="B677" s="679"/>
      <c r="C677" s="753" t="s">
        <v>1007</v>
      </c>
      <c r="D677" s="586" t="s">
        <v>55</v>
      </c>
      <c r="E677" s="223" t="s">
        <v>55</v>
      </c>
      <c r="F677" s="223" t="s">
        <v>55</v>
      </c>
      <c r="G677" s="223" t="s">
        <v>55</v>
      </c>
      <c r="H677" s="223" t="s">
        <v>55</v>
      </c>
      <c r="I677" s="223" t="s">
        <v>55</v>
      </c>
      <c r="J677" s="223" t="s">
        <v>55</v>
      </c>
      <c r="K677" s="223" t="s">
        <v>55</v>
      </c>
      <c r="L677" s="223" t="s">
        <v>55</v>
      </c>
      <c r="M677" s="223" t="s">
        <v>55</v>
      </c>
      <c r="N677" s="240" t="s">
        <v>55</v>
      </c>
      <c r="O677" s="229" t="s">
        <v>55</v>
      </c>
      <c r="P677" s="356" t="s">
        <v>55</v>
      </c>
      <c r="Q677" s="356" t="s">
        <v>55</v>
      </c>
      <c r="R677" s="229" t="s">
        <v>55</v>
      </c>
      <c r="S677" s="223" t="s">
        <v>55</v>
      </c>
      <c r="T677" s="321" t="s">
        <v>55</v>
      </c>
      <c r="Z677" s="251"/>
      <c r="AB677" s="251"/>
      <c r="AC677" s="251"/>
      <c r="AD677" s="308"/>
    </row>
    <row r="678" spans="2:30" ht="17.25" customHeight="1" x14ac:dyDescent="0.25">
      <c r="B678" s="679"/>
      <c r="C678" s="637" t="s">
        <v>1004</v>
      </c>
      <c r="D678" s="586" t="s">
        <v>55</v>
      </c>
      <c r="E678" s="223" t="s">
        <v>55</v>
      </c>
      <c r="F678" s="223" t="s">
        <v>55</v>
      </c>
      <c r="G678" s="223" t="s">
        <v>55</v>
      </c>
      <c r="H678" s="223" t="s">
        <v>55</v>
      </c>
      <c r="I678" s="223" t="s">
        <v>55</v>
      </c>
      <c r="J678" s="223" t="s">
        <v>55</v>
      </c>
      <c r="K678" s="223" t="s">
        <v>55</v>
      </c>
      <c r="L678" s="223" t="s">
        <v>55</v>
      </c>
      <c r="M678" s="223" t="s">
        <v>55</v>
      </c>
      <c r="N678" s="240" t="s">
        <v>55</v>
      </c>
      <c r="O678" s="229" t="s">
        <v>55</v>
      </c>
      <c r="P678" s="356" t="s">
        <v>55</v>
      </c>
      <c r="Q678" s="356" t="s">
        <v>55</v>
      </c>
      <c r="R678" s="229" t="s">
        <v>55</v>
      </c>
      <c r="S678" s="223" t="s">
        <v>55</v>
      </c>
      <c r="T678" s="321" t="s">
        <v>55</v>
      </c>
      <c r="Z678" s="251"/>
      <c r="AB678" s="251"/>
      <c r="AC678" s="251"/>
      <c r="AD678" s="308"/>
    </row>
    <row r="679" spans="2:30" ht="17.25" customHeight="1" x14ac:dyDescent="0.25">
      <c r="B679" s="679"/>
      <c r="C679" s="637" t="s">
        <v>1005</v>
      </c>
      <c r="D679" s="586" t="s">
        <v>55</v>
      </c>
      <c r="E679" s="223" t="s">
        <v>55</v>
      </c>
      <c r="F679" s="223" t="s">
        <v>55</v>
      </c>
      <c r="G679" s="223" t="s">
        <v>55</v>
      </c>
      <c r="H679" s="223" t="s">
        <v>55</v>
      </c>
      <c r="I679" s="223" t="s">
        <v>55</v>
      </c>
      <c r="J679" s="223" t="s">
        <v>55</v>
      </c>
      <c r="K679" s="223" t="s">
        <v>55</v>
      </c>
      <c r="L679" s="223" t="s">
        <v>55</v>
      </c>
      <c r="M679" s="223" t="s">
        <v>55</v>
      </c>
      <c r="N679" s="240" t="s">
        <v>55</v>
      </c>
      <c r="O679" s="229" t="s">
        <v>55</v>
      </c>
      <c r="P679" s="356" t="s">
        <v>55</v>
      </c>
      <c r="Q679" s="356" t="s">
        <v>55</v>
      </c>
      <c r="R679" s="229" t="s">
        <v>55</v>
      </c>
      <c r="S679" s="223" t="s">
        <v>55</v>
      </c>
      <c r="T679" s="321" t="s">
        <v>55</v>
      </c>
      <c r="Z679" s="251"/>
      <c r="AB679" s="251"/>
      <c r="AC679" s="251"/>
      <c r="AD679" s="308"/>
    </row>
    <row r="680" spans="2:30" ht="17.25" customHeight="1" x14ac:dyDescent="0.25">
      <c r="B680" s="679"/>
      <c r="C680" s="754" t="s">
        <v>1006</v>
      </c>
      <c r="D680" s="586" t="s">
        <v>55</v>
      </c>
      <c r="E680" s="223" t="s">
        <v>55</v>
      </c>
      <c r="F680" s="223" t="s">
        <v>55</v>
      </c>
      <c r="G680" s="223" t="s">
        <v>55</v>
      </c>
      <c r="H680" s="223" t="s">
        <v>55</v>
      </c>
      <c r="I680" s="223" t="s">
        <v>55</v>
      </c>
      <c r="J680" s="223" t="s">
        <v>55</v>
      </c>
      <c r="K680" s="223" t="s">
        <v>55</v>
      </c>
      <c r="L680" s="223" t="s">
        <v>55</v>
      </c>
      <c r="M680" s="223" t="s">
        <v>55</v>
      </c>
      <c r="N680" s="240" t="s">
        <v>55</v>
      </c>
      <c r="O680" s="229" t="s">
        <v>55</v>
      </c>
      <c r="P680" s="356" t="s">
        <v>55</v>
      </c>
      <c r="Q680" s="356" t="s">
        <v>55</v>
      </c>
      <c r="R680" s="229" t="s">
        <v>55</v>
      </c>
      <c r="S680" s="223" t="s">
        <v>55</v>
      </c>
      <c r="T680" s="321" t="s">
        <v>55</v>
      </c>
      <c r="Z680" s="251"/>
      <c r="AB680" s="251"/>
      <c r="AC680" s="251"/>
      <c r="AD680" s="308"/>
    </row>
    <row r="681" spans="2:30" ht="35.25" customHeight="1" x14ac:dyDescent="0.25">
      <c r="B681" s="679" t="s">
        <v>892</v>
      </c>
      <c r="C681" s="751" t="s">
        <v>1008</v>
      </c>
      <c r="D681" s="586" t="s">
        <v>55</v>
      </c>
      <c r="E681" s="223" t="s">
        <v>55</v>
      </c>
      <c r="F681" s="713">
        <v>1</v>
      </c>
      <c r="G681" s="713">
        <v>2</v>
      </c>
      <c r="H681" s="713" t="s">
        <v>942</v>
      </c>
      <c r="I681" s="235">
        <v>3.86</v>
      </c>
      <c r="J681" s="215">
        <f>H681*I681</f>
        <v>80.635400000000004</v>
      </c>
      <c r="K681" s="216" t="s">
        <v>670</v>
      </c>
      <c r="L681" s="237" t="s">
        <v>55</v>
      </c>
      <c r="M681" s="579" t="s">
        <v>55</v>
      </c>
      <c r="N681" s="215">
        <f>60*F681+20*G681</f>
        <v>100</v>
      </c>
      <c r="O681" s="220">
        <f>60*F681+20*G681</f>
        <v>100</v>
      </c>
      <c r="P681" s="356">
        <f>N681/J681</f>
        <v>1.2401501077690442</v>
      </c>
      <c r="Q681" s="356">
        <f>O681/J681</f>
        <v>1.2401501077690442</v>
      </c>
      <c r="R681" s="218" t="s">
        <v>55</v>
      </c>
      <c r="S681" s="608" t="s">
        <v>257</v>
      </c>
      <c r="T681" s="520" t="s">
        <v>595</v>
      </c>
      <c r="Z681" s="251"/>
      <c r="AB681" s="251"/>
      <c r="AC681" s="251"/>
      <c r="AD681" s="308"/>
    </row>
    <row r="682" spans="2:30" ht="17.25" customHeight="1" x14ac:dyDescent="0.25">
      <c r="B682" s="679"/>
      <c r="C682" s="637" t="s">
        <v>1009</v>
      </c>
      <c r="D682" s="586" t="s">
        <v>55</v>
      </c>
      <c r="E682" s="223" t="s">
        <v>55</v>
      </c>
      <c r="F682" s="223" t="s">
        <v>55</v>
      </c>
      <c r="G682" s="223" t="s">
        <v>55</v>
      </c>
      <c r="H682" s="223" t="s">
        <v>55</v>
      </c>
      <c r="I682" s="223" t="s">
        <v>55</v>
      </c>
      <c r="J682" s="223" t="s">
        <v>55</v>
      </c>
      <c r="K682" s="216"/>
      <c r="L682" s="237" t="s">
        <v>55</v>
      </c>
      <c r="M682" s="579" t="s">
        <v>55</v>
      </c>
      <c r="N682" s="673" t="s">
        <v>55</v>
      </c>
      <c r="O682" s="580" t="s">
        <v>55</v>
      </c>
      <c r="P682" s="356" t="s">
        <v>55</v>
      </c>
      <c r="Q682" s="356" t="s">
        <v>55</v>
      </c>
      <c r="R682" s="580" t="s">
        <v>55</v>
      </c>
      <c r="S682" s="579" t="s">
        <v>55</v>
      </c>
      <c r="T682" s="674" t="s">
        <v>55</v>
      </c>
      <c r="Z682" s="251"/>
      <c r="AB682" s="251"/>
      <c r="AC682" s="251"/>
      <c r="AD682" s="308"/>
    </row>
    <row r="683" spans="2:30" ht="17.25" customHeight="1" x14ac:dyDescent="0.25">
      <c r="B683" s="679"/>
      <c r="C683" s="637" t="s">
        <v>986</v>
      </c>
      <c r="D683" s="586" t="s">
        <v>55</v>
      </c>
      <c r="E683" s="223" t="s">
        <v>55</v>
      </c>
      <c r="F683" s="223" t="s">
        <v>55</v>
      </c>
      <c r="G683" s="223" t="s">
        <v>55</v>
      </c>
      <c r="H683" s="223" t="s">
        <v>55</v>
      </c>
      <c r="I683" s="223" t="s">
        <v>55</v>
      </c>
      <c r="J683" s="223" t="s">
        <v>55</v>
      </c>
      <c r="K683" s="216" t="s">
        <v>55</v>
      </c>
      <c r="L683" s="223" t="s">
        <v>55</v>
      </c>
      <c r="M683" s="223" t="s">
        <v>55</v>
      </c>
      <c r="N683" s="240" t="s">
        <v>55</v>
      </c>
      <c r="O683" s="229" t="s">
        <v>55</v>
      </c>
      <c r="P683" s="356" t="s">
        <v>55</v>
      </c>
      <c r="Q683" s="356" t="s">
        <v>55</v>
      </c>
      <c r="R683" s="229" t="s">
        <v>55</v>
      </c>
      <c r="S683" s="223" t="s">
        <v>55</v>
      </c>
      <c r="T683" s="321" t="s">
        <v>55</v>
      </c>
      <c r="Z683" s="251"/>
      <c r="AB683" s="251"/>
      <c r="AC683" s="251"/>
      <c r="AD683" s="308"/>
    </row>
    <row r="684" spans="2:30" ht="34.5" customHeight="1" x14ac:dyDescent="0.25">
      <c r="B684" s="679" t="s">
        <v>893</v>
      </c>
      <c r="C684" s="637" t="s">
        <v>1018</v>
      </c>
      <c r="D684" s="586" t="s">
        <v>55</v>
      </c>
      <c r="E684" s="223" t="s">
        <v>55</v>
      </c>
      <c r="F684" s="713">
        <v>1</v>
      </c>
      <c r="G684" s="713">
        <v>2</v>
      </c>
      <c r="H684" s="713" t="s">
        <v>943</v>
      </c>
      <c r="I684" s="235">
        <v>3.86</v>
      </c>
      <c r="J684" s="215">
        <f>H684*I684</f>
        <v>78.049199999999999</v>
      </c>
      <c r="K684" s="216" t="s">
        <v>670</v>
      </c>
      <c r="L684" s="237" t="s">
        <v>55</v>
      </c>
      <c r="M684" s="579" t="s">
        <v>55</v>
      </c>
      <c r="N684" s="215">
        <f>60*F684+20*G684</f>
        <v>100</v>
      </c>
      <c r="O684" s="220">
        <f>60*F684+20*G684</f>
        <v>100</v>
      </c>
      <c r="P684" s="356">
        <f>N684/J684</f>
        <v>1.281243113318266</v>
      </c>
      <c r="Q684" s="356">
        <f>O684/J684</f>
        <v>1.281243113318266</v>
      </c>
      <c r="R684" s="218" t="s">
        <v>55</v>
      </c>
      <c r="S684" s="608" t="s">
        <v>257</v>
      </c>
      <c r="T684" s="520" t="s">
        <v>595</v>
      </c>
      <c r="Z684" s="251"/>
      <c r="AB684" s="251"/>
      <c r="AC684" s="251"/>
      <c r="AD684" s="308"/>
    </row>
    <row r="685" spans="2:30" ht="17.25" customHeight="1" x14ac:dyDescent="0.25">
      <c r="B685" s="679"/>
      <c r="C685" s="637" t="s">
        <v>1019</v>
      </c>
      <c r="D685" s="586" t="s">
        <v>55</v>
      </c>
      <c r="E685" s="223" t="s">
        <v>55</v>
      </c>
      <c r="F685" s="223" t="s">
        <v>55</v>
      </c>
      <c r="G685" s="223" t="s">
        <v>55</v>
      </c>
      <c r="H685" s="223" t="s">
        <v>55</v>
      </c>
      <c r="I685" s="223" t="s">
        <v>55</v>
      </c>
      <c r="J685" s="223" t="s">
        <v>55</v>
      </c>
      <c r="K685" s="216"/>
      <c r="L685" s="237" t="s">
        <v>55</v>
      </c>
      <c r="M685" s="579" t="s">
        <v>55</v>
      </c>
      <c r="N685" s="673" t="s">
        <v>55</v>
      </c>
      <c r="O685" s="580" t="s">
        <v>55</v>
      </c>
      <c r="P685" s="356" t="s">
        <v>55</v>
      </c>
      <c r="Q685" s="356" t="s">
        <v>55</v>
      </c>
      <c r="R685" s="580" t="s">
        <v>55</v>
      </c>
      <c r="S685" s="579" t="s">
        <v>55</v>
      </c>
      <c r="T685" s="674" t="s">
        <v>55</v>
      </c>
      <c r="Z685" s="251"/>
      <c r="AB685" s="251"/>
      <c r="AC685" s="251"/>
      <c r="AD685" s="308"/>
    </row>
    <row r="686" spans="2:30" ht="17.25" customHeight="1" x14ac:dyDescent="0.25">
      <c r="B686" s="679" t="s">
        <v>894</v>
      </c>
      <c r="C686" s="637" t="s">
        <v>1016</v>
      </c>
      <c r="D686" s="586" t="s">
        <v>55</v>
      </c>
      <c r="E686" s="223" t="s">
        <v>55</v>
      </c>
      <c r="F686" s="713">
        <v>1</v>
      </c>
      <c r="G686" s="713">
        <v>2</v>
      </c>
      <c r="H686" s="713" t="s">
        <v>944</v>
      </c>
      <c r="I686" s="235">
        <v>3.86</v>
      </c>
      <c r="J686" s="215">
        <f>H686*I686</f>
        <v>88.509799999999998</v>
      </c>
      <c r="K686" s="216" t="s">
        <v>670</v>
      </c>
      <c r="L686" s="237" t="s">
        <v>55</v>
      </c>
      <c r="M686" s="579" t="s">
        <v>55</v>
      </c>
      <c r="N686" s="215">
        <f>60*F686+20*G686</f>
        <v>100</v>
      </c>
      <c r="O686" s="220">
        <f>60*F686+20*G686</f>
        <v>100</v>
      </c>
      <c r="P686" s="356">
        <f>N686/J686</f>
        <v>1.1298183929915107</v>
      </c>
      <c r="Q686" s="356">
        <f>O686/J686</f>
        <v>1.1298183929915107</v>
      </c>
      <c r="R686" s="218" t="s">
        <v>55</v>
      </c>
      <c r="S686" s="608" t="s">
        <v>257</v>
      </c>
      <c r="T686" s="520" t="s">
        <v>595</v>
      </c>
      <c r="Z686" s="251"/>
      <c r="AB686" s="251"/>
      <c r="AC686" s="251"/>
      <c r="AD686" s="308"/>
    </row>
    <row r="687" spans="2:30" ht="17.25" customHeight="1" x14ac:dyDescent="0.25">
      <c r="B687" s="679"/>
      <c r="C687" s="637" t="s">
        <v>1017</v>
      </c>
      <c r="D687" s="586" t="s">
        <v>55</v>
      </c>
      <c r="E687" s="223" t="s">
        <v>55</v>
      </c>
      <c r="F687" s="223" t="s">
        <v>55</v>
      </c>
      <c r="G687" s="223" t="s">
        <v>55</v>
      </c>
      <c r="H687" s="223" t="s">
        <v>55</v>
      </c>
      <c r="I687" s="223" t="s">
        <v>55</v>
      </c>
      <c r="J687" s="223" t="s">
        <v>55</v>
      </c>
      <c r="K687" s="216"/>
      <c r="L687" s="237" t="s">
        <v>55</v>
      </c>
      <c r="M687" s="579" t="s">
        <v>55</v>
      </c>
      <c r="N687" s="673" t="s">
        <v>55</v>
      </c>
      <c r="O687" s="580" t="s">
        <v>55</v>
      </c>
      <c r="P687" s="356" t="s">
        <v>55</v>
      </c>
      <c r="Q687" s="356" t="s">
        <v>55</v>
      </c>
      <c r="R687" s="580" t="s">
        <v>55</v>
      </c>
      <c r="S687" s="579" t="s">
        <v>55</v>
      </c>
      <c r="T687" s="674" t="s">
        <v>55</v>
      </c>
      <c r="Z687" s="251"/>
      <c r="AB687" s="251"/>
      <c r="AC687" s="251"/>
      <c r="AD687" s="308"/>
    </row>
    <row r="688" spans="2:30" ht="36" customHeight="1" x14ac:dyDescent="0.25">
      <c r="B688" s="679" t="s">
        <v>895</v>
      </c>
      <c r="C688" s="637" t="s">
        <v>85</v>
      </c>
      <c r="D688" s="586" t="s">
        <v>55</v>
      </c>
      <c r="E688" s="223" t="s">
        <v>55</v>
      </c>
      <c r="F688" s="713">
        <v>1</v>
      </c>
      <c r="G688" s="713">
        <f>6</f>
        <v>6</v>
      </c>
      <c r="H688" s="713" t="s">
        <v>945</v>
      </c>
      <c r="I688" s="235">
        <v>3.86</v>
      </c>
      <c r="J688" s="215">
        <f>H688*I688</f>
        <v>123.7902</v>
      </c>
      <c r="K688" s="216" t="s">
        <v>670</v>
      </c>
      <c r="L688" s="237" t="s">
        <v>55</v>
      </c>
      <c r="M688" s="579" t="s">
        <v>55</v>
      </c>
      <c r="N688" s="215">
        <f>60*F688+20*G688</f>
        <v>180</v>
      </c>
      <c r="O688" s="220">
        <f>60*F688+20*G688-O588</f>
        <v>105</v>
      </c>
      <c r="P688" s="356">
        <f>N688/J688</f>
        <v>1.4540731011017027</v>
      </c>
      <c r="Q688" s="356">
        <f>O688/J688</f>
        <v>0.84820930897599323</v>
      </c>
      <c r="R688" s="218" t="s">
        <v>55</v>
      </c>
      <c r="S688" s="608" t="s">
        <v>257</v>
      </c>
      <c r="T688" s="520" t="s">
        <v>595</v>
      </c>
      <c r="Z688" s="251"/>
      <c r="AB688" s="251"/>
      <c r="AC688" s="251"/>
      <c r="AD688" s="308"/>
    </row>
    <row r="689" spans="1:30" ht="39.75" customHeight="1" x14ac:dyDescent="0.25">
      <c r="B689" s="679" t="s">
        <v>896</v>
      </c>
      <c r="C689" s="753" t="s">
        <v>1020</v>
      </c>
      <c r="D689" s="586" t="s">
        <v>55</v>
      </c>
      <c r="E689" s="223" t="s">
        <v>55</v>
      </c>
      <c r="F689" s="713">
        <v>2</v>
      </c>
      <c r="G689" s="713">
        <v>4</v>
      </c>
      <c r="H689" s="713" t="s">
        <v>946</v>
      </c>
      <c r="I689" s="235">
        <v>3.86</v>
      </c>
      <c r="J689" s="215">
        <f>H689*I689</f>
        <v>125.06399999999999</v>
      </c>
      <c r="K689" s="216" t="s">
        <v>670</v>
      </c>
      <c r="L689" s="237" t="s">
        <v>55</v>
      </c>
      <c r="M689" s="579" t="s">
        <v>55</v>
      </c>
      <c r="N689" s="215">
        <f>60*F689+20*G689</f>
        <v>200</v>
      </c>
      <c r="O689" s="220">
        <f>60*F689+20*G689</f>
        <v>200</v>
      </c>
      <c r="P689" s="356">
        <f>N689/J689</f>
        <v>1.5991812192157617</v>
      </c>
      <c r="Q689" s="356">
        <f>O689/J689</f>
        <v>1.5991812192157617</v>
      </c>
      <c r="R689" s="218" t="s">
        <v>55</v>
      </c>
      <c r="S689" s="608" t="s">
        <v>257</v>
      </c>
      <c r="T689" s="520" t="s">
        <v>595</v>
      </c>
      <c r="Z689" s="251"/>
      <c r="AB689" s="251"/>
      <c r="AC689" s="251"/>
      <c r="AD689" s="308"/>
    </row>
    <row r="690" spans="1:30" ht="17.25" customHeight="1" x14ac:dyDescent="0.25">
      <c r="B690" s="679"/>
      <c r="C690" s="637" t="s">
        <v>633</v>
      </c>
      <c r="D690" s="586" t="s">
        <v>55</v>
      </c>
      <c r="E690" s="223" t="s">
        <v>55</v>
      </c>
      <c r="F690" s="223" t="s">
        <v>55</v>
      </c>
      <c r="G690" s="223" t="s">
        <v>55</v>
      </c>
      <c r="H690" s="223" t="s">
        <v>55</v>
      </c>
      <c r="I690" s="223" t="s">
        <v>55</v>
      </c>
      <c r="J690" s="223" t="s">
        <v>55</v>
      </c>
      <c r="K690" s="237" t="s">
        <v>55</v>
      </c>
      <c r="L690" s="237" t="s">
        <v>55</v>
      </c>
      <c r="M690" s="579" t="s">
        <v>55</v>
      </c>
      <c r="N690" s="673" t="s">
        <v>55</v>
      </c>
      <c r="O690" s="580" t="s">
        <v>55</v>
      </c>
      <c r="P690" s="356" t="s">
        <v>55</v>
      </c>
      <c r="Q690" s="356" t="s">
        <v>55</v>
      </c>
      <c r="R690" s="580" t="s">
        <v>55</v>
      </c>
      <c r="S690" s="579" t="s">
        <v>55</v>
      </c>
      <c r="T690" s="674" t="s">
        <v>55</v>
      </c>
      <c r="Z690" s="251"/>
      <c r="AB690" s="251"/>
      <c r="AC690" s="251"/>
      <c r="AD690" s="308"/>
    </row>
    <row r="691" spans="1:30" ht="17.25" customHeight="1" x14ac:dyDescent="0.25">
      <c r="B691" s="679" t="s">
        <v>897</v>
      </c>
      <c r="C691" s="637" t="s">
        <v>16</v>
      </c>
      <c r="D691" s="586" t="s">
        <v>55</v>
      </c>
      <c r="E691" s="223" t="s">
        <v>55</v>
      </c>
      <c r="F691" s="223" t="s">
        <v>55</v>
      </c>
      <c r="G691" s="223" t="s">
        <v>55</v>
      </c>
      <c r="H691" s="713" t="s">
        <v>947</v>
      </c>
      <c r="I691" s="235">
        <v>3.86</v>
      </c>
      <c r="J691" s="215">
        <f>H691*I691</f>
        <v>465.67039999999997</v>
      </c>
      <c r="K691" s="237" t="s">
        <v>55</v>
      </c>
      <c r="L691" s="237" t="s">
        <v>55</v>
      </c>
      <c r="M691" s="579" t="s">
        <v>55</v>
      </c>
      <c r="N691" s="653">
        <f>O650+1590</f>
        <v>1660</v>
      </c>
      <c r="O691" s="580" t="s">
        <v>55</v>
      </c>
      <c r="P691" s="356" t="s">
        <v>55</v>
      </c>
      <c r="Q691" s="356" t="s">
        <v>55</v>
      </c>
      <c r="R691" s="580" t="s">
        <v>55</v>
      </c>
      <c r="S691" s="579" t="s">
        <v>55</v>
      </c>
      <c r="T691" s="674" t="s">
        <v>55</v>
      </c>
      <c r="Z691" s="251"/>
      <c r="AB691" s="251"/>
      <c r="AC691" s="251"/>
      <c r="AD691" s="308"/>
    </row>
    <row r="692" spans="1:30" ht="17.25" customHeight="1" x14ac:dyDescent="0.25">
      <c r="B692" s="679" t="s">
        <v>898</v>
      </c>
      <c r="C692" s="637" t="s">
        <v>16</v>
      </c>
      <c r="D692" s="586" t="s">
        <v>55</v>
      </c>
      <c r="E692" s="223" t="s">
        <v>55</v>
      </c>
      <c r="F692" s="223" t="s">
        <v>55</v>
      </c>
      <c r="G692" s="223" t="s">
        <v>55</v>
      </c>
      <c r="H692" s="713" t="s">
        <v>948</v>
      </c>
      <c r="I692" s="235">
        <v>3.86</v>
      </c>
      <c r="J692" s="215">
        <f t="shared" ref="J692:J693" si="378">H692*I692</f>
        <v>469.14440000000002</v>
      </c>
      <c r="K692" s="237" t="s">
        <v>55</v>
      </c>
      <c r="L692" s="237" t="s">
        <v>55</v>
      </c>
      <c r="M692" s="579" t="s">
        <v>55</v>
      </c>
      <c r="N692" s="653">
        <f>O617+O618+O630</f>
        <v>210</v>
      </c>
      <c r="O692" s="580" t="s">
        <v>55</v>
      </c>
      <c r="P692" s="356" t="s">
        <v>55</v>
      </c>
      <c r="Q692" s="356" t="s">
        <v>55</v>
      </c>
      <c r="R692" s="580" t="s">
        <v>55</v>
      </c>
      <c r="S692" s="579" t="s">
        <v>55</v>
      </c>
      <c r="T692" s="674" t="s">
        <v>55</v>
      </c>
      <c r="Z692" s="251"/>
      <c r="AB692" s="251"/>
      <c r="AC692" s="251"/>
      <c r="AD692" s="308"/>
    </row>
    <row r="693" spans="1:30" ht="17.25" customHeight="1" x14ac:dyDescent="0.25">
      <c r="B693" s="607" t="s">
        <v>899</v>
      </c>
      <c r="C693" s="637" t="s">
        <v>16</v>
      </c>
      <c r="D693" s="586" t="s">
        <v>55</v>
      </c>
      <c r="E693" s="233" t="s">
        <v>55</v>
      </c>
      <c r="F693" s="223" t="s">
        <v>55</v>
      </c>
      <c r="G693" s="223" t="s">
        <v>55</v>
      </c>
      <c r="H693" s="713" t="s">
        <v>949</v>
      </c>
      <c r="I693" s="235">
        <v>3.86</v>
      </c>
      <c r="J693" s="215">
        <f t="shared" si="378"/>
        <v>472.69559999999996</v>
      </c>
      <c r="K693" s="237" t="s">
        <v>55</v>
      </c>
      <c r="L693" s="237" t="s">
        <v>55</v>
      </c>
      <c r="M693" s="579" t="s">
        <v>55</v>
      </c>
      <c r="N693" s="653">
        <f>O587+O598</f>
        <v>110</v>
      </c>
      <c r="O693" s="580" t="s">
        <v>55</v>
      </c>
      <c r="P693" s="356" t="s">
        <v>55</v>
      </c>
      <c r="Q693" s="356" t="s">
        <v>55</v>
      </c>
      <c r="R693" s="580" t="s">
        <v>55</v>
      </c>
      <c r="S693" s="579" t="s">
        <v>55</v>
      </c>
      <c r="T693" s="674" t="s">
        <v>55</v>
      </c>
      <c r="Z693" s="251"/>
      <c r="AB693" s="251"/>
      <c r="AC693" s="251"/>
      <c r="AD693" s="308"/>
    </row>
    <row r="694" spans="1:30" ht="17.25" customHeight="1" x14ac:dyDescent="0.25">
      <c r="B694" s="632"/>
      <c r="C694" s="637" t="s">
        <v>1023</v>
      </c>
      <c r="D694" s="586" t="s">
        <v>55</v>
      </c>
      <c r="E694" s="233" t="s">
        <v>55</v>
      </c>
      <c r="F694" s="233" t="s">
        <v>55</v>
      </c>
      <c r="G694" s="233" t="s">
        <v>55</v>
      </c>
      <c r="H694" s="233" t="s">
        <v>55</v>
      </c>
      <c r="I694" s="233" t="s">
        <v>55</v>
      </c>
      <c r="J694" s="233" t="s">
        <v>55</v>
      </c>
      <c r="K694" s="233" t="s">
        <v>55</v>
      </c>
      <c r="L694" s="233" t="s">
        <v>55</v>
      </c>
      <c r="M694" s="233" t="s">
        <v>55</v>
      </c>
      <c r="N694" s="233" t="s">
        <v>55</v>
      </c>
      <c r="O694" s="656">
        <v>1590</v>
      </c>
      <c r="P694" s="356" t="s">
        <v>55</v>
      </c>
      <c r="Q694" s="356" t="s">
        <v>55</v>
      </c>
      <c r="R694" s="580" t="s">
        <v>55</v>
      </c>
      <c r="S694" s="579" t="s">
        <v>55</v>
      </c>
      <c r="T694" s="709" t="s">
        <v>772</v>
      </c>
      <c r="Z694" s="251"/>
      <c r="AB694" s="251"/>
      <c r="AC694" s="251"/>
      <c r="AD694" s="308"/>
    </row>
    <row r="695" spans="1:30" ht="17.25" customHeight="1" thickBot="1" x14ac:dyDescent="0.3">
      <c r="B695" s="638"/>
      <c r="C695" s="755"/>
      <c r="D695" s="724" t="s">
        <v>508</v>
      </c>
      <c r="E695" s="725"/>
      <c r="F695" s="620">
        <f>SUM(F584:F693)</f>
        <v>123</v>
      </c>
      <c r="G695" s="620">
        <f>SUM(G584:G693)</f>
        <v>111</v>
      </c>
      <c r="H695" s="619"/>
      <c r="I695" s="620"/>
      <c r="J695" s="726"/>
      <c r="K695" s="640"/>
      <c r="L695" s="724" t="s">
        <v>557</v>
      </c>
      <c r="M695" s="725"/>
      <c r="N695" s="623">
        <f>SUM(N584:N693)</f>
        <v>11880</v>
      </c>
      <c r="O695" s="623">
        <f>SUM(O586:O694)</f>
        <v>11770</v>
      </c>
      <c r="P695" s="623"/>
      <c r="Q695" s="756"/>
      <c r="R695" s="756"/>
      <c r="S695" s="727"/>
      <c r="T695" s="728"/>
      <c r="Z695" s="251"/>
      <c r="AB695" s="251"/>
      <c r="AC695" s="251"/>
      <c r="AD695" s="308"/>
    </row>
    <row r="696" spans="1:30" ht="17.25" customHeight="1" thickBot="1" x14ac:dyDescent="0.3">
      <c r="B696" s="505" t="s">
        <v>593</v>
      </c>
      <c r="C696" s="757"/>
      <c r="D696" s="757"/>
      <c r="E696" s="757"/>
      <c r="F696" s="757"/>
      <c r="G696" s="757"/>
      <c r="H696" s="757"/>
      <c r="I696" s="757"/>
      <c r="J696" s="757"/>
      <c r="K696" s="757"/>
      <c r="L696" s="757"/>
      <c r="M696" s="757"/>
      <c r="N696" s="757"/>
      <c r="O696" s="757"/>
      <c r="P696" s="757"/>
      <c r="Q696" s="757"/>
      <c r="R696" s="757"/>
      <c r="S696" s="757"/>
      <c r="T696" s="758"/>
      <c r="AA696" s="251">
        <f>N447-AA447</f>
        <v>0</v>
      </c>
    </row>
    <row r="697" spans="1:30" ht="35.25" customHeight="1" x14ac:dyDescent="0.25">
      <c r="A697" s="296"/>
      <c r="B697" s="607" t="s">
        <v>594</v>
      </c>
      <c r="C697" s="518" t="s">
        <v>586</v>
      </c>
      <c r="D697" s="233" t="s">
        <v>55</v>
      </c>
      <c r="E697" s="233" t="s">
        <v>55</v>
      </c>
      <c r="F697" s="214">
        <v>1</v>
      </c>
      <c r="G697" s="209">
        <v>2</v>
      </c>
      <c r="H697" s="235">
        <v>21.08</v>
      </c>
      <c r="I697" s="235">
        <v>3.86</v>
      </c>
      <c r="J697" s="215">
        <f>H697*I697</f>
        <v>81.368799999999993</v>
      </c>
      <c r="K697" s="216" t="s">
        <v>670</v>
      </c>
      <c r="L697" s="237" t="s">
        <v>55</v>
      </c>
      <c r="M697" s="238" t="s">
        <v>55</v>
      </c>
      <c r="N697" s="215">
        <f>60*F697+20*G697</f>
        <v>100</v>
      </c>
      <c r="O697" s="220">
        <f>60*F697+20*G697</f>
        <v>100</v>
      </c>
      <c r="P697" s="356">
        <f>N697/J697</f>
        <v>1.2289722842170465</v>
      </c>
      <c r="Q697" s="356">
        <f>O697/J697</f>
        <v>1.2289722842170465</v>
      </c>
      <c r="R697" s="218" t="s">
        <v>55</v>
      </c>
      <c r="S697" s="608" t="s">
        <v>257</v>
      </c>
      <c r="T697" s="520" t="s">
        <v>595</v>
      </c>
      <c r="AA697" s="251" t="s">
        <v>712</v>
      </c>
    </row>
    <row r="698" spans="1:30" ht="20.25" customHeight="1" x14ac:dyDescent="0.25">
      <c r="B698" s="679"/>
      <c r="C698" s="515" t="s">
        <v>589</v>
      </c>
      <c r="D698" s="233" t="s">
        <v>55</v>
      </c>
      <c r="E698" s="233" t="s">
        <v>55</v>
      </c>
      <c r="F698" s="224" t="s">
        <v>55</v>
      </c>
      <c r="G698" s="214" t="s">
        <v>55</v>
      </c>
      <c r="H698" s="235" t="s">
        <v>55</v>
      </c>
      <c r="I698" s="235" t="s">
        <v>55</v>
      </c>
      <c r="J698" s="215" t="s">
        <v>55</v>
      </c>
      <c r="K698" s="237" t="s">
        <v>55</v>
      </c>
      <c r="L698" s="237" t="s">
        <v>55</v>
      </c>
      <c r="M698" s="238" t="s">
        <v>55</v>
      </c>
      <c r="N698" s="215" t="s">
        <v>55</v>
      </c>
      <c r="O698" s="241">
        <v>1015</v>
      </c>
      <c r="P698" s="356" t="s">
        <v>55</v>
      </c>
      <c r="Q698" s="356" t="s">
        <v>55</v>
      </c>
      <c r="R698" s="217" t="s">
        <v>55</v>
      </c>
      <c r="S698" s="608" t="s">
        <v>55</v>
      </c>
      <c r="T698" s="544" t="s">
        <v>590</v>
      </c>
    </row>
    <row r="699" spans="1:30" ht="36" customHeight="1" x14ac:dyDescent="0.25">
      <c r="B699" s="607" t="s">
        <v>596</v>
      </c>
      <c r="C699" s="518" t="s">
        <v>597</v>
      </c>
      <c r="D699" s="233" t="s">
        <v>55</v>
      </c>
      <c r="E699" s="233" t="s">
        <v>55</v>
      </c>
      <c r="F699" s="214">
        <v>1</v>
      </c>
      <c r="G699" s="214">
        <v>2</v>
      </c>
      <c r="H699" s="235">
        <v>14.24</v>
      </c>
      <c r="I699" s="235">
        <v>3.86</v>
      </c>
      <c r="J699" s="215">
        <f>H699*I699</f>
        <v>54.9664</v>
      </c>
      <c r="K699" s="216" t="s">
        <v>670</v>
      </c>
      <c r="L699" s="237" t="s">
        <v>55</v>
      </c>
      <c r="M699" s="238" t="s">
        <v>55</v>
      </c>
      <c r="N699" s="215">
        <f>60*F699+20*G699</f>
        <v>100</v>
      </c>
      <c r="O699" s="220">
        <f>60*F699+20*G699</f>
        <v>100</v>
      </c>
      <c r="P699" s="356">
        <f>N699/J699</f>
        <v>1.8192932409617513</v>
      </c>
      <c r="Q699" s="356">
        <f>O699/J699</f>
        <v>1.8192932409617513</v>
      </c>
      <c r="R699" s="218" t="s">
        <v>55</v>
      </c>
      <c r="S699" s="608" t="s">
        <v>257</v>
      </c>
      <c r="T699" s="520" t="s">
        <v>595</v>
      </c>
      <c r="AA699" s="251" t="s">
        <v>712</v>
      </c>
    </row>
    <row r="700" spans="1:30" ht="17.25" customHeight="1" x14ac:dyDescent="0.25">
      <c r="B700" s="607"/>
      <c r="C700" s="518" t="s">
        <v>542</v>
      </c>
      <c r="D700" s="233" t="s">
        <v>55</v>
      </c>
      <c r="E700" s="233" t="s">
        <v>55</v>
      </c>
      <c r="F700" s="224" t="s">
        <v>55</v>
      </c>
      <c r="G700" s="214" t="s">
        <v>55</v>
      </c>
      <c r="H700" s="235" t="s">
        <v>55</v>
      </c>
      <c r="I700" s="235" t="s">
        <v>55</v>
      </c>
      <c r="J700" s="215" t="s">
        <v>55</v>
      </c>
      <c r="K700" s="237" t="s">
        <v>55</v>
      </c>
      <c r="L700" s="237" t="s">
        <v>55</v>
      </c>
      <c r="M700" s="238" t="s">
        <v>55</v>
      </c>
      <c r="N700" s="215" t="s">
        <v>55</v>
      </c>
      <c r="O700" s="220" t="s">
        <v>55</v>
      </c>
      <c r="P700" s="356" t="s">
        <v>55</v>
      </c>
      <c r="Q700" s="356" t="s">
        <v>55</v>
      </c>
      <c r="R700" s="220" t="s">
        <v>55</v>
      </c>
      <c r="S700" s="293" t="s">
        <v>55</v>
      </c>
      <c r="T700" s="324" t="s">
        <v>55</v>
      </c>
    </row>
    <row r="701" spans="1:30" ht="36" x14ac:dyDescent="0.25">
      <c r="B701" s="607" t="s">
        <v>598</v>
      </c>
      <c r="C701" s="518" t="s">
        <v>586</v>
      </c>
      <c r="D701" s="325" t="s">
        <v>55</v>
      </c>
      <c r="E701" s="325" t="s">
        <v>55</v>
      </c>
      <c r="F701" s="214">
        <v>1</v>
      </c>
      <c r="G701" s="214">
        <v>2</v>
      </c>
      <c r="H701" s="235">
        <v>19.63</v>
      </c>
      <c r="I701" s="235">
        <v>3.86</v>
      </c>
      <c r="J701" s="215">
        <f>H701*I701</f>
        <v>75.771799999999999</v>
      </c>
      <c r="K701" s="216" t="s">
        <v>670</v>
      </c>
      <c r="L701" s="237" t="s">
        <v>55</v>
      </c>
      <c r="M701" s="238" t="s">
        <v>55</v>
      </c>
      <c r="N701" s="215">
        <f>60*F701+20*G701</f>
        <v>100</v>
      </c>
      <c r="O701" s="220">
        <f>60*F701+20*G701</f>
        <v>100</v>
      </c>
      <c r="P701" s="356">
        <f>N701/J701</f>
        <v>1.3197522033263034</v>
      </c>
      <c r="Q701" s="356">
        <f>O701/J701</f>
        <v>1.3197522033263034</v>
      </c>
      <c r="R701" s="218" t="s">
        <v>55</v>
      </c>
      <c r="S701" s="608" t="s">
        <v>257</v>
      </c>
      <c r="T701" s="520" t="s">
        <v>595</v>
      </c>
      <c r="AA701" s="251" t="s">
        <v>712</v>
      </c>
    </row>
    <row r="702" spans="1:30" ht="29.25" customHeight="1" x14ac:dyDescent="0.25">
      <c r="B702" s="607" t="s">
        <v>599</v>
      </c>
      <c r="C702" s="518" t="s">
        <v>586</v>
      </c>
      <c r="D702" s="325" t="s">
        <v>55</v>
      </c>
      <c r="E702" s="325" t="s">
        <v>55</v>
      </c>
      <c r="F702" s="214">
        <v>1</v>
      </c>
      <c r="G702" s="214">
        <v>2</v>
      </c>
      <c r="H702" s="235">
        <v>17.57</v>
      </c>
      <c r="I702" s="235">
        <v>3.86</v>
      </c>
      <c r="J702" s="215">
        <f>H702*I702</f>
        <v>67.8202</v>
      </c>
      <c r="K702" s="216" t="s">
        <v>559</v>
      </c>
      <c r="L702" s="237" t="s">
        <v>55</v>
      </c>
      <c r="M702" s="238" t="s">
        <v>55</v>
      </c>
      <c r="N702" s="215">
        <f>60*F702+20*G702</f>
        <v>100</v>
      </c>
      <c r="O702" s="220">
        <f>60*F702+20*G702</f>
        <v>100</v>
      </c>
      <c r="P702" s="356">
        <f>N702/J702</f>
        <v>1.4744869522649595</v>
      </c>
      <c r="Q702" s="356">
        <f>O702/J702</f>
        <v>1.4744869522649595</v>
      </c>
      <c r="R702" s="218" t="s">
        <v>55</v>
      </c>
      <c r="S702" s="608" t="s">
        <v>257</v>
      </c>
      <c r="T702" s="520" t="s">
        <v>595</v>
      </c>
      <c r="AA702" s="251" t="s">
        <v>712</v>
      </c>
    </row>
    <row r="703" spans="1:30" ht="17.25" customHeight="1" x14ac:dyDescent="0.25">
      <c r="B703" s="627">
        <v>17.25</v>
      </c>
      <c r="C703" s="518" t="s">
        <v>551</v>
      </c>
      <c r="D703" s="233" t="s">
        <v>55</v>
      </c>
      <c r="E703" s="233" t="s">
        <v>55</v>
      </c>
      <c r="F703" s="214" t="s">
        <v>55</v>
      </c>
      <c r="G703" s="214" t="s">
        <v>55</v>
      </c>
      <c r="H703" s="648">
        <v>5.05</v>
      </c>
      <c r="I703" s="235">
        <v>3.86</v>
      </c>
      <c r="J703" s="215">
        <f t="shared" ref="J703" si="379">H703*I703</f>
        <v>19.492999999999999</v>
      </c>
      <c r="K703" s="237" t="s">
        <v>55</v>
      </c>
      <c r="L703" s="237">
        <v>1</v>
      </c>
      <c r="M703" s="650" t="s">
        <v>55</v>
      </c>
      <c r="N703" s="215" t="s">
        <v>55</v>
      </c>
      <c r="O703" s="220">
        <f t="shared" ref="O703" si="380">CEILING((J703*L703),10)</f>
        <v>20</v>
      </c>
      <c r="P703" s="356" t="s">
        <v>55</v>
      </c>
      <c r="Q703" s="356">
        <f t="shared" ref="Q703" si="381">O703/J703</f>
        <v>1.0260093366849639</v>
      </c>
      <c r="R703" s="217" t="s">
        <v>55</v>
      </c>
      <c r="S703" s="608" t="s">
        <v>55</v>
      </c>
      <c r="T703" s="520" t="s">
        <v>595</v>
      </c>
      <c r="Z703" s="207" t="s">
        <v>600</v>
      </c>
      <c r="AA703" s="206" t="s">
        <v>604</v>
      </c>
    </row>
    <row r="704" spans="1:30" ht="17.25" customHeight="1" x14ac:dyDescent="0.25">
      <c r="B704" s="627">
        <v>17.260000000000002</v>
      </c>
      <c r="C704" s="518" t="s">
        <v>551</v>
      </c>
      <c r="D704" s="233" t="s">
        <v>55</v>
      </c>
      <c r="E704" s="233" t="s">
        <v>55</v>
      </c>
      <c r="F704" s="214" t="s">
        <v>55</v>
      </c>
      <c r="G704" s="214" t="s">
        <v>55</v>
      </c>
      <c r="H704" s="648">
        <v>4.95</v>
      </c>
      <c r="I704" s="235">
        <v>3.86</v>
      </c>
      <c r="J704" s="215">
        <f t="shared" ref="J704:J705" si="382">H704*I704</f>
        <v>19.106999999999999</v>
      </c>
      <c r="K704" s="237" t="s">
        <v>55</v>
      </c>
      <c r="L704" s="237">
        <v>1</v>
      </c>
      <c r="M704" s="650" t="s">
        <v>55</v>
      </c>
      <c r="N704" s="215" t="s">
        <v>55</v>
      </c>
      <c r="O704" s="220">
        <f t="shared" ref="O704:O706" si="383">CEILING((J704*L704),10)</f>
        <v>20</v>
      </c>
      <c r="P704" s="356" t="s">
        <v>55</v>
      </c>
      <c r="Q704" s="356">
        <f t="shared" ref="Q704:Q706" si="384">O704/J704</f>
        <v>1.0467367980321349</v>
      </c>
      <c r="R704" s="217" t="s">
        <v>55</v>
      </c>
      <c r="S704" s="608" t="s">
        <v>55</v>
      </c>
      <c r="T704" s="520" t="s">
        <v>595</v>
      </c>
      <c r="Z704" s="207" t="s">
        <v>601</v>
      </c>
      <c r="AA704" s="206" t="s">
        <v>604</v>
      </c>
    </row>
    <row r="705" spans="2:27" ht="17.25" customHeight="1" x14ac:dyDescent="0.25">
      <c r="B705" s="627">
        <v>17.27</v>
      </c>
      <c r="C705" s="518" t="s">
        <v>774</v>
      </c>
      <c r="D705" s="233"/>
      <c r="E705" s="233"/>
      <c r="F705" s="214"/>
      <c r="G705" s="214"/>
      <c r="H705" s="648">
        <v>13.22</v>
      </c>
      <c r="I705" s="235">
        <v>3.86</v>
      </c>
      <c r="J705" s="215">
        <f t="shared" si="382"/>
        <v>51.029200000000003</v>
      </c>
      <c r="K705" s="237">
        <v>1</v>
      </c>
      <c r="L705" s="237">
        <v>1</v>
      </c>
      <c r="M705" s="650"/>
      <c r="N705" s="215">
        <f>CEILING((J705*K705),10)</f>
        <v>60</v>
      </c>
      <c r="O705" s="220">
        <f t="shared" si="383"/>
        <v>60</v>
      </c>
      <c r="P705" s="356">
        <f>N705/J705</f>
        <v>1.1757973865943421</v>
      </c>
      <c r="Q705" s="356">
        <f>O705/J705</f>
        <v>1.1757973865943421</v>
      </c>
      <c r="R705" s="217" t="s">
        <v>55</v>
      </c>
      <c r="S705" s="608" t="s">
        <v>257</v>
      </c>
      <c r="T705" s="759" t="s">
        <v>590</v>
      </c>
      <c r="AA705" s="206"/>
    </row>
    <row r="706" spans="2:27" ht="17.25" customHeight="1" x14ac:dyDescent="0.25">
      <c r="B706" s="627">
        <v>17.28</v>
      </c>
      <c r="C706" s="518" t="s">
        <v>95</v>
      </c>
      <c r="D706" s="233" t="s">
        <v>55</v>
      </c>
      <c r="E706" s="233" t="s">
        <v>55</v>
      </c>
      <c r="F706" s="214" t="s">
        <v>55</v>
      </c>
      <c r="G706" s="214" t="s">
        <v>55</v>
      </c>
      <c r="H706" s="235">
        <v>10.91</v>
      </c>
      <c r="I706" s="235">
        <v>3.86</v>
      </c>
      <c r="J706" s="215">
        <f t="shared" ref="J706:J711" si="385">H706*I706</f>
        <v>42.1126</v>
      </c>
      <c r="K706" s="237" t="s">
        <v>55</v>
      </c>
      <c r="L706" s="237">
        <v>1</v>
      </c>
      <c r="M706" s="650" t="s">
        <v>55</v>
      </c>
      <c r="N706" s="215" t="s">
        <v>55</v>
      </c>
      <c r="O706" s="220">
        <f t="shared" si="383"/>
        <v>50</v>
      </c>
      <c r="P706" s="356" t="s">
        <v>55</v>
      </c>
      <c r="Q706" s="356">
        <f t="shared" si="384"/>
        <v>1.1872931141748551</v>
      </c>
      <c r="R706" s="217" t="s">
        <v>55</v>
      </c>
      <c r="S706" s="608" t="s">
        <v>55</v>
      </c>
      <c r="T706" s="520" t="s">
        <v>595</v>
      </c>
      <c r="Z706" s="207" t="s">
        <v>602</v>
      </c>
      <c r="AA706" s="206" t="s">
        <v>603</v>
      </c>
    </row>
    <row r="707" spans="2:27" ht="33.75" customHeight="1" x14ac:dyDescent="0.25">
      <c r="B707" s="627">
        <v>17.29</v>
      </c>
      <c r="C707" s="518" t="s">
        <v>586</v>
      </c>
      <c r="D707" s="233" t="s">
        <v>55</v>
      </c>
      <c r="E707" s="233" t="s">
        <v>55</v>
      </c>
      <c r="F707" s="214">
        <v>1</v>
      </c>
      <c r="G707" s="214">
        <v>2</v>
      </c>
      <c r="H707" s="235">
        <v>17.96</v>
      </c>
      <c r="I707" s="235">
        <v>3.86</v>
      </c>
      <c r="J707" s="215">
        <f t="shared" si="385"/>
        <v>69.325599999999994</v>
      </c>
      <c r="K707" s="216" t="s">
        <v>670</v>
      </c>
      <c r="L707" s="237" t="s">
        <v>55</v>
      </c>
      <c r="M707" s="238" t="s">
        <v>55</v>
      </c>
      <c r="N707" s="215">
        <f>60*F707+20*G707</f>
        <v>100</v>
      </c>
      <c r="O707" s="220">
        <f>60*F707+20*G707</f>
        <v>100</v>
      </c>
      <c r="P707" s="356">
        <f>N707/J707</f>
        <v>1.4424685830342616</v>
      </c>
      <c r="Q707" s="356">
        <f>O707/J707</f>
        <v>1.4424685830342616</v>
      </c>
      <c r="R707" s="218" t="s">
        <v>55</v>
      </c>
      <c r="S707" s="608" t="s">
        <v>257</v>
      </c>
      <c r="T707" s="520" t="s">
        <v>595</v>
      </c>
      <c r="AA707" s="251" t="s">
        <v>712</v>
      </c>
    </row>
    <row r="708" spans="2:27" ht="24" customHeight="1" x14ac:dyDescent="0.25">
      <c r="B708" s="627">
        <v>17.3</v>
      </c>
      <c r="C708" s="518" t="s">
        <v>605</v>
      </c>
      <c r="D708" s="233" t="s">
        <v>55</v>
      </c>
      <c r="E708" s="233" t="s">
        <v>55</v>
      </c>
      <c r="F708" s="214">
        <v>80</v>
      </c>
      <c r="G708" s="214" t="s">
        <v>55</v>
      </c>
      <c r="H708" s="235">
        <v>480.02</v>
      </c>
      <c r="I708" s="235">
        <v>3.86</v>
      </c>
      <c r="J708" s="215">
        <f t="shared" si="385"/>
        <v>1852.8771999999999</v>
      </c>
      <c r="K708" s="216" t="s">
        <v>559</v>
      </c>
      <c r="L708" s="237" t="s">
        <v>55</v>
      </c>
      <c r="M708" s="238" t="s">
        <v>55</v>
      </c>
      <c r="N708" s="215">
        <f>60*F708</f>
        <v>4800</v>
      </c>
      <c r="O708" s="220">
        <f>60*F708-O704-O716-O717-O727</f>
        <v>4700</v>
      </c>
      <c r="P708" s="356">
        <f>N708/J708</f>
        <v>2.5905656348947463</v>
      </c>
      <c r="Q708" s="356">
        <f>O708/J708</f>
        <v>2.5365955175011061</v>
      </c>
      <c r="R708" s="217" t="s">
        <v>55</v>
      </c>
      <c r="S708" s="608" t="s">
        <v>257</v>
      </c>
      <c r="T708" s="520" t="s">
        <v>595</v>
      </c>
      <c r="AA708" s="206"/>
    </row>
    <row r="709" spans="2:27" ht="36" customHeight="1" x14ac:dyDescent="0.25">
      <c r="B709" s="607" t="s">
        <v>606</v>
      </c>
      <c r="C709" s="518" t="s">
        <v>586</v>
      </c>
      <c r="D709" s="233" t="s">
        <v>55</v>
      </c>
      <c r="E709" s="233" t="s">
        <v>55</v>
      </c>
      <c r="F709" s="214">
        <v>1</v>
      </c>
      <c r="G709" s="214">
        <v>2</v>
      </c>
      <c r="H709" s="235">
        <v>19.28</v>
      </c>
      <c r="I709" s="235">
        <v>3.86</v>
      </c>
      <c r="J709" s="215">
        <f t="shared" si="385"/>
        <v>74.4208</v>
      </c>
      <c r="K709" s="216" t="s">
        <v>670</v>
      </c>
      <c r="L709" s="237" t="s">
        <v>55</v>
      </c>
      <c r="M709" s="238" t="s">
        <v>55</v>
      </c>
      <c r="N709" s="215">
        <f>60*F709+20*G709</f>
        <v>100</v>
      </c>
      <c r="O709" s="220">
        <f>60*F709+20*G709</f>
        <v>100</v>
      </c>
      <c r="P709" s="356">
        <f>N709/J709</f>
        <v>1.3437103605443639</v>
      </c>
      <c r="Q709" s="356">
        <f>O709/J709</f>
        <v>1.3437103605443639</v>
      </c>
      <c r="R709" s="218" t="s">
        <v>55</v>
      </c>
      <c r="S709" s="608" t="s">
        <v>257</v>
      </c>
      <c r="T709" s="520" t="s">
        <v>595</v>
      </c>
      <c r="AA709" s="251" t="s">
        <v>712</v>
      </c>
    </row>
    <row r="710" spans="2:27" ht="27" customHeight="1" x14ac:dyDescent="0.25">
      <c r="B710" s="627">
        <v>17.32</v>
      </c>
      <c r="C710" s="518" t="s">
        <v>20</v>
      </c>
      <c r="D710" s="233" t="s">
        <v>55</v>
      </c>
      <c r="E710" s="233" t="s">
        <v>55</v>
      </c>
      <c r="F710" s="214" t="s">
        <v>55</v>
      </c>
      <c r="G710" s="214">
        <v>5</v>
      </c>
      <c r="H710" s="235">
        <v>14.19</v>
      </c>
      <c r="I710" s="235">
        <v>3.86</v>
      </c>
      <c r="J710" s="215">
        <f t="shared" si="385"/>
        <v>54.773399999999995</v>
      </c>
      <c r="K710" s="216" t="s">
        <v>558</v>
      </c>
      <c r="L710" s="237" t="s">
        <v>55</v>
      </c>
      <c r="M710" s="238" t="s">
        <v>55</v>
      </c>
      <c r="N710" s="215">
        <f t="shared" ref="N710" si="386">20*G710</f>
        <v>100</v>
      </c>
      <c r="O710" s="220">
        <f t="shared" ref="O710" si="387">20*G710</f>
        <v>100</v>
      </c>
      <c r="P710" s="356">
        <f t="shared" ref="P710" si="388">N710/J710</f>
        <v>1.8257037174979098</v>
      </c>
      <c r="Q710" s="356">
        <f t="shared" ref="Q710" si="389">O710/J710</f>
        <v>1.8257037174979098</v>
      </c>
      <c r="R710" s="217" t="s">
        <v>55</v>
      </c>
      <c r="S710" s="608" t="s">
        <v>257</v>
      </c>
      <c r="T710" s="520" t="s">
        <v>595</v>
      </c>
      <c r="AA710" s="251" t="s">
        <v>713</v>
      </c>
    </row>
    <row r="711" spans="2:27" ht="37.5" customHeight="1" x14ac:dyDescent="0.25">
      <c r="B711" s="627">
        <v>17.329999999999998</v>
      </c>
      <c r="C711" s="518" t="s">
        <v>716</v>
      </c>
      <c r="D711" s="233" t="s">
        <v>55</v>
      </c>
      <c r="E711" s="233" t="s">
        <v>55</v>
      </c>
      <c r="F711" s="214">
        <v>1</v>
      </c>
      <c r="G711" s="214">
        <v>6</v>
      </c>
      <c r="H711" s="235">
        <v>20.09</v>
      </c>
      <c r="I711" s="235">
        <v>3.86</v>
      </c>
      <c r="J711" s="215">
        <f t="shared" si="385"/>
        <v>77.547399999999996</v>
      </c>
      <c r="K711" s="216" t="s">
        <v>670</v>
      </c>
      <c r="L711" s="237" t="s">
        <v>55</v>
      </c>
      <c r="M711" s="238" t="s">
        <v>55</v>
      </c>
      <c r="N711" s="215">
        <f>60*F711+20*G711</f>
        <v>180</v>
      </c>
      <c r="O711" s="220">
        <f>60*F711+20*G711</f>
        <v>180</v>
      </c>
      <c r="P711" s="356">
        <f>N711/J711</f>
        <v>2.3211609931474171</v>
      </c>
      <c r="Q711" s="356">
        <f>O711/J711</f>
        <v>2.3211609931474171</v>
      </c>
      <c r="R711" s="218" t="s">
        <v>55</v>
      </c>
      <c r="S711" s="608" t="s">
        <v>257</v>
      </c>
      <c r="T711" s="520" t="s">
        <v>595</v>
      </c>
      <c r="AA711" s="251"/>
    </row>
    <row r="712" spans="2:27" ht="34.5" customHeight="1" x14ac:dyDescent="0.25">
      <c r="B712" s="627">
        <v>17.34</v>
      </c>
      <c r="C712" s="518" t="s">
        <v>586</v>
      </c>
      <c r="D712" s="233" t="s">
        <v>55</v>
      </c>
      <c r="E712" s="233" t="s">
        <v>55</v>
      </c>
      <c r="F712" s="214">
        <v>1</v>
      </c>
      <c r="G712" s="214">
        <v>2</v>
      </c>
      <c r="H712" s="235">
        <v>20.09</v>
      </c>
      <c r="I712" s="235">
        <v>3.86</v>
      </c>
      <c r="J712" s="215">
        <f t="shared" ref="J712:J713" si="390">H712*I712</f>
        <v>77.547399999999996</v>
      </c>
      <c r="K712" s="216" t="s">
        <v>670</v>
      </c>
      <c r="L712" s="237" t="s">
        <v>55</v>
      </c>
      <c r="M712" s="238" t="s">
        <v>55</v>
      </c>
      <c r="N712" s="215">
        <f>60*F712+20*G712</f>
        <v>100</v>
      </c>
      <c r="O712" s="220">
        <f>60*F712+20*G712</f>
        <v>100</v>
      </c>
      <c r="P712" s="356">
        <f>N712/J712</f>
        <v>1.2895338850818983</v>
      </c>
      <c r="Q712" s="356">
        <f>O712/J712</f>
        <v>1.2895338850818983</v>
      </c>
      <c r="R712" s="218" t="s">
        <v>55</v>
      </c>
      <c r="S712" s="608" t="s">
        <v>257</v>
      </c>
      <c r="T712" s="520" t="s">
        <v>595</v>
      </c>
      <c r="AA712" s="251" t="s">
        <v>712</v>
      </c>
    </row>
    <row r="713" spans="2:27" ht="34.5" customHeight="1" x14ac:dyDescent="0.25">
      <c r="B713" s="627">
        <v>17.350000000000001</v>
      </c>
      <c r="C713" s="518" t="s">
        <v>586</v>
      </c>
      <c r="D713" s="233" t="s">
        <v>55</v>
      </c>
      <c r="E713" s="233" t="s">
        <v>55</v>
      </c>
      <c r="F713" s="214">
        <v>1</v>
      </c>
      <c r="G713" s="214">
        <v>2</v>
      </c>
      <c r="H713" s="235">
        <v>17.77</v>
      </c>
      <c r="I713" s="235">
        <v>3.86</v>
      </c>
      <c r="J713" s="215">
        <f t="shared" si="390"/>
        <v>68.592199999999991</v>
      </c>
      <c r="K713" s="216" t="s">
        <v>670</v>
      </c>
      <c r="L713" s="237" t="s">
        <v>55</v>
      </c>
      <c r="M713" s="238" t="s">
        <v>55</v>
      </c>
      <c r="N713" s="215">
        <f>60*F713+20*G713</f>
        <v>100</v>
      </c>
      <c r="O713" s="220">
        <f>60*F713+20*G713</f>
        <v>100</v>
      </c>
      <c r="P713" s="356">
        <f>N713/J713</f>
        <v>1.4578917136350782</v>
      </c>
      <c r="Q713" s="356">
        <f>O713/J713</f>
        <v>1.4578917136350782</v>
      </c>
      <c r="R713" s="218" t="s">
        <v>55</v>
      </c>
      <c r="S713" s="608" t="s">
        <v>257</v>
      </c>
      <c r="T713" s="520" t="s">
        <v>595</v>
      </c>
      <c r="AA713" s="251" t="s">
        <v>712</v>
      </c>
    </row>
    <row r="714" spans="2:27" ht="34.5" customHeight="1" x14ac:dyDescent="0.25">
      <c r="B714" s="627">
        <v>17.36</v>
      </c>
      <c r="C714" s="518" t="s">
        <v>586</v>
      </c>
      <c r="D714" s="233" t="s">
        <v>55</v>
      </c>
      <c r="E714" s="233" t="s">
        <v>55</v>
      </c>
      <c r="F714" s="214">
        <v>1</v>
      </c>
      <c r="G714" s="214">
        <v>2</v>
      </c>
      <c r="H714" s="235">
        <v>17.84</v>
      </c>
      <c r="I714" s="235">
        <v>3.86</v>
      </c>
      <c r="J714" s="215">
        <f t="shared" ref="J714" si="391">H714*I714</f>
        <v>68.862399999999994</v>
      </c>
      <c r="K714" s="216" t="s">
        <v>704</v>
      </c>
      <c r="L714" s="237" t="s">
        <v>55</v>
      </c>
      <c r="M714" s="238" t="s">
        <v>55</v>
      </c>
      <c r="N714" s="215">
        <f>60*F714+20*G714</f>
        <v>100</v>
      </c>
      <c r="O714" s="220">
        <f>60*F714+20*G714</f>
        <v>100</v>
      </c>
      <c r="P714" s="356">
        <f>N714/J714</f>
        <v>1.4521712865075862</v>
      </c>
      <c r="Q714" s="356">
        <f>O714/J714</f>
        <v>1.4521712865075862</v>
      </c>
      <c r="R714" s="218" t="s">
        <v>55</v>
      </c>
      <c r="S714" s="608" t="s">
        <v>257</v>
      </c>
      <c r="T714" s="520" t="s">
        <v>595</v>
      </c>
      <c r="AA714" s="251" t="s">
        <v>712</v>
      </c>
    </row>
    <row r="715" spans="2:27" ht="36.75" customHeight="1" x14ac:dyDescent="0.25">
      <c r="B715" s="627">
        <v>17.37</v>
      </c>
      <c r="C715" s="518" t="s">
        <v>586</v>
      </c>
      <c r="D715" s="233" t="s">
        <v>55</v>
      </c>
      <c r="E715" s="233" t="s">
        <v>55</v>
      </c>
      <c r="F715" s="214">
        <v>1</v>
      </c>
      <c r="G715" s="214">
        <v>2</v>
      </c>
      <c r="H715" s="648">
        <v>17.45</v>
      </c>
      <c r="I715" s="235">
        <v>3.86</v>
      </c>
      <c r="J715" s="215">
        <f t="shared" ref="J715:J717" si="392">H715*I715</f>
        <v>67.356999999999999</v>
      </c>
      <c r="K715" s="216" t="s">
        <v>704</v>
      </c>
      <c r="L715" s="237" t="s">
        <v>55</v>
      </c>
      <c r="M715" s="238" t="s">
        <v>55</v>
      </c>
      <c r="N715" s="215">
        <f>60*F715+20*G715</f>
        <v>100</v>
      </c>
      <c r="O715" s="220">
        <f>60*F715+20*G715</f>
        <v>100</v>
      </c>
      <c r="P715" s="356">
        <f>N715/J715</f>
        <v>1.4846266906186441</v>
      </c>
      <c r="Q715" s="356">
        <f>O715/J715</f>
        <v>1.4846266906186441</v>
      </c>
      <c r="R715" s="218" t="s">
        <v>55</v>
      </c>
      <c r="S715" s="608" t="s">
        <v>257</v>
      </c>
      <c r="T715" s="520" t="s">
        <v>595</v>
      </c>
      <c r="AA715" s="251" t="s">
        <v>712</v>
      </c>
    </row>
    <row r="716" spans="2:27" ht="17.25" customHeight="1" x14ac:dyDescent="0.25">
      <c r="B716" s="627">
        <v>17.38</v>
      </c>
      <c r="C716" s="518" t="s">
        <v>553</v>
      </c>
      <c r="D716" s="233" t="s">
        <v>55</v>
      </c>
      <c r="E716" s="233" t="s">
        <v>55</v>
      </c>
      <c r="F716" s="214" t="s">
        <v>55</v>
      </c>
      <c r="G716" s="214" t="s">
        <v>55</v>
      </c>
      <c r="H716" s="648">
        <v>7.18</v>
      </c>
      <c r="I716" s="235">
        <v>3.86</v>
      </c>
      <c r="J716" s="215">
        <f t="shared" si="392"/>
        <v>27.714799999999997</v>
      </c>
      <c r="K716" s="326" t="s">
        <v>55</v>
      </c>
      <c r="L716" s="237">
        <v>1</v>
      </c>
      <c r="M716" s="650" t="s">
        <v>55</v>
      </c>
      <c r="N716" s="215" t="s">
        <v>55</v>
      </c>
      <c r="O716" s="220">
        <f t="shared" ref="O716:O717" si="393">CEILING((J716*L716),10)</f>
        <v>30</v>
      </c>
      <c r="P716" s="356" t="s">
        <v>55</v>
      </c>
      <c r="Q716" s="356">
        <f t="shared" ref="Q716:Q717" si="394">O716/J716</f>
        <v>1.0824541400262677</v>
      </c>
      <c r="R716" s="217" t="s">
        <v>55</v>
      </c>
      <c r="S716" s="608" t="s">
        <v>55</v>
      </c>
      <c r="T716" s="520" t="s">
        <v>595</v>
      </c>
      <c r="Z716" s="207" t="s">
        <v>601</v>
      </c>
      <c r="AA716" s="206" t="s">
        <v>604</v>
      </c>
    </row>
    <row r="717" spans="2:27" ht="17.25" customHeight="1" x14ac:dyDescent="0.25">
      <c r="B717" s="627">
        <v>17.39</v>
      </c>
      <c r="C717" s="518" t="s">
        <v>551</v>
      </c>
      <c r="D717" s="233" t="s">
        <v>55</v>
      </c>
      <c r="E717" s="233" t="s">
        <v>55</v>
      </c>
      <c r="F717" s="214" t="s">
        <v>55</v>
      </c>
      <c r="G717" s="214" t="s">
        <v>55</v>
      </c>
      <c r="H717" s="648">
        <v>5.61</v>
      </c>
      <c r="I717" s="235">
        <v>3.86</v>
      </c>
      <c r="J717" s="215">
        <f t="shared" si="392"/>
        <v>21.654600000000002</v>
      </c>
      <c r="K717" s="237" t="s">
        <v>55</v>
      </c>
      <c r="L717" s="237">
        <v>1</v>
      </c>
      <c r="M717" s="650" t="s">
        <v>55</v>
      </c>
      <c r="N717" s="215" t="s">
        <v>55</v>
      </c>
      <c r="O717" s="220">
        <f t="shared" si="393"/>
        <v>30</v>
      </c>
      <c r="P717" s="356" t="s">
        <v>55</v>
      </c>
      <c r="Q717" s="356">
        <f t="shared" si="394"/>
        <v>1.3853869385719431</v>
      </c>
      <c r="R717" s="217" t="s">
        <v>55</v>
      </c>
      <c r="S717" s="608" t="s">
        <v>55</v>
      </c>
      <c r="T717" s="520" t="s">
        <v>595</v>
      </c>
      <c r="Z717" s="207" t="s">
        <v>601</v>
      </c>
      <c r="AA717" s="206" t="s">
        <v>604</v>
      </c>
    </row>
    <row r="718" spans="2:27" ht="17.25" customHeight="1" x14ac:dyDescent="0.25">
      <c r="B718" s="627">
        <v>17.399999999999999</v>
      </c>
      <c r="C718" s="518" t="s">
        <v>553</v>
      </c>
      <c r="D718" s="325" t="s">
        <v>55</v>
      </c>
      <c r="E718" s="325" t="s">
        <v>55</v>
      </c>
      <c r="F718" s="304" t="s">
        <v>55</v>
      </c>
      <c r="G718" s="304" t="s">
        <v>55</v>
      </c>
      <c r="H718" s="235">
        <v>5.33</v>
      </c>
      <c r="I718" s="235">
        <v>3.86</v>
      </c>
      <c r="J718" s="215">
        <f>H718*I718</f>
        <v>20.573799999999999</v>
      </c>
      <c r="K718" s="237" t="s">
        <v>55</v>
      </c>
      <c r="L718" s="237">
        <v>1</v>
      </c>
      <c r="M718" s="650" t="s">
        <v>55</v>
      </c>
      <c r="N718" s="215" t="s">
        <v>55</v>
      </c>
      <c r="O718" s="220">
        <f t="shared" ref="O718" si="395">CEILING((J718*L718),10)</f>
        <v>30</v>
      </c>
      <c r="P718" s="356" t="s">
        <v>55</v>
      </c>
      <c r="Q718" s="356">
        <f>O718/J718</f>
        <v>1.4581652392849158</v>
      </c>
      <c r="R718" s="217" t="s">
        <v>55</v>
      </c>
      <c r="S718" s="608" t="s">
        <v>55</v>
      </c>
      <c r="T718" s="520" t="s">
        <v>595</v>
      </c>
      <c r="Z718" s="207" t="s">
        <v>600</v>
      </c>
      <c r="AA718" s="206" t="s">
        <v>604</v>
      </c>
    </row>
    <row r="719" spans="2:27" ht="35.25" customHeight="1" x14ac:dyDescent="0.25">
      <c r="B719" s="627">
        <v>17.41</v>
      </c>
      <c r="C719" s="518" t="s">
        <v>586</v>
      </c>
      <c r="D719" s="233" t="s">
        <v>55</v>
      </c>
      <c r="E719" s="233" t="s">
        <v>55</v>
      </c>
      <c r="F719" s="214">
        <v>1</v>
      </c>
      <c r="G719" s="214">
        <v>2</v>
      </c>
      <c r="H719" s="648">
        <v>17.84</v>
      </c>
      <c r="I719" s="235">
        <v>3.86</v>
      </c>
      <c r="J719" s="215">
        <f t="shared" ref="J719" si="396">H719*I719</f>
        <v>68.862399999999994</v>
      </c>
      <c r="K719" s="216" t="s">
        <v>704</v>
      </c>
      <c r="L719" s="237" t="s">
        <v>55</v>
      </c>
      <c r="M719" s="238" t="s">
        <v>55</v>
      </c>
      <c r="N719" s="215">
        <f>60*F719+20*G719</f>
        <v>100</v>
      </c>
      <c r="O719" s="220">
        <f>60*F719+20*G719</f>
        <v>100</v>
      </c>
      <c r="P719" s="356">
        <f t="shared" ref="P719:P726" si="397">N719/J719</f>
        <v>1.4521712865075862</v>
      </c>
      <c r="Q719" s="356">
        <f>O719/J719</f>
        <v>1.4521712865075862</v>
      </c>
      <c r="R719" s="218" t="s">
        <v>55</v>
      </c>
      <c r="S719" s="608" t="s">
        <v>257</v>
      </c>
      <c r="T719" s="520" t="s">
        <v>595</v>
      </c>
      <c r="AA719" s="251" t="s">
        <v>712</v>
      </c>
    </row>
    <row r="720" spans="2:27" ht="22.5" customHeight="1" x14ac:dyDescent="0.25">
      <c r="B720" s="627">
        <v>17.420000000000002</v>
      </c>
      <c r="C720" s="518" t="s">
        <v>607</v>
      </c>
      <c r="D720" s="325" t="s">
        <v>55</v>
      </c>
      <c r="E720" s="325" t="s">
        <v>55</v>
      </c>
      <c r="F720" s="214">
        <v>8</v>
      </c>
      <c r="G720" s="214" t="s">
        <v>55</v>
      </c>
      <c r="H720" s="235">
        <v>50.11</v>
      </c>
      <c r="I720" s="235">
        <v>3.86</v>
      </c>
      <c r="J720" s="215">
        <f>H720*I720</f>
        <v>193.4246</v>
      </c>
      <c r="K720" s="216" t="s">
        <v>559</v>
      </c>
      <c r="L720" s="237" t="s">
        <v>55</v>
      </c>
      <c r="M720" s="238" t="s">
        <v>55</v>
      </c>
      <c r="N720" s="215">
        <f>60*F720</f>
        <v>480</v>
      </c>
      <c r="O720" s="220">
        <f>60*F720</f>
        <v>480</v>
      </c>
      <c r="P720" s="356">
        <f t="shared" si="397"/>
        <v>2.4815871404154386</v>
      </c>
      <c r="Q720" s="356">
        <f>O720/J720</f>
        <v>2.4815871404154386</v>
      </c>
      <c r="R720" s="218" t="s">
        <v>55</v>
      </c>
      <c r="S720" s="608" t="s">
        <v>257</v>
      </c>
      <c r="T720" s="520" t="s">
        <v>595</v>
      </c>
    </row>
    <row r="721" spans="2:27" ht="35.25" customHeight="1" x14ac:dyDescent="0.25">
      <c r="B721" s="627">
        <v>17.43</v>
      </c>
      <c r="C721" s="518" t="s">
        <v>586</v>
      </c>
      <c r="D721" s="233" t="s">
        <v>55</v>
      </c>
      <c r="E721" s="233" t="s">
        <v>55</v>
      </c>
      <c r="F721" s="214">
        <v>1</v>
      </c>
      <c r="G721" s="214">
        <v>2</v>
      </c>
      <c r="H721" s="648">
        <v>17.329999999999998</v>
      </c>
      <c r="I721" s="235">
        <v>3.86</v>
      </c>
      <c r="J721" s="215">
        <f t="shared" ref="J721" si="398">H721*I721</f>
        <v>66.893799999999985</v>
      </c>
      <c r="K721" s="216" t="s">
        <v>704</v>
      </c>
      <c r="L721" s="237" t="s">
        <v>55</v>
      </c>
      <c r="M721" s="238" t="s">
        <v>55</v>
      </c>
      <c r="N721" s="215">
        <f>60*F721+20*G721</f>
        <v>100</v>
      </c>
      <c r="O721" s="220">
        <f>60*F721+20*G721</f>
        <v>100</v>
      </c>
      <c r="P721" s="356">
        <f t="shared" si="397"/>
        <v>1.4949068523540301</v>
      </c>
      <c r="Q721" s="356">
        <f>O721/J721</f>
        <v>1.4949068523540301</v>
      </c>
      <c r="R721" s="218" t="s">
        <v>55</v>
      </c>
      <c r="S721" s="608" t="s">
        <v>257</v>
      </c>
      <c r="T721" s="520" t="s">
        <v>595</v>
      </c>
      <c r="AA721" s="251" t="s">
        <v>712</v>
      </c>
    </row>
    <row r="722" spans="2:27" ht="18.75" customHeight="1" x14ac:dyDescent="0.25">
      <c r="B722" s="627">
        <v>17.440000000000001</v>
      </c>
      <c r="C722" s="518" t="s">
        <v>608</v>
      </c>
      <c r="D722" s="325" t="s">
        <v>55</v>
      </c>
      <c r="E722" s="325" t="s">
        <v>55</v>
      </c>
      <c r="F722" s="214">
        <v>6</v>
      </c>
      <c r="G722" s="214" t="s">
        <v>55</v>
      </c>
      <c r="H722" s="235">
        <v>45.13</v>
      </c>
      <c r="I722" s="235">
        <v>3.86</v>
      </c>
      <c r="J722" s="215">
        <f>H722*I722</f>
        <v>174.20179999999999</v>
      </c>
      <c r="K722" s="216" t="s">
        <v>559</v>
      </c>
      <c r="L722" s="237" t="s">
        <v>55</v>
      </c>
      <c r="M722" s="650" t="s">
        <v>55</v>
      </c>
      <c r="N722" s="215">
        <f>60*F722</f>
        <v>360</v>
      </c>
      <c r="O722" s="220">
        <f>60*F722</f>
        <v>360</v>
      </c>
      <c r="P722" s="356">
        <f t="shared" si="397"/>
        <v>2.0665687725385156</v>
      </c>
      <c r="Q722" s="356">
        <f t="shared" ref="Q722" si="399">O722/J722</f>
        <v>2.0665687725385156</v>
      </c>
      <c r="R722" s="217" t="s">
        <v>55</v>
      </c>
      <c r="S722" s="608" t="s">
        <v>257</v>
      </c>
      <c r="T722" s="520" t="s">
        <v>595</v>
      </c>
    </row>
    <row r="723" spans="2:27" ht="37.5" customHeight="1" x14ac:dyDescent="0.25">
      <c r="B723" s="627">
        <v>17.45</v>
      </c>
      <c r="C723" s="518" t="s">
        <v>586</v>
      </c>
      <c r="D723" s="233" t="s">
        <v>55</v>
      </c>
      <c r="E723" s="233" t="s">
        <v>55</v>
      </c>
      <c r="F723" s="214">
        <v>1</v>
      </c>
      <c r="G723" s="214">
        <v>2</v>
      </c>
      <c r="H723" s="648">
        <v>19.920000000000002</v>
      </c>
      <c r="I723" s="235">
        <v>3.86</v>
      </c>
      <c r="J723" s="215">
        <f t="shared" ref="J723" si="400">H723*I723</f>
        <v>76.891199999999998</v>
      </c>
      <c r="K723" s="216" t="s">
        <v>670</v>
      </c>
      <c r="L723" s="237" t="s">
        <v>55</v>
      </c>
      <c r="M723" s="238" t="s">
        <v>55</v>
      </c>
      <c r="N723" s="215">
        <f>60*F723+20*G723</f>
        <v>100</v>
      </c>
      <c r="O723" s="220">
        <f>60*F723+20*G723</f>
        <v>100</v>
      </c>
      <c r="P723" s="356">
        <f t="shared" si="397"/>
        <v>1.3005389433381194</v>
      </c>
      <c r="Q723" s="356">
        <f>O723/J723</f>
        <v>1.3005389433381194</v>
      </c>
      <c r="R723" s="218" t="s">
        <v>55</v>
      </c>
      <c r="S723" s="608" t="s">
        <v>257</v>
      </c>
      <c r="T723" s="520" t="s">
        <v>595</v>
      </c>
      <c r="AA723" s="251" t="s">
        <v>712</v>
      </c>
    </row>
    <row r="724" spans="2:27" ht="23.25" customHeight="1" x14ac:dyDescent="0.25">
      <c r="B724" s="627">
        <v>17.46</v>
      </c>
      <c r="C724" s="518" t="s">
        <v>608</v>
      </c>
      <c r="D724" s="325" t="s">
        <v>55</v>
      </c>
      <c r="E724" s="325" t="s">
        <v>55</v>
      </c>
      <c r="F724" s="214">
        <v>6</v>
      </c>
      <c r="G724" s="214" t="s">
        <v>55</v>
      </c>
      <c r="H724" s="235">
        <v>39.1</v>
      </c>
      <c r="I724" s="235">
        <v>3.86</v>
      </c>
      <c r="J724" s="215">
        <f>H724*I724</f>
        <v>150.92599999999999</v>
      </c>
      <c r="K724" s="216" t="s">
        <v>559</v>
      </c>
      <c r="L724" s="237" t="s">
        <v>55</v>
      </c>
      <c r="M724" s="650" t="s">
        <v>55</v>
      </c>
      <c r="N724" s="215">
        <f>60*F724</f>
        <v>360</v>
      </c>
      <c r="O724" s="220">
        <f>60*F724</f>
        <v>360</v>
      </c>
      <c r="P724" s="356">
        <f t="shared" si="397"/>
        <v>2.3852749029325633</v>
      </c>
      <c r="Q724" s="356">
        <f t="shared" ref="Q724" si="401">O724/J724</f>
        <v>2.3852749029325633</v>
      </c>
      <c r="R724" s="217" t="s">
        <v>55</v>
      </c>
      <c r="S724" s="608" t="s">
        <v>257</v>
      </c>
      <c r="T724" s="520" t="s">
        <v>595</v>
      </c>
    </row>
    <row r="725" spans="2:27" ht="24.75" customHeight="1" x14ac:dyDescent="0.25">
      <c r="B725" s="627">
        <v>17.47</v>
      </c>
      <c r="C725" s="518" t="s">
        <v>609</v>
      </c>
      <c r="D725" s="233" t="s">
        <v>55</v>
      </c>
      <c r="E725" s="233" t="s">
        <v>55</v>
      </c>
      <c r="F725" s="214">
        <v>3</v>
      </c>
      <c r="G725" s="214" t="s">
        <v>55</v>
      </c>
      <c r="H725" s="235">
        <v>23.8</v>
      </c>
      <c r="I725" s="235">
        <v>3.86</v>
      </c>
      <c r="J725" s="215">
        <f>H725*I725</f>
        <v>91.867999999999995</v>
      </c>
      <c r="K725" s="216" t="s">
        <v>559</v>
      </c>
      <c r="L725" s="237" t="s">
        <v>55</v>
      </c>
      <c r="M725" s="650" t="s">
        <v>55</v>
      </c>
      <c r="N725" s="215">
        <f>60*F725</f>
        <v>180</v>
      </c>
      <c r="O725" s="220">
        <f>60*F725</f>
        <v>180</v>
      </c>
      <c r="P725" s="356">
        <f t="shared" si="397"/>
        <v>1.9593329559803196</v>
      </c>
      <c r="Q725" s="356">
        <f t="shared" ref="Q725" si="402">O725/J725</f>
        <v>1.9593329559803196</v>
      </c>
      <c r="R725" s="217" t="s">
        <v>55</v>
      </c>
      <c r="S725" s="608" t="s">
        <v>257</v>
      </c>
      <c r="T725" s="520" t="s">
        <v>595</v>
      </c>
    </row>
    <row r="726" spans="2:27" ht="36.75" customHeight="1" x14ac:dyDescent="0.25">
      <c r="B726" s="627">
        <v>17.48</v>
      </c>
      <c r="C726" s="518" t="s">
        <v>586</v>
      </c>
      <c r="D726" s="233" t="s">
        <v>55</v>
      </c>
      <c r="E726" s="233" t="s">
        <v>55</v>
      </c>
      <c r="F726" s="214">
        <v>1</v>
      </c>
      <c r="G726" s="214">
        <v>2</v>
      </c>
      <c r="H726" s="648">
        <v>17.25</v>
      </c>
      <c r="I726" s="235">
        <v>3.86</v>
      </c>
      <c r="J726" s="215">
        <f t="shared" ref="J726:J727" si="403">H726*I726</f>
        <v>66.584999999999994</v>
      </c>
      <c r="K726" s="216" t="s">
        <v>704</v>
      </c>
      <c r="L726" s="237" t="s">
        <v>55</v>
      </c>
      <c r="M726" s="238" t="s">
        <v>55</v>
      </c>
      <c r="N726" s="215">
        <f>60*F726+20*G726</f>
        <v>100</v>
      </c>
      <c r="O726" s="220">
        <f>60*F726+20*G726</f>
        <v>100</v>
      </c>
      <c r="P726" s="356">
        <f t="shared" si="397"/>
        <v>1.5018397536982806</v>
      </c>
      <c r="Q726" s="356">
        <f>O726/J726</f>
        <v>1.5018397536982806</v>
      </c>
      <c r="R726" s="218" t="s">
        <v>55</v>
      </c>
      <c r="S726" s="608" t="s">
        <v>257</v>
      </c>
      <c r="T726" s="520" t="s">
        <v>595</v>
      </c>
      <c r="AA726" s="251" t="s">
        <v>712</v>
      </c>
    </row>
    <row r="727" spans="2:27" ht="20.25" customHeight="1" x14ac:dyDescent="0.25">
      <c r="B727" s="627">
        <v>17.489999999999998</v>
      </c>
      <c r="C727" s="518" t="s">
        <v>553</v>
      </c>
      <c r="D727" s="233" t="s">
        <v>55</v>
      </c>
      <c r="E727" s="233" t="s">
        <v>55</v>
      </c>
      <c r="F727" s="214" t="s">
        <v>55</v>
      </c>
      <c r="G727" s="214" t="s">
        <v>55</v>
      </c>
      <c r="H727" s="648">
        <v>4.8899999999999997</v>
      </c>
      <c r="I727" s="235">
        <v>3.86</v>
      </c>
      <c r="J727" s="215">
        <f t="shared" si="403"/>
        <v>18.875399999999999</v>
      </c>
      <c r="K727" s="326" t="s">
        <v>55</v>
      </c>
      <c r="L727" s="237">
        <v>1</v>
      </c>
      <c r="M727" s="650" t="s">
        <v>55</v>
      </c>
      <c r="N727" s="215" t="s">
        <v>55</v>
      </c>
      <c r="O727" s="220">
        <f t="shared" ref="O727" si="404">CEILING((J727*L727),10)</f>
        <v>20</v>
      </c>
      <c r="P727" s="356" t="s">
        <v>55</v>
      </c>
      <c r="Q727" s="356">
        <f t="shared" ref="Q727" si="405">O727/J727</f>
        <v>1.0595801943270078</v>
      </c>
      <c r="R727" s="217" t="s">
        <v>55</v>
      </c>
      <c r="S727" s="608" t="s">
        <v>55</v>
      </c>
      <c r="T727" s="520" t="s">
        <v>595</v>
      </c>
      <c r="Z727" s="207" t="s">
        <v>601</v>
      </c>
      <c r="AA727" s="206" t="s">
        <v>604</v>
      </c>
    </row>
    <row r="728" spans="2:27" ht="23.25" customHeight="1" x14ac:dyDescent="0.25">
      <c r="B728" s="627">
        <v>17.5</v>
      </c>
      <c r="C728" s="518" t="s">
        <v>609</v>
      </c>
      <c r="D728" s="233" t="s">
        <v>55</v>
      </c>
      <c r="E728" s="233" t="s">
        <v>55</v>
      </c>
      <c r="F728" s="214">
        <v>3</v>
      </c>
      <c r="G728" s="214" t="s">
        <v>55</v>
      </c>
      <c r="H728" s="235">
        <v>25.52</v>
      </c>
      <c r="I728" s="235">
        <v>3.86</v>
      </c>
      <c r="J728" s="215">
        <f>H728*I728</f>
        <v>98.507199999999997</v>
      </c>
      <c r="K728" s="216" t="s">
        <v>559</v>
      </c>
      <c r="L728" s="237" t="s">
        <v>55</v>
      </c>
      <c r="M728" s="650" t="s">
        <v>55</v>
      </c>
      <c r="N728" s="215">
        <f>60*F728</f>
        <v>180</v>
      </c>
      <c r="O728" s="220">
        <f>60*F728</f>
        <v>180</v>
      </c>
      <c r="P728" s="356">
        <f>N728/J728</f>
        <v>1.827277600012994</v>
      </c>
      <c r="Q728" s="356">
        <f t="shared" ref="Q728" si="406">O728/J728</f>
        <v>1.827277600012994</v>
      </c>
      <c r="R728" s="217" t="s">
        <v>55</v>
      </c>
      <c r="S728" s="608" t="s">
        <v>257</v>
      </c>
      <c r="T728" s="520" t="s">
        <v>595</v>
      </c>
    </row>
    <row r="729" spans="2:27" ht="24.75" customHeight="1" x14ac:dyDescent="0.25">
      <c r="B729" s="627">
        <v>17.510000000000002</v>
      </c>
      <c r="C729" s="518" t="s">
        <v>586</v>
      </c>
      <c r="D729" s="233" t="s">
        <v>55</v>
      </c>
      <c r="E729" s="233" t="s">
        <v>55</v>
      </c>
      <c r="F729" s="214">
        <v>1</v>
      </c>
      <c r="G729" s="214">
        <v>2</v>
      </c>
      <c r="H729" s="235">
        <v>18.62</v>
      </c>
      <c r="I729" s="235">
        <v>3.86</v>
      </c>
      <c r="J729" s="215">
        <f t="shared" ref="J729:J734" si="407">H729*I729</f>
        <v>71.873199999999997</v>
      </c>
      <c r="K729" s="216" t="s">
        <v>559</v>
      </c>
      <c r="L729" s="237" t="s">
        <v>55</v>
      </c>
      <c r="M729" s="650" t="s">
        <v>55</v>
      </c>
      <c r="N729" s="215">
        <f>60*F729+20*G729</f>
        <v>100</v>
      </c>
      <c r="O729" s="220">
        <f>60*F729+20*G729</f>
        <v>100</v>
      </c>
      <c r="P729" s="356">
        <f>N729/J729</f>
        <v>1.3913391917988904</v>
      </c>
      <c r="Q729" s="356">
        <f>O729/J729</f>
        <v>1.3913391917988904</v>
      </c>
      <c r="R729" s="218" t="s">
        <v>55</v>
      </c>
      <c r="S729" s="608" t="s">
        <v>257</v>
      </c>
      <c r="T729" s="520" t="s">
        <v>595</v>
      </c>
      <c r="AA729" s="251" t="s">
        <v>712</v>
      </c>
    </row>
    <row r="730" spans="2:27" ht="24.75" customHeight="1" x14ac:dyDescent="0.25">
      <c r="B730" s="627">
        <v>17.52</v>
      </c>
      <c r="C730" s="518" t="s">
        <v>610</v>
      </c>
      <c r="D730" s="233" t="s">
        <v>55</v>
      </c>
      <c r="E730" s="233" t="s">
        <v>55</v>
      </c>
      <c r="F730" s="214">
        <v>2</v>
      </c>
      <c r="G730" s="214" t="s">
        <v>55</v>
      </c>
      <c r="H730" s="235">
        <v>16.399999999999999</v>
      </c>
      <c r="I730" s="235">
        <v>3.86</v>
      </c>
      <c r="J730" s="215">
        <f t="shared" si="407"/>
        <v>63.303999999999995</v>
      </c>
      <c r="K730" s="216" t="s">
        <v>559</v>
      </c>
      <c r="L730" s="237" t="s">
        <v>55</v>
      </c>
      <c r="M730" s="650" t="s">
        <v>55</v>
      </c>
      <c r="N730" s="215">
        <f>60*F730</f>
        <v>120</v>
      </c>
      <c r="O730" s="220">
        <f>60*F730</f>
        <v>120</v>
      </c>
      <c r="P730" s="356">
        <f>N730/J730</f>
        <v>1.8956148110703905</v>
      </c>
      <c r="Q730" s="356">
        <f>O730/J730</f>
        <v>1.8956148110703905</v>
      </c>
      <c r="R730" s="218" t="s">
        <v>55</v>
      </c>
      <c r="S730" s="608" t="s">
        <v>257</v>
      </c>
      <c r="T730" s="520" t="s">
        <v>595</v>
      </c>
      <c r="AA730" s="251" t="s">
        <v>712</v>
      </c>
    </row>
    <row r="731" spans="2:27" ht="40.5" customHeight="1" x14ac:dyDescent="0.25">
      <c r="B731" s="627">
        <v>17.53</v>
      </c>
      <c r="C731" s="518" t="s">
        <v>611</v>
      </c>
      <c r="D731" s="233" t="s">
        <v>55</v>
      </c>
      <c r="E731" s="233" t="s">
        <v>55</v>
      </c>
      <c r="F731" s="214">
        <v>1</v>
      </c>
      <c r="G731" s="214">
        <v>1</v>
      </c>
      <c r="H731" s="235">
        <v>10.35</v>
      </c>
      <c r="I731" s="235">
        <v>3.86</v>
      </c>
      <c r="J731" s="215">
        <f t="shared" ref="J731" si="408">H731*I731</f>
        <v>39.951000000000001</v>
      </c>
      <c r="K731" s="216" t="s">
        <v>704</v>
      </c>
      <c r="L731" s="237" t="s">
        <v>55</v>
      </c>
      <c r="M731" s="650" t="s">
        <v>55</v>
      </c>
      <c r="N731" s="215">
        <f>60*F731+20*G731</f>
        <v>80</v>
      </c>
      <c r="O731" s="220">
        <f>60*F731+20*G731</f>
        <v>80</v>
      </c>
      <c r="P731" s="356">
        <f>N731/J731</f>
        <v>2.0024530049310405</v>
      </c>
      <c r="Q731" s="356">
        <f>O731/J731</f>
        <v>2.0024530049310405</v>
      </c>
      <c r="R731" s="218" t="s">
        <v>55</v>
      </c>
      <c r="S731" s="608" t="s">
        <v>257</v>
      </c>
      <c r="T731" s="520" t="s">
        <v>595</v>
      </c>
    </row>
    <row r="732" spans="2:27" ht="24.75" customHeight="1" x14ac:dyDescent="0.25">
      <c r="B732" s="627">
        <v>17.54</v>
      </c>
      <c r="C732" s="518" t="s">
        <v>20</v>
      </c>
      <c r="D732" s="233" t="s">
        <v>55</v>
      </c>
      <c r="E732" s="233" t="s">
        <v>55</v>
      </c>
      <c r="F732" s="214" t="s">
        <v>55</v>
      </c>
      <c r="G732" s="214">
        <v>8</v>
      </c>
      <c r="H732" s="235">
        <v>18.350000000000001</v>
      </c>
      <c r="I732" s="235">
        <v>3.86</v>
      </c>
      <c r="J732" s="215">
        <f t="shared" si="407"/>
        <v>70.831000000000003</v>
      </c>
      <c r="K732" s="216" t="s">
        <v>558</v>
      </c>
      <c r="L732" s="237" t="s">
        <v>55</v>
      </c>
      <c r="M732" s="238" t="s">
        <v>55</v>
      </c>
      <c r="N732" s="215">
        <f t="shared" ref="N732" si="409">20*G732</f>
        <v>160</v>
      </c>
      <c r="O732" s="220">
        <f t="shared" ref="O732" si="410">20*G732</f>
        <v>160</v>
      </c>
      <c r="P732" s="356">
        <f t="shared" ref="P732" si="411">N732/J732</f>
        <v>2.2588979401674405</v>
      </c>
      <c r="Q732" s="356">
        <f t="shared" ref="Q732:Q734" si="412">O732/J732</f>
        <v>2.2588979401674405</v>
      </c>
      <c r="R732" s="217" t="s">
        <v>55</v>
      </c>
      <c r="S732" s="608" t="s">
        <v>257</v>
      </c>
      <c r="T732" s="520" t="s">
        <v>595</v>
      </c>
      <c r="AA732" s="251" t="s">
        <v>714</v>
      </c>
    </row>
    <row r="733" spans="2:27" ht="21" customHeight="1" x14ac:dyDescent="0.25">
      <c r="B733" s="627">
        <v>17.55</v>
      </c>
      <c r="C733" s="518" t="s">
        <v>612</v>
      </c>
      <c r="D733" s="233" t="s">
        <v>55</v>
      </c>
      <c r="E733" s="233" t="s">
        <v>55</v>
      </c>
      <c r="F733" s="214">
        <v>12</v>
      </c>
      <c r="G733" s="214" t="s">
        <v>55</v>
      </c>
      <c r="H733" s="235">
        <v>80.44</v>
      </c>
      <c r="I733" s="235">
        <v>3.86</v>
      </c>
      <c r="J733" s="215">
        <f>H733*I733</f>
        <v>310.4984</v>
      </c>
      <c r="K733" s="216" t="s">
        <v>559</v>
      </c>
      <c r="L733" s="237" t="s">
        <v>55</v>
      </c>
      <c r="M733" s="650" t="s">
        <v>55</v>
      </c>
      <c r="N733" s="215">
        <f>60*F733</f>
        <v>720</v>
      </c>
      <c r="O733" s="220">
        <f>60*F733-O718-O703</f>
        <v>670</v>
      </c>
      <c r="P733" s="356">
        <f>N733/J733</f>
        <v>2.3188525287086827</v>
      </c>
      <c r="Q733" s="356">
        <f t="shared" si="412"/>
        <v>2.1578211031039127</v>
      </c>
      <c r="R733" s="217" t="s">
        <v>55</v>
      </c>
      <c r="S733" s="608" t="s">
        <v>257</v>
      </c>
      <c r="T733" s="520" t="s">
        <v>595</v>
      </c>
    </row>
    <row r="734" spans="2:27" ht="17.25" customHeight="1" x14ac:dyDescent="0.25">
      <c r="B734" s="760">
        <v>17.559999999999999</v>
      </c>
      <c r="C734" s="518" t="s">
        <v>95</v>
      </c>
      <c r="D734" s="233" t="s">
        <v>55</v>
      </c>
      <c r="E734" s="233" t="s">
        <v>55</v>
      </c>
      <c r="F734" s="214" t="s">
        <v>55</v>
      </c>
      <c r="G734" s="214" t="s">
        <v>55</v>
      </c>
      <c r="H734" s="235">
        <v>13.03</v>
      </c>
      <c r="I734" s="235">
        <v>3.86</v>
      </c>
      <c r="J734" s="215">
        <f t="shared" si="407"/>
        <v>50.295799999999993</v>
      </c>
      <c r="K734" s="237" t="s">
        <v>55</v>
      </c>
      <c r="L734" s="237">
        <v>1</v>
      </c>
      <c r="M734" s="650" t="s">
        <v>55</v>
      </c>
      <c r="N734" s="215" t="s">
        <v>55</v>
      </c>
      <c r="O734" s="220">
        <f t="shared" ref="O734" si="413">CEILING((J734*L734),10)</f>
        <v>60</v>
      </c>
      <c r="P734" s="356" t="s">
        <v>55</v>
      </c>
      <c r="Q734" s="356">
        <f t="shared" si="412"/>
        <v>1.1929425518631775</v>
      </c>
      <c r="R734" s="217" t="s">
        <v>55</v>
      </c>
      <c r="S734" s="608" t="s">
        <v>55</v>
      </c>
      <c r="T734" s="520" t="s">
        <v>595</v>
      </c>
      <c r="U734" s="297"/>
      <c r="V734" s="297"/>
      <c r="W734" s="296"/>
      <c r="X734" s="296"/>
      <c r="Y734" s="296"/>
      <c r="Z734" s="296" t="s">
        <v>613</v>
      </c>
      <c r="AA734" s="206" t="s">
        <v>603</v>
      </c>
    </row>
    <row r="735" spans="2:27" ht="17.25" customHeight="1" x14ac:dyDescent="0.25">
      <c r="B735" s="760">
        <v>17.010000000000002</v>
      </c>
      <c r="C735" s="518" t="s">
        <v>614</v>
      </c>
      <c r="D735" s="233" t="s">
        <v>55</v>
      </c>
      <c r="E735" s="233" t="s">
        <v>55</v>
      </c>
      <c r="F735" s="214" t="s">
        <v>55</v>
      </c>
      <c r="G735" s="214" t="s">
        <v>55</v>
      </c>
      <c r="H735" s="327">
        <v>85.75</v>
      </c>
      <c r="I735" s="235">
        <v>4.8600000000000003</v>
      </c>
      <c r="J735" s="215">
        <f t="shared" ref="J735" si="414">H735*I735</f>
        <v>416.745</v>
      </c>
      <c r="K735" s="328" t="s">
        <v>55</v>
      </c>
      <c r="L735" s="237" t="s">
        <v>55</v>
      </c>
      <c r="M735" s="650" t="s">
        <v>55</v>
      </c>
      <c r="N735" s="215">
        <v>1015</v>
      </c>
      <c r="O735" s="220" t="s">
        <v>55</v>
      </c>
      <c r="P735" s="356" t="s">
        <v>55</v>
      </c>
      <c r="Q735" s="356" t="s">
        <v>55</v>
      </c>
      <c r="R735" s="217" t="s">
        <v>55</v>
      </c>
      <c r="S735" s="519" t="s">
        <v>55</v>
      </c>
      <c r="T735" s="761" t="s">
        <v>55</v>
      </c>
      <c r="U735" s="297"/>
      <c r="V735" s="297"/>
      <c r="W735" s="296"/>
      <c r="X735" s="296"/>
      <c r="Y735" s="296"/>
      <c r="Z735" s="296"/>
      <c r="AA735" s="206"/>
    </row>
    <row r="736" spans="2:27" ht="17.25" customHeight="1" thickBot="1" x14ac:dyDescent="0.3">
      <c r="B736" s="676"/>
      <c r="C736" s="615"/>
      <c r="D736" s="616" t="s">
        <v>508</v>
      </c>
      <c r="E736" s="762"/>
      <c r="F736" s="763">
        <f>SUM(F697:F734)</f>
        <v>137</v>
      </c>
      <c r="G736" s="763">
        <f>SUM(G697:G734)</f>
        <v>50</v>
      </c>
      <c r="H736" s="764"/>
      <c r="I736" s="763"/>
      <c r="J736" s="765"/>
      <c r="K736" s="766"/>
      <c r="L736" s="766"/>
      <c r="M736" s="767" t="s">
        <v>557</v>
      </c>
      <c r="N736" s="622">
        <f>SUM(N697:N735)+O734+O706-N705</f>
        <v>10345</v>
      </c>
      <c r="O736" s="623">
        <f>SUM(O697:O734)-O705</f>
        <v>10345</v>
      </c>
      <c r="P736" s="768"/>
      <c r="Q736" s="768"/>
      <c r="R736" s="768"/>
      <c r="S736" s="769"/>
      <c r="T736" s="770"/>
      <c r="Z736" s="207">
        <v>12958</v>
      </c>
      <c r="AA736" s="207">
        <v>9168</v>
      </c>
    </row>
    <row r="737" spans="2:27" ht="17.25" customHeight="1" thickBot="1" x14ac:dyDescent="0.3">
      <c r="B737" s="771" t="s">
        <v>615</v>
      </c>
      <c r="C737" s="772"/>
      <c r="D737" s="772"/>
      <c r="E737" s="772"/>
      <c r="F737" s="772"/>
      <c r="G737" s="772"/>
      <c r="H737" s="772"/>
      <c r="I737" s="772"/>
      <c r="J737" s="772"/>
      <c r="K737" s="772"/>
      <c r="L737" s="772"/>
      <c r="M737" s="772"/>
      <c r="N737" s="772"/>
      <c r="O737" s="772"/>
      <c r="P737" s="772"/>
      <c r="Q737" s="772"/>
      <c r="R737" s="772"/>
      <c r="S737" s="772"/>
      <c r="T737" s="773"/>
    </row>
    <row r="738" spans="2:27" ht="17.25" customHeight="1" x14ac:dyDescent="0.25">
      <c r="B738" s="774">
        <v>18.010000000000002</v>
      </c>
      <c r="C738" s="775" t="s">
        <v>16</v>
      </c>
      <c r="D738" s="776" t="s">
        <v>55</v>
      </c>
      <c r="E738" s="776" t="s">
        <v>55</v>
      </c>
      <c r="F738" s="776" t="s">
        <v>55</v>
      </c>
      <c r="G738" s="776" t="s">
        <v>55</v>
      </c>
      <c r="H738" s="776">
        <v>74.05</v>
      </c>
      <c r="I738" s="776">
        <v>3.86</v>
      </c>
      <c r="J738" s="210">
        <f>H738*I738</f>
        <v>285.83299999999997</v>
      </c>
      <c r="K738" s="776" t="s">
        <v>55</v>
      </c>
      <c r="L738" s="776" t="s">
        <v>55</v>
      </c>
      <c r="M738" s="776" t="s">
        <v>55</v>
      </c>
      <c r="N738" s="777">
        <f>O786</f>
        <v>60</v>
      </c>
      <c r="O738" s="575" t="s">
        <v>55</v>
      </c>
      <c r="P738" s="388">
        <f t="shared" ref="P738" si="415">N738/J738</f>
        <v>0.20991278123939505</v>
      </c>
      <c r="Q738" s="388" t="s">
        <v>55</v>
      </c>
      <c r="R738" s="575" t="s">
        <v>55</v>
      </c>
      <c r="S738" s="575" t="s">
        <v>55</v>
      </c>
      <c r="T738" s="778" t="s">
        <v>55</v>
      </c>
    </row>
    <row r="739" spans="2:27" ht="17.25" customHeight="1" x14ac:dyDescent="0.25">
      <c r="B739" s="779">
        <v>18.190000000000001</v>
      </c>
      <c r="C739" s="612" t="s">
        <v>16</v>
      </c>
      <c r="D739" s="233" t="s">
        <v>55</v>
      </c>
      <c r="E739" s="233" t="s">
        <v>55</v>
      </c>
      <c r="F739" s="214" t="s">
        <v>55</v>
      </c>
      <c r="G739" s="214" t="s">
        <v>55</v>
      </c>
      <c r="H739" s="648">
        <v>79.55</v>
      </c>
      <c r="I739" s="235">
        <v>3.86</v>
      </c>
      <c r="J739" s="215">
        <f>H739*I739</f>
        <v>307.06299999999999</v>
      </c>
      <c r="K739" s="648" t="s">
        <v>55</v>
      </c>
      <c r="L739" s="648" t="s">
        <v>55</v>
      </c>
      <c r="M739" s="648" t="s">
        <v>55</v>
      </c>
      <c r="N739" s="780">
        <f>O741+O790</f>
        <v>120</v>
      </c>
      <c r="O739" s="561" t="s">
        <v>55</v>
      </c>
      <c r="P739" s="356" t="s">
        <v>55</v>
      </c>
      <c r="Q739" s="356" t="s">
        <v>55</v>
      </c>
      <c r="R739" s="561" t="s">
        <v>55</v>
      </c>
      <c r="S739" s="648" t="s">
        <v>259</v>
      </c>
      <c r="T739" s="781" t="s">
        <v>55</v>
      </c>
    </row>
    <row r="740" spans="2:27" ht="17.25" customHeight="1" x14ac:dyDescent="0.25">
      <c r="B740" s="779">
        <v>18.18</v>
      </c>
      <c r="C740" s="518" t="s">
        <v>614</v>
      </c>
      <c r="D740" s="233" t="s">
        <v>55</v>
      </c>
      <c r="E740" s="233" t="s">
        <v>55</v>
      </c>
      <c r="F740" s="214" t="s">
        <v>55</v>
      </c>
      <c r="G740" s="214" t="s">
        <v>55</v>
      </c>
      <c r="H740" s="648">
        <v>77.569999999999993</v>
      </c>
      <c r="I740" s="235">
        <v>3.86</v>
      </c>
      <c r="J740" s="215">
        <f>H740*I740</f>
        <v>299.42019999999997</v>
      </c>
      <c r="K740" s="237" t="s">
        <v>55</v>
      </c>
      <c r="L740" s="237" t="s">
        <v>55</v>
      </c>
      <c r="M740" s="237" t="s">
        <v>55</v>
      </c>
      <c r="N740" s="780">
        <f>O742</f>
        <v>1015</v>
      </c>
      <c r="O740" s="561" t="s">
        <v>55</v>
      </c>
      <c r="P740" s="356" t="s">
        <v>55</v>
      </c>
      <c r="Q740" s="356" t="s">
        <v>55</v>
      </c>
      <c r="R740" s="561" t="s">
        <v>55</v>
      </c>
      <c r="S740" s="648" t="s">
        <v>259</v>
      </c>
      <c r="T740" s="781" t="s">
        <v>55</v>
      </c>
    </row>
    <row r="741" spans="2:27" ht="19.5" customHeight="1" x14ac:dyDescent="0.25">
      <c r="B741" s="718" t="s">
        <v>616</v>
      </c>
      <c r="C741" s="518" t="s">
        <v>95</v>
      </c>
      <c r="D741" s="233" t="s">
        <v>55</v>
      </c>
      <c r="E741" s="233" t="s">
        <v>55</v>
      </c>
      <c r="F741" s="214" t="s">
        <v>55</v>
      </c>
      <c r="G741" s="214" t="s">
        <v>55</v>
      </c>
      <c r="H741" s="235">
        <v>14.56</v>
      </c>
      <c r="I741" s="235">
        <v>3.86</v>
      </c>
      <c r="J741" s="215">
        <f>H741*I741</f>
        <v>56.201599999999999</v>
      </c>
      <c r="K741" s="326" t="s">
        <v>55</v>
      </c>
      <c r="L741" s="237">
        <v>1</v>
      </c>
      <c r="M741" s="650" t="s">
        <v>55</v>
      </c>
      <c r="N741" s="215" t="s">
        <v>55</v>
      </c>
      <c r="O741" s="220">
        <f t="shared" ref="O741" si="416">CEILING((J741*L741),10)</f>
        <v>60</v>
      </c>
      <c r="P741" s="356" t="s">
        <v>55</v>
      </c>
      <c r="Q741" s="356">
        <f t="shared" ref="Q741" si="417">O741/J741</f>
        <v>1.0675852644764563</v>
      </c>
      <c r="R741" s="217" t="s">
        <v>55</v>
      </c>
      <c r="S741" s="519" t="s">
        <v>55</v>
      </c>
      <c r="T741" s="782" t="s">
        <v>326</v>
      </c>
      <c r="Z741" s="296" t="s">
        <v>617</v>
      </c>
      <c r="AA741" s="206" t="s">
        <v>603</v>
      </c>
    </row>
    <row r="742" spans="2:27" ht="17.25" customHeight="1" x14ac:dyDescent="0.25">
      <c r="B742" s="718"/>
      <c r="C742" s="518" t="s">
        <v>589</v>
      </c>
      <c r="D742" s="233" t="s">
        <v>55</v>
      </c>
      <c r="E742" s="233" t="s">
        <v>55</v>
      </c>
      <c r="F742" s="214" t="s">
        <v>55</v>
      </c>
      <c r="G742" s="214" t="s">
        <v>55</v>
      </c>
      <c r="H742" s="235" t="s">
        <v>55</v>
      </c>
      <c r="I742" s="235" t="s">
        <v>55</v>
      </c>
      <c r="J742" s="215" t="s">
        <v>55</v>
      </c>
      <c r="K742" s="237" t="s">
        <v>55</v>
      </c>
      <c r="L742" s="237" t="s">
        <v>55</v>
      </c>
      <c r="M742" s="238" t="s">
        <v>55</v>
      </c>
      <c r="N742" s="215" t="s">
        <v>55</v>
      </c>
      <c r="O742" s="220">
        <v>1015</v>
      </c>
      <c r="P742" s="356" t="s">
        <v>55</v>
      </c>
      <c r="Q742" s="356" t="s">
        <v>55</v>
      </c>
      <c r="R742" s="217" t="s">
        <v>55</v>
      </c>
      <c r="S742" s="593"/>
      <c r="T742" s="783" t="s">
        <v>590</v>
      </c>
      <c r="Z742" s="207" t="s">
        <v>649</v>
      </c>
      <c r="AA742" s="206" t="s">
        <v>603</v>
      </c>
    </row>
    <row r="743" spans="2:27" ht="17.25" customHeight="1" x14ac:dyDescent="0.25">
      <c r="B743" s="760">
        <v>18.21</v>
      </c>
      <c r="C743" s="518" t="s">
        <v>553</v>
      </c>
      <c r="D743" s="325" t="s">
        <v>55</v>
      </c>
      <c r="E743" s="325" t="s">
        <v>55</v>
      </c>
      <c r="F743" s="304" t="s">
        <v>55</v>
      </c>
      <c r="G743" s="304" t="s">
        <v>55</v>
      </c>
      <c r="H743" s="235">
        <v>9.99</v>
      </c>
      <c r="I743" s="235">
        <v>3.86</v>
      </c>
      <c r="J743" s="215">
        <f>H743*I743</f>
        <v>38.561399999999999</v>
      </c>
      <c r="K743" s="237" t="s">
        <v>55</v>
      </c>
      <c r="L743" s="237">
        <v>1</v>
      </c>
      <c r="M743" s="650" t="s">
        <v>55</v>
      </c>
      <c r="N743" s="215" t="s">
        <v>55</v>
      </c>
      <c r="O743" s="220">
        <f t="shared" ref="O743:O744" si="418">CEILING((J743*L743),10)</f>
        <v>40</v>
      </c>
      <c r="P743" s="356" t="s">
        <v>55</v>
      </c>
      <c r="Q743" s="356">
        <f>O743/J743</f>
        <v>1.0373067367886022</v>
      </c>
      <c r="R743" s="217" t="s">
        <v>55</v>
      </c>
      <c r="S743" s="519" t="s">
        <v>55</v>
      </c>
      <c r="T743" s="761" t="s">
        <v>326</v>
      </c>
      <c r="Z743" s="296" t="s">
        <v>632</v>
      </c>
      <c r="AA743" s="206" t="s">
        <v>604</v>
      </c>
    </row>
    <row r="744" spans="2:27" ht="20.25" customHeight="1" x14ac:dyDescent="0.25">
      <c r="B744" s="760">
        <v>18.22</v>
      </c>
      <c r="C744" s="518" t="s">
        <v>551</v>
      </c>
      <c r="D744" s="233" t="s">
        <v>55</v>
      </c>
      <c r="E744" s="233" t="s">
        <v>55</v>
      </c>
      <c r="F744" s="214" t="s">
        <v>55</v>
      </c>
      <c r="G744" s="214" t="s">
        <v>55</v>
      </c>
      <c r="H744" s="648">
        <v>7.72</v>
      </c>
      <c r="I744" s="235">
        <v>3.86</v>
      </c>
      <c r="J744" s="215">
        <f t="shared" ref="J744:J745" si="419">H744*I744</f>
        <v>29.799199999999999</v>
      </c>
      <c r="K744" s="237" t="s">
        <v>55</v>
      </c>
      <c r="L744" s="237">
        <v>1</v>
      </c>
      <c r="M744" s="650" t="s">
        <v>55</v>
      </c>
      <c r="N744" s="215" t="s">
        <v>55</v>
      </c>
      <c r="O744" s="220">
        <f t="shared" si="418"/>
        <v>30</v>
      </c>
      <c r="P744" s="356" t="s">
        <v>55</v>
      </c>
      <c r="Q744" s="356">
        <f t="shared" ref="Q744:Q745" si="420">O744/J744</f>
        <v>1.006738435931166</v>
      </c>
      <c r="R744" s="217" t="s">
        <v>55</v>
      </c>
      <c r="S744" s="519" t="s">
        <v>55</v>
      </c>
      <c r="T744" s="761" t="s">
        <v>326</v>
      </c>
      <c r="Z744" s="296" t="s">
        <v>632</v>
      </c>
      <c r="AA744" s="206" t="s">
        <v>604</v>
      </c>
    </row>
    <row r="745" spans="2:27" ht="26.25" customHeight="1" x14ac:dyDescent="0.25">
      <c r="B745" s="632" t="s">
        <v>618</v>
      </c>
      <c r="C745" s="518" t="s">
        <v>20</v>
      </c>
      <c r="D745" s="233" t="s">
        <v>55</v>
      </c>
      <c r="E745" s="233" t="s">
        <v>55</v>
      </c>
      <c r="F745" s="214" t="s">
        <v>55</v>
      </c>
      <c r="G745" s="214">
        <v>10</v>
      </c>
      <c r="H745" s="235">
        <v>19.09</v>
      </c>
      <c r="I745" s="235">
        <v>3.86</v>
      </c>
      <c r="J745" s="215">
        <f t="shared" si="419"/>
        <v>73.687399999999997</v>
      </c>
      <c r="K745" s="335" t="s">
        <v>558</v>
      </c>
      <c r="L745" s="237" t="s">
        <v>55</v>
      </c>
      <c r="M745" s="238" t="s">
        <v>55</v>
      </c>
      <c r="N745" s="215">
        <f t="shared" ref="N745" si="421">20*G745</f>
        <v>200</v>
      </c>
      <c r="O745" s="220">
        <f t="shared" ref="O745" si="422">20*G745</f>
        <v>200</v>
      </c>
      <c r="P745" s="356">
        <f t="shared" ref="P745" si="423">N745/J745</f>
        <v>2.7141682295752059</v>
      </c>
      <c r="Q745" s="356">
        <f t="shared" si="420"/>
        <v>2.7141682295752059</v>
      </c>
      <c r="R745" s="217" t="s">
        <v>55</v>
      </c>
      <c r="S745" s="519" t="s">
        <v>259</v>
      </c>
      <c r="T745" s="761" t="s">
        <v>326</v>
      </c>
      <c r="Z745" s="207">
        <v>10</v>
      </c>
      <c r="AA745" s="206"/>
    </row>
    <row r="746" spans="2:27" ht="17.25" customHeight="1" x14ac:dyDescent="0.25">
      <c r="B746" s="632" t="s">
        <v>619</v>
      </c>
      <c r="C746" s="518" t="s">
        <v>553</v>
      </c>
      <c r="D746" s="233" t="s">
        <v>55</v>
      </c>
      <c r="E746" s="233" t="s">
        <v>55</v>
      </c>
      <c r="F746" s="214" t="s">
        <v>55</v>
      </c>
      <c r="G746" s="214" t="s">
        <v>55</v>
      </c>
      <c r="H746" s="235">
        <v>11.15</v>
      </c>
      <c r="I746" s="235">
        <v>3.86</v>
      </c>
      <c r="J746" s="215">
        <f>H746*I746</f>
        <v>43.039000000000001</v>
      </c>
      <c r="K746" s="237" t="s">
        <v>55</v>
      </c>
      <c r="L746" s="237">
        <v>1</v>
      </c>
      <c r="M746" s="650" t="s">
        <v>55</v>
      </c>
      <c r="N746" s="215" t="s">
        <v>55</v>
      </c>
      <c r="O746" s="220">
        <f t="shared" ref="O746" si="424">CEILING((J746*L746),10)</f>
        <v>50</v>
      </c>
      <c r="P746" s="356" t="s">
        <v>55</v>
      </c>
      <c r="Q746" s="356">
        <f>O746/J746</f>
        <v>1.1617370292060689</v>
      </c>
      <c r="R746" s="217" t="s">
        <v>55</v>
      </c>
      <c r="S746" s="519" t="s">
        <v>55</v>
      </c>
      <c r="T746" s="761" t="s">
        <v>326</v>
      </c>
      <c r="Z746" s="296" t="s">
        <v>621</v>
      </c>
      <c r="AA746" s="206" t="s">
        <v>604</v>
      </c>
    </row>
    <row r="747" spans="2:27" ht="17.25" customHeight="1" x14ac:dyDescent="0.25">
      <c r="B747" s="632" t="s">
        <v>620</v>
      </c>
      <c r="C747" s="518" t="s">
        <v>551</v>
      </c>
      <c r="D747" s="233" t="s">
        <v>55</v>
      </c>
      <c r="E747" s="233" t="s">
        <v>55</v>
      </c>
      <c r="F747" s="214" t="s">
        <v>55</v>
      </c>
      <c r="G747" s="214" t="s">
        <v>55</v>
      </c>
      <c r="H747" s="648">
        <v>9.42</v>
      </c>
      <c r="I747" s="235">
        <v>3.86</v>
      </c>
      <c r="J747" s="215">
        <f t="shared" ref="J747:J755" si="425">H747*I747</f>
        <v>36.361199999999997</v>
      </c>
      <c r="K747" s="237" t="s">
        <v>55</v>
      </c>
      <c r="L747" s="237">
        <v>1</v>
      </c>
      <c r="M747" s="650" t="s">
        <v>55</v>
      </c>
      <c r="N747" s="215" t="s">
        <v>55</v>
      </c>
      <c r="O747" s="220">
        <f t="shared" ref="O747" si="426">CEILING((J747*L747),10)</f>
        <v>40</v>
      </c>
      <c r="P747" s="356" t="s">
        <v>55</v>
      </c>
      <c r="Q747" s="356">
        <f t="shared" ref="Q747" si="427">O747/J747</f>
        <v>1.100073704938231</v>
      </c>
      <c r="R747" s="217" t="s">
        <v>55</v>
      </c>
      <c r="S747" s="519" t="s">
        <v>55</v>
      </c>
      <c r="T747" s="761" t="s">
        <v>326</v>
      </c>
      <c r="Z747" s="296" t="s">
        <v>621</v>
      </c>
      <c r="AA747" s="206" t="s">
        <v>604</v>
      </c>
    </row>
    <row r="748" spans="2:27" ht="34.5" customHeight="1" x14ac:dyDescent="0.25">
      <c r="B748" s="632" t="s">
        <v>622</v>
      </c>
      <c r="C748" s="518" t="s">
        <v>541</v>
      </c>
      <c r="D748" s="233" t="s">
        <v>55</v>
      </c>
      <c r="E748" s="233" t="s">
        <v>55</v>
      </c>
      <c r="F748" s="214">
        <v>1</v>
      </c>
      <c r="G748" s="214">
        <v>3</v>
      </c>
      <c r="H748" s="235">
        <v>17.239999999999998</v>
      </c>
      <c r="I748" s="235">
        <v>3.86</v>
      </c>
      <c r="J748" s="215">
        <f t="shared" si="425"/>
        <v>66.546399999999991</v>
      </c>
      <c r="K748" s="335" t="s">
        <v>670</v>
      </c>
      <c r="L748" s="237" t="s">
        <v>55</v>
      </c>
      <c r="M748" s="650" t="s">
        <v>55</v>
      </c>
      <c r="N748" s="215">
        <f>F748*60+G748*20</f>
        <v>120</v>
      </c>
      <c r="O748" s="220">
        <f>60*F748+20*G748</f>
        <v>120</v>
      </c>
      <c r="P748" s="356">
        <f>N748/J748</f>
        <v>1.8032530685356385</v>
      </c>
      <c r="Q748" s="356">
        <f>O748/J748</f>
        <v>1.8032530685356385</v>
      </c>
      <c r="R748" s="218" t="s">
        <v>55</v>
      </c>
      <c r="S748" s="519" t="s">
        <v>259</v>
      </c>
      <c r="T748" s="761" t="s">
        <v>326</v>
      </c>
      <c r="Z748" s="207">
        <v>4</v>
      </c>
    </row>
    <row r="749" spans="2:27" ht="17.25" customHeight="1" x14ac:dyDescent="0.25">
      <c r="B749" s="784"/>
      <c r="C749" s="518" t="s">
        <v>542</v>
      </c>
      <c r="D749" s="233" t="s">
        <v>55</v>
      </c>
      <c r="E749" s="233" t="s">
        <v>55</v>
      </c>
      <c r="F749" s="214" t="s">
        <v>55</v>
      </c>
      <c r="G749" s="214" t="s">
        <v>55</v>
      </c>
      <c r="H749" s="235" t="s">
        <v>55</v>
      </c>
      <c r="I749" s="235" t="s">
        <v>55</v>
      </c>
      <c r="J749" s="215" t="s">
        <v>55</v>
      </c>
      <c r="K749" s="335" t="s">
        <v>55</v>
      </c>
      <c r="L749" s="237" t="s">
        <v>55</v>
      </c>
      <c r="M749" s="238" t="s">
        <v>55</v>
      </c>
      <c r="N749" s="215" t="s">
        <v>55</v>
      </c>
      <c r="O749" s="220" t="s">
        <v>55</v>
      </c>
      <c r="P749" s="356" t="s">
        <v>55</v>
      </c>
      <c r="Q749" s="356" t="s">
        <v>55</v>
      </c>
      <c r="R749" s="220" t="s">
        <v>55</v>
      </c>
      <c r="S749" s="293" t="s">
        <v>55</v>
      </c>
      <c r="T749" s="330" t="s">
        <v>55</v>
      </c>
    </row>
    <row r="750" spans="2:27" ht="21.75" customHeight="1" x14ac:dyDescent="0.25">
      <c r="B750" s="632" t="s">
        <v>623</v>
      </c>
      <c r="C750" s="518" t="s">
        <v>625</v>
      </c>
      <c r="D750" s="233" t="s">
        <v>55</v>
      </c>
      <c r="E750" s="233" t="s">
        <v>55</v>
      </c>
      <c r="F750" s="214">
        <v>1</v>
      </c>
      <c r="G750" s="214">
        <v>2</v>
      </c>
      <c r="H750" s="235">
        <v>17.14</v>
      </c>
      <c r="I750" s="235">
        <v>3.86</v>
      </c>
      <c r="J750" s="215">
        <f t="shared" ref="J750" si="428">H750*I750</f>
        <v>66.160399999999996</v>
      </c>
      <c r="K750" s="335" t="s">
        <v>559</v>
      </c>
      <c r="L750" s="237" t="s">
        <v>55</v>
      </c>
      <c r="M750" s="650" t="s">
        <v>55</v>
      </c>
      <c r="N750" s="215">
        <f>F750*60+G750*20</f>
        <v>100</v>
      </c>
      <c r="O750" s="220">
        <f>60*F750+20*G750</f>
        <v>100</v>
      </c>
      <c r="P750" s="356">
        <f>N750/J750</f>
        <v>1.5114781651864257</v>
      </c>
      <c r="Q750" s="356">
        <f>O750/J750</f>
        <v>1.5114781651864257</v>
      </c>
      <c r="R750" s="218" t="s">
        <v>55</v>
      </c>
      <c r="S750" s="519" t="s">
        <v>259</v>
      </c>
      <c r="T750" s="761" t="s">
        <v>326</v>
      </c>
      <c r="Z750" s="207">
        <v>2</v>
      </c>
    </row>
    <row r="751" spans="2:27" ht="17.25" customHeight="1" x14ac:dyDescent="0.25">
      <c r="B751" s="684"/>
      <c r="C751" s="518" t="s">
        <v>624</v>
      </c>
      <c r="D751" s="233" t="s">
        <v>55</v>
      </c>
      <c r="E751" s="233" t="s">
        <v>55</v>
      </c>
      <c r="F751" s="224" t="s">
        <v>55</v>
      </c>
      <c r="G751" s="214" t="s">
        <v>55</v>
      </c>
      <c r="H751" s="235" t="s">
        <v>55</v>
      </c>
      <c r="I751" s="235" t="s">
        <v>55</v>
      </c>
      <c r="J751" s="215" t="s">
        <v>55</v>
      </c>
      <c r="K751" s="335" t="s">
        <v>55</v>
      </c>
      <c r="L751" s="237" t="s">
        <v>55</v>
      </c>
      <c r="M751" s="238" t="s">
        <v>55</v>
      </c>
      <c r="N751" s="215" t="s">
        <v>55</v>
      </c>
      <c r="O751" s="220" t="s">
        <v>55</v>
      </c>
      <c r="P751" s="356" t="s">
        <v>55</v>
      </c>
      <c r="Q751" s="356" t="s">
        <v>55</v>
      </c>
      <c r="R751" s="220" t="s">
        <v>55</v>
      </c>
      <c r="S751" s="293" t="s">
        <v>55</v>
      </c>
      <c r="T751" s="324" t="s">
        <v>55</v>
      </c>
    </row>
    <row r="752" spans="2:27" ht="25.5" customHeight="1" x14ac:dyDescent="0.25">
      <c r="B752" s="627">
        <v>18.28</v>
      </c>
      <c r="C752" s="518" t="s">
        <v>626</v>
      </c>
      <c r="D752" s="233" t="s">
        <v>55</v>
      </c>
      <c r="E752" s="233" t="s">
        <v>55</v>
      </c>
      <c r="F752" s="214">
        <v>15</v>
      </c>
      <c r="G752" s="214" t="s">
        <v>55</v>
      </c>
      <c r="H752" s="235">
        <v>25.52</v>
      </c>
      <c r="I752" s="235">
        <v>3.86</v>
      </c>
      <c r="J752" s="215">
        <f>H752*I752</f>
        <v>98.507199999999997</v>
      </c>
      <c r="K752" s="335" t="s">
        <v>559</v>
      </c>
      <c r="L752" s="237" t="s">
        <v>55</v>
      </c>
      <c r="M752" s="650" t="s">
        <v>55</v>
      </c>
      <c r="N752" s="215">
        <f>60*F752</f>
        <v>900</v>
      </c>
      <c r="O752" s="220">
        <f>60*F752</f>
        <v>900</v>
      </c>
      <c r="P752" s="356">
        <f>N752/J752</f>
        <v>9.1363880000649704</v>
      </c>
      <c r="Q752" s="356">
        <f t="shared" ref="Q752" si="429">O752/J752</f>
        <v>9.1363880000649704</v>
      </c>
      <c r="R752" s="217" t="s">
        <v>55</v>
      </c>
      <c r="S752" s="608" t="s">
        <v>259</v>
      </c>
      <c r="T752" s="520" t="s">
        <v>326</v>
      </c>
    </row>
    <row r="753" spans="2:26" ht="21" customHeight="1" x14ac:dyDescent="0.25">
      <c r="B753" s="627">
        <v>18.29</v>
      </c>
      <c r="C753" s="518" t="s">
        <v>627</v>
      </c>
      <c r="D753" s="233" t="s">
        <v>55</v>
      </c>
      <c r="E753" s="233" t="s">
        <v>55</v>
      </c>
      <c r="F753" s="214">
        <v>2</v>
      </c>
      <c r="G753" s="214">
        <v>4</v>
      </c>
      <c r="H753" s="235">
        <v>48.49</v>
      </c>
      <c r="I753" s="235">
        <v>3.86</v>
      </c>
      <c r="J753" s="215">
        <f>H753*I753</f>
        <v>187.17140000000001</v>
      </c>
      <c r="K753" s="335" t="s">
        <v>559</v>
      </c>
      <c r="L753" s="237" t="s">
        <v>55</v>
      </c>
      <c r="M753" s="650" t="s">
        <v>55</v>
      </c>
      <c r="N753" s="215">
        <f>F753*60+G753*20</f>
        <v>200</v>
      </c>
      <c r="O753" s="220">
        <f>60*F753+20*G753</f>
        <v>200</v>
      </c>
      <c r="P753" s="356">
        <f>N753/J753</f>
        <v>1.0685393174384548</v>
      </c>
      <c r="Q753" s="356">
        <f t="shared" ref="Q753" si="430">O753/J753</f>
        <v>1.0685393174384548</v>
      </c>
      <c r="R753" s="217" t="s">
        <v>55</v>
      </c>
      <c r="S753" s="608" t="s">
        <v>259</v>
      </c>
      <c r="T753" s="520" t="s">
        <v>326</v>
      </c>
      <c r="Z753" s="207">
        <v>4</v>
      </c>
    </row>
    <row r="754" spans="2:26" ht="17.25" customHeight="1" x14ac:dyDescent="0.25">
      <c r="B754" s="684"/>
      <c r="C754" s="518" t="s">
        <v>628</v>
      </c>
      <c r="D754" s="233" t="s">
        <v>55</v>
      </c>
      <c r="E754" s="233" t="s">
        <v>55</v>
      </c>
      <c r="F754" s="224" t="s">
        <v>55</v>
      </c>
      <c r="G754" s="214" t="s">
        <v>55</v>
      </c>
      <c r="H754" s="235" t="s">
        <v>55</v>
      </c>
      <c r="I754" s="235" t="s">
        <v>55</v>
      </c>
      <c r="J754" s="215" t="s">
        <v>55</v>
      </c>
      <c r="K754" s="237" t="s">
        <v>55</v>
      </c>
      <c r="L754" s="237" t="s">
        <v>55</v>
      </c>
      <c r="M754" s="238" t="s">
        <v>55</v>
      </c>
      <c r="N754" s="215" t="s">
        <v>55</v>
      </c>
      <c r="O754" s="220" t="s">
        <v>55</v>
      </c>
      <c r="P754" s="356" t="s">
        <v>55</v>
      </c>
      <c r="Q754" s="356" t="s">
        <v>55</v>
      </c>
      <c r="R754" s="220" t="s">
        <v>55</v>
      </c>
      <c r="S754" s="293" t="s">
        <v>55</v>
      </c>
      <c r="T754" s="324" t="s">
        <v>55</v>
      </c>
    </row>
    <row r="755" spans="2:26" ht="21.75" customHeight="1" x14ac:dyDescent="0.25">
      <c r="B755" s="627">
        <v>18.3</v>
      </c>
      <c r="C755" s="518" t="s">
        <v>625</v>
      </c>
      <c r="D755" s="233" t="s">
        <v>55</v>
      </c>
      <c r="E755" s="233" t="s">
        <v>55</v>
      </c>
      <c r="F755" s="214">
        <v>1</v>
      </c>
      <c r="G755" s="214">
        <v>2</v>
      </c>
      <c r="H755" s="235">
        <v>17.440000000000001</v>
      </c>
      <c r="I755" s="235">
        <v>3.86</v>
      </c>
      <c r="J755" s="215">
        <f t="shared" si="425"/>
        <v>67.318399999999997</v>
      </c>
      <c r="K755" s="335" t="s">
        <v>559</v>
      </c>
      <c r="L755" s="237" t="s">
        <v>55</v>
      </c>
      <c r="M755" s="238" t="s">
        <v>55</v>
      </c>
      <c r="N755" s="215">
        <f>F755*60+G755*20</f>
        <v>100</v>
      </c>
      <c r="O755" s="220">
        <f>60*F755+20*G755</f>
        <v>100</v>
      </c>
      <c r="P755" s="356">
        <f>N755/J755</f>
        <v>1.4854779673907876</v>
      </c>
      <c r="Q755" s="356">
        <f>O755/J755</f>
        <v>1.4854779673907876</v>
      </c>
      <c r="R755" s="218" t="s">
        <v>55</v>
      </c>
      <c r="S755" s="608" t="s">
        <v>259</v>
      </c>
      <c r="T755" s="520" t="s">
        <v>326</v>
      </c>
      <c r="Z755" s="207">
        <v>2</v>
      </c>
    </row>
    <row r="756" spans="2:26" ht="17.25" customHeight="1" x14ac:dyDescent="0.25">
      <c r="B756" s="684"/>
      <c r="C756" s="518" t="s">
        <v>705</v>
      </c>
      <c r="D756" s="233" t="s">
        <v>55</v>
      </c>
      <c r="E756" s="233" t="s">
        <v>55</v>
      </c>
      <c r="F756" s="224" t="s">
        <v>55</v>
      </c>
      <c r="G756" s="214" t="s">
        <v>55</v>
      </c>
      <c r="H756" s="235" t="s">
        <v>55</v>
      </c>
      <c r="I756" s="235" t="s">
        <v>55</v>
      </c>
      <c r="J756" s="215" t="s">
        <v>55</v>
      </c>
      <c r="K756" s="237" t="s">
        <v>55</v>
      </c>
      <c r="L756" s="237" t="s">
        <v>55</v>
      </c>
      <c r="M756" s="238" t="s">
        <v>55</v>
      </c>
      <c r="N756" s="215" t="s">
        <v>55</v>
      </c>
      <c r="O756" s="220" t="s">
        <v>55</v>
      </c>
      <c r="P756" s="356" t="s">
        <v>55</v>
      </c>
      <c r="Q756" s="356" t="s">
        <v>55</v>
      </c>
      <c r="R756" s="220" t="s">
        <v>55</v>
      </c>
      <c r="S756" s="293" t="s">
        <v>55</v>
      </c>
      <c r="T756" s="324" t="s">
        <v>55</v>
      </c>
    </row>
    <row r="757" spans="2:26" ht="17.25" customHeight="1" x14ac:dyDescent="0.25">
      <c r="B757" s="684"/>
      <c r="C757" s="518" t="s">
        <v>706</v>
      </c>
      <c r="D757" s="233" t="s">
        <v>55</v>
      </c>
      <c r="E757" s="233" t="s">
        <v>55</v>
      </c>
      <c r="F757" s="224" t="s">
        <v>55</v>
      </c>
      <c r="G757" s="214" t="s">
        <v>55</v>
      </c>
      <c r="H757" s="235" t="s">
        <v>55</v>
      </c>
      <c r="I757" s="235" t="s">
        <v>55</v>
      </c>
      <c r="J757" s="215" t="s">
        <v>55</v>
      </c>
      <c r="K757" s="237" t="s">
        <v>55</v>
      </c>
      <c r="L757" s="237" t="s">
        <v>55</v>
      </c>
      <c r="M757" s="238" t="s">
        <v>55</v>
      </c>
      <c r="N757" s="215" t="s">
        <v>55</v>
      </c>
      <c r="O757" s="220" t="s">
        <v>55</v>
      </c>
      <c r="P757" s="356" t="s">
        <v>55</v>
      </c>
      <c r="Q757" s="356" t="s">
        <v>55</v>
      </c>
      <c r="R757" s="220" t="s">
        <v>55</v>
      </c>
      <c r="S757" s="293" t="s">
        <v>55</v>
      </c>
      <c r="T757" s="324" t="s">
        <v>55</v>
      </c>
    </row>
    <row r="758" spans="2:26" ht="33.75" customHeight="1" x14ac:dyDescent="0.25">
      <c r="B758" s="627">
        <v>18.309999999999999</v>
      </c>
      <c r="C758" s="518" t="s">
        <v>625</v>
      </c>
      <c r="D758" s="233" t="s">
        <v>55</v>
      </c>
      <c r="E758" s="233" t="s">
        <v>55</v>
      </c>
      <c r="F758" s="214">
        <v>2</v>
      </c>
      <c r="G758" s="214">
        <v>2</v>
      </c>
      <c r="H758" s="235">
        <v>17.440000000000001</v>
      </c>
      <c r="I758" s="235">
        <v>3.86</v>
      </c>
      <c r="J758" s="215">
        <f t="shared" ref="J758" si="431">H758*I758</f>
        <v>67.318399999999997</v>
      </c>
      <c r="K758" s="335" t="s">
        <v>670</v>
      </c>
      <c r="L758" s="237" t="s">
        <v>55</v>
      </c>
      <c r="M758" s="238" t="s">
        <v>55</v>
      </c>
      <c r="N758" s="215">
        <f>F758*60+G758*20</f>
        <v>160</v>
      </c>
      <c r="O758" s="220">
        <f>60*F758+20*G758</f>
        <v>160</v>
      </c>
      <c r="P758" s="356">
        <f>N758/J758</f>
        <v>2.3767647478252605</v>
      </c>
      <c r="Q758" s="356">
        <f>O758/J758</f>
        <v>2.3767647478252605</v>
      </c>
      <c r="R758" s="218" t="s">
        <v>55</v>
      </c>
      <c r="S758" s="608" t="s">
        <v>259</v>
      </c>
      <c r="T758" s="520" t="s">
        <v>326</v>
      </c>
      <c r="Z758" s="207">
        <v>2</v>
      </c>
    </row>
    <row r="759" spans="2:26" ht="17.25" customHeight="1" x14ac:dyDescent="0.25">
      <c r="B759" s="684"/>
      <c r="C759" s="518" t="s">
        <v>629</v>
      </c>
      <c r="D759" s="233" t="s">
        <v>55</v>
      </c>
      <c r="E759" s="233" t="s">
        <v>55</v>
      </c>
      <c r="F759" s="224" t="s">
        <v>55</v>
      </c>
      <c r="G759" s="214" t="s">
        <v>55</v>
      </c>
      <c r="H759" s="235" t="s">
        <v>55</v>
      </c>
      <c r="I759" s="235" t="s">
        <v>55</v>
      </c>
      <c r="J759" s="215" t="s">
        <v>55</v>
      </c>
      <c r="K759" s="335" t="s">
        <v>55</v>
      </c>
      <c r="L759" s="237" t="s">
        <v>55</v>
      </c>
      <c r="M759" s="238" t="s">
        <v>55</v>
      </c>
      <c r="N759" s="215" t="s">
        <v>55</v>
      </c>
      <c r="O759" s="220" t="s">
        <v>55</v>
      </c>
      <c r="P759" s="356" t="s">
        <v>55</v>
      </c>
      <c r="Q759" s="356" t="s">
        <v>55</v>
      </c>
      <c r="R759" s="220" t="s">
        <v>55</v>
      </c>
      <c r="S759" s="293" t="s">
        <v>55</v>
      </c>
      <c r="T759" s="324" t="s">
        <v>55</v>
      </c>
    </row>
    <row r="760" spans="2:26" ht="17.25" customHeight="1" x14ac:dyDescent="0.25">
      <c r="B760" s="684"/>
      <c r="C760" s="518" t="s">
        <v>630</v>
      </c>
      <c r="D760" s="233" t="s">
        <v>55</v>
      </c>
      <c r="E760" s="233" t="s">
        <v>55</v>
      </c>
      <c r="F760" s="224" t="s">
        <v>55</v>
      </c>
      <c r="G760" s="214" t="s">
        <v>55</v>
      </c>
      <c r="H760" s="235" t="s">
        <v>55</v>
      </c>
      <c r="I760" s="235" t="s">
        <v>55</v>
      </c>
      <c r="J760" s="215" t="s">
        <v>55</v>
      </c>
      <c r="K760" s="335" t="s">
        <v>55</v>
      </c>
      <c r="L760" s="237" t="s">
        <v>55</v>
      </c>
      <c r="M760" s="238" t="s">
        <v>55</v>
      </c>
      <c r="N760" s="215" t="s">
        <v>55</v>
      </c>
      <c r="O760" s="220" t="s">
        <v>55</v>
      </c>
      <c r="P760" s="356" t="s">
        <v>55</v>
      </c>
      <c r="Q760" s="356" t="s">
        <v>55</v>
      </c>
      <c r="R760" s="220" t="s">
        <v>55</v>
      </c>
      <c r="S760" s="293" t="s">
        <v>55</v>
      </c>
      <c r="T760" s="324" t="s">
        <v>55</v>
      </c>
    </row>
    <row r="761" spans="2:26" ht="21" customHeight="1" x14ac:dyDescent="0.25">
      <c r="B761" s="607" t="s">
        <v>631</v>
      </c>
      <c r="C761" s="518" t="s">
        <v>20</v>
      </c>
      <c r="D761" s="233" t="s">
        <v>55</v>
      </c>
      <c r="E761" s="233" t="s">
        <v>55</v>
      </c>
      <c r="F761" s="214" t="s">
        <v>55</v>
      </c>
      <c r="G761" s="214">
        <v>10</v>
      </c>
      <c r="H761" s="235">
        <v>26.8</v>
      </c>
      <c r="I761" s="235">
        <v>3.86</v>
      </c>
      <c r="J761" s="215">
        <f t="shared" ref="J761" si="432">H761*I761</f>
        <v>103.44799999999999</v>
      </c>
      <c r="K761" s="335" t="s">
        <v>558</v>
      </c>
      <c r="L761" s="237" t="s">
        <v>55</v>
      </c>
      <c r="M761" s="238" t="s">
        <v>55</v>
      </c>
      <c r="N761" s="215">
        <f>20*G761</f>
        <v>200</v>
      </c>
      <c r="O761" s="220">
        <f>20*G761</f>
        <v>200</v>
      </c>
      <c r="P761" s="356">
        <f t="shared" ref="P761" si="433">N761/J761</f>
        <v>1.9333384889026373</v>
      </c>
      <c r="Q761" s="356">
        <f t="shared" ref="Q761" si="434">O761/J761</f>
        <v>1.9333384889026373</v>
      </c>
      <c r="R761" s="217" t="s">
        <v>55</v>
      </c>
      <c r="S761" s="608" t="s">
        <v>259</v>
      </c>
      <c r="T761" s="520" t="s">
        <v>326</v>
      </c>
      <c r="Z761" s="207">
        <v>10</v>
      </c>
    </row>
    <row r="762" spans="2:26" ht="33" customHeight="1" x14ac:dyDescent="0.25">
      <c r="B762" s="627">
        <v>18.329999999999998</v>
      </c>
      <c r="C762" s="518" t="s">
        <v>625</v>
      </c>
      <c r="D762" s="233" t="s">
        <v>55</v>
      </c>
      <c r="E762" s="233" t="s">
        <v>55</v>
      </c>
      <c r="F762" s="214">
        <v>2</v>
      </c>
      <c r="G762" s="214">
        <v>2</v>
      </c>
      <c r="H762" s="235">
        <v>25.95</v>
      </c>
      <c r="I762" s="235">
        <v>3.86</v>
      </c>
      <c r="J762" s="215">
        <f>H762*I762</f>
        <v>100.16699999999999</v>
      </c>
      <c r="K762" s="335" t="s">
        <v>670</v>
      </c>
      <c r="L762" s="237" t="s">
        <v>55</v>
      </c>
      <c r="M762" s="238" t="s">
        <v>55</v>
      </c>
      <c r="N762" s="215">
        <f>F762*60+G762*20</f>
        <v>160</v>
      </c>
      <c r="O762" s="220">
        <f>60*F762+20*G762</f>
        <v>160</v>
      </c>
      <c r="P762" s="356">
        <f>N762/J762</f>
        <v>1.5973324548004835</v>
      </c>
      <c r="Q762" s="356">
        <f>O762/J762</f>
        <v>1.5973324548004835</v>
      </c>
      <c r="R762" s="218" t="s">
        <v>55</v>
      </c>
      <c r="S762" s="608" t="s">
        <v>259</v>
      </c>
      <c r="T762" s="520" t="s">
        <v>326</v>
      </c>
      <c r="Z762" s="207">
        <v>2</v>
      </c>
    </row>
    <row r="763" spans="2:26" ht="17.25" customHeight="1" x14ac:dyDescent="0.25">
      <c r="B763" s="684"/>
      <c r="C763" s="518" t="s">
        <v>629</v>
      </c>
      <c r="D763" s="233" t="s">
        <v>55</v>
      </c>
      <c r="E763" s="233" t="s">
        <v>55</v>
      </c>
      <c r="F763" s="224" t="s">
        <v>55</v>
      </c>
      <c r="G763" s="214" t="s">
        <v>55</v>
      </c>
      <c r="H763" s="235" t="s">
        <v>55</v>
      </c>
      <c r="I763" s="235" t="s">
        <v>55</v>
      </c>
      <c r="J763" s="215" t="s">
        <v>55</v>
      </c>
      <c r="K763" s="335" t="s">
        <v>55</v>
      </c>
      <c r="L763" s="237" t="s">
        <v>55</v>
      </c>
      <c r="M763" s="238" t="s">
        <v>55</v>
      </c>
      <c r="N763" s="215" t="s">
        <v>55</v>
      </c>
      <c r="O763" s="220" t="s">
        <v>55</v>
      </c>
      <c r="P763" s="356" t="s">
        <v>55</v>
      </c>
      <c r="Q763" s="356" t="s">
        <v>55</v>
      </c>
      <c r="R763" s="220" t="s">
        <v>55</v>
      </c>
      <c r="S763" s="293" t="s">
        <v>55</v>
      </c>
      <c r="T763" s="324" t="s">
        <v>55</v>
      </c>
    </row>
    <row r="764" spans="2:26" ht="32.25" customHeight="1" x14ac:dyDescent="0.25">
      <c r="B764" s="627">
        <v>18.34</v>
      </c>
      <c r="C764" s="518" t="s">
        <v>541</v>
      </c>
      <c r="D764" s="233" t="s">
        <v>55</v>
      </c>
      <c r="E764" s="233" t="s">
        <v>55</v>
      </c>
      <c r="F764" s="214">
        <v>1</v>
      </c>
      <c r="G764" s="214">
        <v>4</v>
      </c>
      <c r="H764" s="235">
        <v>17.14</v>
      </c>
      <c r="I764" s="235">
        <v>3.86</v>
      </c>
      <c r="J764" s="215">
        <f t="shared" ref="J764" si="435">H764*I764</f>
        <v>66.160399999999996</v>
      </c>
      <c r="K764" s="335" t="s">
        <v>670</v>
      </c>
      <c r="L764" s="237" t="s">
        <v>55</v>
      </c>
      <c r="M764" s="650" t="s">
        <v>55</v>
      </c>
      <c r="N764" s="215">
        <f>F764*60+G764*20</f>
        <v>140</v>
      </c>
      <c r="O764" s="220">
        <f>60*F764+20*G764</f>
        <v>140</v>
      </c>
      <c r="P764" s="356">
        <f>N764/J764</f>
        <v>2.1160694312609962</v>
      </c>
      <c r="Q764" s="356">
        <f>O764/J764</f>
        <v>2.1160694312609962</v>
      </c>
      <c r="R764" s="218" t="s">
        <v>55</v>
      </c>
      <c r="S764" s="608" t="s">
        <v>259</v>
      </c>
      <c r="T764" s="520" t="s">
        <v>326</v>
      </c>
      <c r="Z764" s="207">
        <v>4</v>
      </c>
    </row>
    <row r="765" spans="2:26" ht="17.25" customHeight="1" x14ac:dyDescent="0.25">
      <c r="B765" s="684"/>
      <c r="C765" s="518" t="s">
        <v>633</v>
      </c>
      <c r="D765" s="233" t="s">
        <v>55</v>
      </c>
      <c r="E765" s="233" t="s">
        <v>55</v>
      </c>
      <c r="F765" s="224" t="s">
        <v>55</v>
      </c>
      <c r="G765" s="214" t="s">
        <v>55</v>
      </c>
      <c r="H765" s="235" t="s">
        <v>55</v>
      </c>
      <c r="I765" s="235" t="s">
        <v>55</v>
      </c>
      <c r="J765" s="215" t="s">
        <v>55</v>
      </c>
      <c r="K765" s="335" t="s">
        <v>55</v>
      </c>
      <c r="L765" s="237" t="s">
        <v>55</v>
      </c>
      <c r="M765" s="238" t="s">
        <v>55</v>
      </c>
      <c r="N765" s="215" t="s">
        <v>55</v>
      </c>
      <c r="O765" s="220" t="s">
        <v>55</v>
      </c>
      <c r="P765" s="220" t="s">
        <v>55</v>
      </c>
      <c r="Q765" s="220" t="s">
        <v>55</v>
      </c>
      <c r="R765" s="220" t="s">
        <v>55</v>
      </c>
      <c r="S765" s="293" t="s">
        <v>55</v>
      </c>
      <c r="T765" s="324" t="s">
        <v>55</v>
      </c>
    </row>
    <row r="766" spans="2:26" ht="35.25" customHeight="1" x14ac:dyDescent="0.25">
      <c r="B766" s="627">
        <v>18.350000000000001</v>
      </c>
      <c r="C766" s="518" t="s">
        <v>637</v>
      </c>
      <c r="D766" s="233" t="s">
        <v>55</v>
      </c>
      <c r="E766" s="233" t="s">
        <v>55</v>
      </c>
      <c r="F766" s="214">
        <v>13</v>
      </c>
      <c r="G766" s="214" t="s">
        <v>55</v>
      </c>
      <c r="H766" s="235">
        <v>97.78</v>
      </c>
      <c r="I766" s="235">
        <v>3.86</v>
      </c>
      <c r="J766" s="215">
        <f>H766*I766</f>
        <v>377.43079999999998</v>
      </c>
      <c r="K766" s="335" t="s">
        <v>670</v>
      </c>
      <c r="L766" s="237" t="s">
        <v>55</v>
      </c>
      <c r="M766" s="650" t="s">
        <v>55</v>
      </c>
      <c r="N766" s="215">
        <f>60*F766</f>
        <v>780</v>
      </c>
      <c r="O766" s="220">
        <f>60*F766</f>
        <v>780</v>
      </c>
      <c r="P766" s="356">
        <f>N766/J766</f>
        <v>2.0666039973420296</v>
      </c>
      <c r="Q766" s="356">
        <f t="shared" ref="Q766" si="436">O766/J766</f>
        <v>2.0666039973420296</v>
      </c>
      <c r="R766" s="217" t="s">
        <v>55</v>
      </c>
      <c r="S766" s="608" t="s">
        <v>259</v>
      </c>
      <c r="T766" s="520" t="s">
        <v>326</v>
      </c>
    </row>
    <row r="767" spans="2:26" ht="43.5" customHeight="1" x14ac:dyDescent="0.25">
      <c r="B767" s="627">
        <v>18.36</v>
      </c>
      <c r="C767" s="518" t="s">
        <v>625</v>
      </c>
      <c r="D767" s="233" t="s">
        <v>55</v>
      </c>
      <c r="E767" s="233" t="s">
        <v>55</v>
      </c>
      <c r="F767" s="214">
        <v>1</v>
      </c>
      <c r="G767" s="214">
        <v>2</v>
      </c>
      <c r="H767" s="235">
        <v>19.489999999999998</v>
      </c>
      <c r="I767" s="235">
        <v>3.86</v>
      </c>
      <c r="J767" s="215">
        <f>H767*I767</f>
        <v>75.231399999999994</v>
      </c>
      <c r="K767" s="335" t="s">
        <v>670</v>
      </c>
      <c r="L767" s="237" t="s">
        <v>55</v>
      </c>
      <c r="M767" s="650" t="s">
        <v>55</v>
      </c>
      <c r="N767" s="215">
        <f>F767*60+G767*20</f>
        <v>100</v>
      </c>
      <c r="O767" s="220">
        <f>60*F767+20*G767</f>
        <v>100</v>
      </c>
      <c r="P767" s="356">
        <f>N767/J767</f>
        <v>1.3292322088915003</v>
      </c>
      <c r="Q767" s="356">
        <f t="shared" ref="Q767" si="437">O767/J767</f>
        <v>1.3292322088915003</v>
      </c>
      <c r="R767" s="217" t="s">
        <v>55</v>
      </c>
      <c r="S767" s="608" t="s">
        <v>259</v>
      </c>
      <c r="T767" s="520" t="s">
        <v>326</v>
      </c>
      <c r="Z767" s="207">
        <v>2</v>
      </c>
    </row>
    <row r="768" spans="2:26" ht="17.25" customHeight="1" x14ac:dyDescent="0.25">
      <c r="B768" s="684"/>
      <c r="C768" s="518" t="s">
        <v>624</v>
      </c>
      <c r="D768" s="233" t="s">
        <v>55</v>
      </c>
      <c r="E768" s="233" t="s">
        <v>55</v>
      </c>
      <c r="F768" s="224" t="s">
        <v>55</v>
      </c>
      <c r="G768" s="214" t="s">
        <v>55</v>
      </c>
      <c r="H768" s="235" t="s">
        <v>55</v>
      </c>
      <c r="I768" s="235" t="s">
        <v>55</v>
      </c>
      <c r="J768" s="215" t="s">
        <v>55</v>
      </c>
      <c r="K768" s="335" t="s">
        <v>55</v>
      </c>
      <c r="L768" s="237" t="s">
        <v>55</v>
      </c>
      <c r="M768" s="238" t="s">
        <v>55</v>
      </c>
      <c r="N768" s="215" t="s">
        <v>55</v>
      </c>
      <c r="O768" s="220" t="s">
        <v>55</v>
      </c>
      <c r="P768" s="356" t="s">
        <v>55</v>
      </c>
      <c r="Q768" s="356" t="s">
        <v>55</v>
      </c>
      <c r="R768" s="220" t="s">
        <v>55</v>
      </c>
      <c r="S768" s="293" t="s">
        <v>55</v>
      </c>
      <c r="T768" s="324" t="s">
        <v>55</v>
      </c>
    </row>
    <row r="769" spans="2:26" ht="17.25" customHeight="1" x14ac:dyDescent="0.25">
      <c r="B769" s="684"/>
      <c r="C769" s="518" t="s">
        <v>634</v>
      </c>
      <c r="D769" s="233" t="s">
        <v>55</v>
      </c>
      <c r="E769" s="233" t="s">
        <v>55</v>
      </c>
      <c r="F769" s="224" t="s">
        <v>55</v>
      </c>
      <c r="G769" s="214" t="s">
        <v>55</v>
      </c>
      <c r="H769" s="235" t="s">
        <v>55</v>
      </c>
      <c r="I769" s="235" t="s">
        <v>55</v>
      </c>
      <c r="J769" s="215" t="s">
        <v>55</v>
      </c>
      <c r="K769" s="335" t="s">
        <v>55</v>
      </c>
      <c r="L769" s="237" t="s">
        <v>55</v>
      </c>
      <c r="M769" s="238" t="s">
        <v>55</v>
      </c>
      <c r="N769" s="215" t="s">
        <v>55</v>
      </c>
      <c r="O769" s="220" t="s">
        <v>55</v>
      </c>
      <c r="P769" s="356" t="s">
        <v>55</v>
      </c>
      <c r="Q769" s="356" t="s">
        <v>55</v>
      </c>
      <c r="R769" s="220" t="s">
        <v>55</v>
      </c>
      <c r="S769" s="293" t="s">
        <v>55</v>
      </c>
      <c r="T769" s="324" t="s">
        <v>55</v>
      </c>
    </row>
    <row r="770" spans="2:26" ht="39" customHeight="1" x14ac:dyDescent="0.25">
      <c r="B770" s="627">
        <v>18.37</v>
      </c>
      <c r="C770" s="518" t="s">
        <v>625</v>
      </c>
      <c r="D770" s="233" t="s">
        <v>55</v>
      </c>
      <c r="E770" s="233" t="s">
        <v>55</v>
      </c>
      <c r="F770" s="214">
        <v>1</v>
      </c>
      <c r="G770" s="214">
        <v>2</v>
      </c>
      <c r="H770" s="235">
        <v>21.83</v>
      </c>
      <c r="I770" s="235">
        <v>3.86</v>
      </c>
      <c r="J770" s="215">
        <f>H770*I770</f>
        <v>84.263799999999989</v>
      </c>
      <c r="K770" s="335" t="s">
        <v>670</v>
      </c>
      <c r="L770" s="237" t="s">
        <v>55</v>
      </c>
      <c r="M770" s="650" t="s">
        <v>55</v>
      </c>
      <c r="N770" s="215">
        <f>F770*60+G770*20</f>
        <v>100</v>
      </c>
      <c r="O770" s="220">
        <f>60*F770+20*G770</f>
        <v>100</v>
      </c>
      <c r="P770" s="356">
        <f>N770/J770</f>
        <v>1.1867492327666211</v>
      </c>
      <c r="Q770" s="356">
        <f t="shared" ref="Q770" si="438">O770/J770</f>
        <v>1.1867492327666211</v>
      </c>
      <c r="R770" s="217" t="s">
        <v>55</v>
      </c>
      <c r="S770" s="608" t="s">
        <v>259</v>
      </c>
      <c r="T770" s="520" t="s">
        <v>326</v>
      </c>
      <c r="Z770" s="207">
        <v>2</v>
      </c>
    </row>
    <row r="771" spans="2:26" ht="17.25" customHeight="1" x14ac:dyDescent="0.25">
      <c r="B771" s="684"/>
      <c r="C771" s="518" t="s">
        <v>624</v>
      </c>
      <c r="D771" s="233" t="s">
        <v>55</v>
      </c>
      <c r="E771" s="233" t="s">
        <v>55</v>
      </c>
      <c r="F771" s="224" t="s">
        <v>55</v>
      </c>
      <c r="G771" s="214" t="s">
        <v>55</v>
      </c>
      <c r="H771" s="235" t="s">
        <v>55</v>
      </c>
      <c r="I771" s="235" t="s">
        <v>55</v>
      </c>
      <c r="J771" s="215" t="s">
        <v>55</v>
      </c>
      <c r="K771" s="335" t="s">
        <v>55</v>
      </c>
      <c r="L771" s="237" t="s">
        <v>55</v>
      </c>
      <c r="M771" s="238" t="s">
        <v>55</v>
      </c>
      <c r="N771" s="215" t="s">
        <v>55</v>
      </c>
      <c r="O771" s="220" t="s">
        <v>55</v>
      </c>
      <c r="P771" s="356" t="s">
        <v>55</v>
      </c>
      <c r="Q771" s="356" t="s">
        <v>55</v>
      </c>
      <c r="R771" s="220" t="s">
        <v>55</v>
      </c>
      <c r="S771" s="293" t="s">
        <v>55</v>
      </c>
      <c r="T771" s="324" t="s">
        <v>55</v>
      </c>
    </row>
    <row r="772" spans="2:26" ht="17.25" customHeight="1" x14ac:dyDescent="0.25">
      <c r="B772" s="684"/>
      <c r="C772" s="518" t="s">
        <v>635</v>
      </c>
      <c r="D772" s="233" t="s">
        <v>55</v>
      </c>
      <c r="E772" s="233" t="s">
        <v>55</v>
      </c>
      <c r="F772" s="224" t="s">
        <v>55</v>
      </c>
      <c r="G772" s="214" t="s">
        <v>55</v>
      </c>
      <c r="H772" s="235" t="s">
        <v>55</v>
      </c>
      <c r="I772" s="235" t="s">
        <v>55</v>
      </c>
      <c r="J772" s="215" t="s">
        <v>55</v>
      </c>
      <c r="K772" s="237" t="s">
        <v>55</v>
      </c>
      <c r="L772" s="237" t="s">
        <v>55</v>
      </c>
      <c r="M772" s="238" t="s">
        <v>55</v>
      </c>
      <c r="N772" s="215" t="s">
        <v>55</v>
      </c>
      <c r="O772" s="220" t="s">
        <v>55</v>
      </c>
      <c r="P772" s="356" t="s">
        <v>55</v>
      </c>
      <c r="Q772" s="356" t="s">
        <v>55</v>
      </c>
      <c r="R772" s="220" t="s">
        <v>55</v>
      </c>
      <c r="S772" s="293" t="s">
        <v>55</v>
      </c>
      <c r="T772" s="324" t="s">
        <v>55</v>
      </c>
    </row>
    <row r="773" spans="2:26" ht="27.75" customHeight="1" x14ac:dyDescent="0.25">
      <c r="B773" s="627">
        <v>18.38</v>
      </c>
      <c r="C773" s="518" t="s">
        <v>636</v>
      </c>
      <c r="D773" s="233" t="s">
        <v>55</v>
      </c>
      <c r="E773" s="233" t="s">
        <v>55</v>
      </c>
      <c r="F773" s="214">
        <v>42</v>
      </c>
      <c r="G773" s="214" t="s">
        <v>55</v>
      </c>
      <c r="H773" s="235">
        <v>297.94</v>
      </c>
      <c r="I773" s="235">
        <v>3.86</v>
      </c>
      <c r="J773" s="215">
        <f t="shared" ref="J773:J774" si="439">H773*I773</f>
        <v>1150.0483999999999</v>
      </c>
      <c r="K773" s="335" t="s">
        <v>559</v>
      </c>
      <c r="L773" s="237" t="s">
        <v>55</v>
      </c>
      <c r="M773" s="650" t="s">
        <v>55</v>
      </c>
      <c r="N773" s="215">
        <f>60*F773</f>
        <v>2520</v>
      </c>
      <c r="O773" s="220">
        <f>60*F773-O743-O744</f>
        <v>2450</v>
      </c>
      <c r="P773" s="356">
        <f>N773/J773</f>
        <v>2.1912121263765942</v>
      </c>
      <c r="Q773" s="356">
        <f>O773/J773</f>
        <v>2.1303451228661334</v>
      </c>
      <c r="R773" s="218" t="s">
        <v>55</v>
      </c>
      <c r="S773" s="608" t="s">
        <v>259</v>
      </c>
      <c r="T773" s="520" t="s">
        <v>326</v>
      </c>
    </row>
    <row r="774" spans="2:26" ht="35.25" customHeight="1" x14ac:dyDescent="0.25">
      <c r="B774" s="627">
        <v>18.39</v>
      </c>
      <c r="C774" s="518" t="s">
        <v>625</v>
      </c>
      <c r="D774" s="233" t="s">
        <v>55</v>
      </c>
      <c r="E774" s="233" t="s">
        <v>55</v>
      </c>
      <c r="F774" s="214">
        <v>1</v>
      </c>
      <c r="G774" s="214">
        <v>2</v>
      </c>
      <c r="H774" s="235">
        <v>20.51</v>
      </c>
      <c r="I774" s="235">
        <v>3.86</v>
      </c>
      <c r="J774" s="215">
        <f t="shared" si="439"/>
        <v>79.168599999999998</v>
      </c>
      <c r="K774" s="335" t="s">
        <v>670</v>
      </c>
      <c r="L774" s="237" t="s">
        <v>55</v>
      </c>
      <c r="M774" s="650" t="s">
        <v>55</v>
      </c>
      <c r="N774" s="215">
        <f>F774*60+G774*20</f>
        <v>100</v>
      </c>
      <c r="O774" s="220">
        <f>60*F774+20*G774</f>
        <v>100</v>
      </c>
      <c r="P774" s="356">
        <f>N774/J774</f>
        <v>1.2631270478447263</v>
      </c>
      <c r="Q774" s="356">
        <f t="shared" ref="Q774" si="440">O774/J774</f>
        <v>1.2631270478447263</v>
      </c>
      <c r="R774" s="217" t="s">
        <v>55</v>
      </c>
      <c r="S774" s="608" t="s">
        <v>259</v>
      </c>
      <c r="T774" s="520" t="s">
        <v>326</v>
      </c>
      <c r="Z774" s="207">
        <v>2</v>
      </c>
    </row>
    <row r="775" spans="2:26" ht="17.25" customHeight="1" x14ac:dyDescent="0.25">
      <c r="B775" s="684"/>
      <c r="C775" s="518" t="s">
        <v>624</v>
      </c>
      <c r="D775" s="233" t="s">
        <v>55</v>
      </c>
      <c r="E775" s="233" t="s">
        <v>55</v>
      </c>
      <c r="F775" s="224" t="s">
        <v>55</v>
      </c>
      <c r="G775" s="214" t="s">
        <v>55</v>
      </c>
      <c r="H775" s="235" t="s">
        <v>55</v>
      </c>
      <c r="I775" s="235" t="s">
        <v>55</v>
      </c>
      <c r="J775" s="215" t="s">
        <v>55</v>
      </c>
      <c r="K775" s="335" t="s">
        <v>55</v>
      </c>
      <c r="L775" s="237" t="s">
        <v>55</v>
      </c>
      <c r="M775" s="238" t="s">
        <v>55</v>
      </c>
      <c r="N775" s="215" t="s">
        <v>55</v>
      </c>
      <c r="O775" s="220" t="s">
        <v>55</v>
      </c>
      <c r="P775" s="356" t="s">
        <v>55</v>
      </c>
      <c r="Q775" s="356" t="s">
        <v>55</v>
      </c>
      <c r="R775" s="220" t="s">
        <v>55</v>
      </c>
      <c r="S775" s="293" t="s">
        <v>55</v>
      </c>
      <c r="T775" s="324" t="s">
        <v>55</v>
      </c>
    </row>
    <row r="776" spans="2:26" ht="17.25" customHeight="1" x14ac:dyDescent="0.25">
      <c r="B776" s="784"/>
      <c r="C776" s="518" t="s">
        <v>638</v>
      </c>
      <c r="D776" s="233" t="s">
        <v>55</v>
      </c>
      <c r="E776" s="233" t="s">
        <v>55</v>
      </c>
      <c r="F776" s="224" t="s">
        <v>55</v>
      </c>
      <c r="G776" s="214" t="s">
        <v>55</v>
      </c>
      <c r="H776" s="235" t="s">
        <v>55</v>
      </c>
      <c r="I776" s="235" t="s">
        <v>55</v>
      </c>
      <c r="J776" s="215" t="s">
        <v>55</v>
      </c>
      <c r="K776" s="335" t="s">
        <v>55</v>
      </c>
      <c r="L776" s="237" t="s">
        <v>55</v>
      </c>
      <c r="M776" s="238" t="s">
        <v>55</v>
      </c>
      <c r="N776" s="215" t="s">
        <v>55</v>
      </c>
      <c r="O776" s="220" t="s">
        <v>55</v>
      </c>
      <c r="P776" s="356" t="s">
        <v>55</v>
      </c>
      <c r="Q776" s="356" t="s">
        <v>55</v>
      </c>
      <c r="R776" s="220" t="s">
        <v>55</v>
      </c>
      <c r="S776" s="293" t="s">
        <v>55</v>
      </c>
      <c r="T776" s="324" t="s">
        <v>55</v>
      </c>
    </row>
    <row r="777" spans="2:26" ht="21.75" customHeight="1" x14ac:dyDescent="0.25">
      <c r="B777" s="627">
        <v>18.399999999999999</v>
      </c>
      <c r="C777" s="518" t="s">
        <v>639</v>
      </c>
      <c r="D777" s="233" t="s">
        <v>55</v>
      </c>
      <c r="E777" s="233" t="s">
        <v>55</v>
      </c>
      <c r="F777" s="214">
        <v>10</v>
      </c>
      <c r="G777" s="214" t="s">
        <v>55</v>
      </c>
      <c r="H777" s="235">
        <v>189.74</v>
      </c>
      <c r="I777" s="235">
        <v>3.86</v>
      </c>
      <c r="J777" s="215">
        <f t="shared" ref="J777" si="441">H777*I777</f>
        <v>732.39639999999997</v>
      </c>
      <c r="K777" s="335" t="s">
        <v>559</v>
      </c>
      <c r="L777" s="237" t="s">
        <v>55</v>
      </c>
      <c r="M777" s="650" t="s">
        <v>55</v>
      </c>
      <c r="N777" s="215">
        <f>60*F777</f>
        <v>600</v>
      </c>
      <c r="O777" s="220">
        <f>60*F777-O746-O747-O787</f>
        <v>460</v>
      </c>
      <c r="P777" s="356">
        <f>N777/J777</f>
        <v>0.81922849429625821</v>
      </c>
      <c r="Q777" s="356">
        <f>O777/J777</f>
        <v>0.62807517896046461</v>
      </c>
      <c r="R777" s="218" t="s">
        <v>55</v>
      </c>
      <c r="S777" s="608" t="s">
        <v>259</v>
      </c>
      <c r="T777" s="520" t="s">
        <v>326</v>
      </c>
    </row>
    <row r="778" spans="2:26" ht="21.75" customHeight="1" x14ac:dyDescent="0.25">
      <c r="B778" s="760">
        <v>18.41</v>
      </c>
      <c r="C778" s="518" t="s">
        <v>640</v>
      </c>
      <c r="D778" s="233" t="s">
        <v>55</v>
      </c>
      <c r="E778" s="233" t="s">
        <v>55</v>
      </c>
      <c r="F778" s="214">
        <v>5</v>
      </c>
      <c r="G778" s="214" t="s">
        <v>55</v>
      </c>
      <c r="H778" s="235">
        <v>32.049999999999997</v>
      </c>
      <c r="I778" s="235">
        <v>3.86</v>
      </c>
      <c r="J778" s="215">
        <f t="shared" ref="J778" si="442">H778*I778</f>
        <v>123.71299999999998</v>
      </c>
      <c r="K778" s="335" t="s">
        <v>559</v>
      </c>
      <c r="L778" s="237" t="s">
        <v>55</v>
      </c>
      <c r="M778" s="650" t="s">
        <v>55</v>
      </c>
      <c r="N778" s="215">
        <f>60*F778</f>
        <v>300</v>
      </c>
      <c r="O778" s="220">
        <f>60*F778</f>
        <v>300</v>
      </c>
      <c r="P778" s="356">
        <f>N778/J778</f>
        <v>2.4249674650198445</v>
      </c>
      <c r="Q778" s="356">
        <f>O778/J778</f>
        <v>2.4249674650198445</v>
      </c>
      <c r="R778" s="218" t="s">
        <v>55</v>
      </c>
      <c r="S778" s="608" t="s">
        <v>259</v>
      </c>
      <c r="T778" s="520" t="s">
        <v>326</v>
      </c>
    </row>
    <row r="779" spans="2:26" ht="21.75" customHeight="1" x14ac:dyDescent="0.25">
      <c r="B779" s="760"/>
      <c r="C779" s="518" t="s">
        <v>641</v>
      </c>
      <c r="D779" s="233" t="s">
        <v>55</v>
      </c>
      <c r="E779" s="233" t="s">
        <v>55</v>
      </c>
      <c r="F779" s="224" t="s">
        <v>55</v>
      </c>
      <c r="G779" s="214" t="s">
        <v>55</v>
      </c>
      <c r="H779" s="235" t="s">
        <v>55</v>
      </c>
      <c r="I779" s="235" t="s">
        <v>55</v>
      </c>
      <c r="J779" s="215" t="s">
        <v>55</v>
      </c>
      <c r="K779" s="335" t="s">
        <v>55</v>
      </c>
      <c r="L779" s="237" t="s">
        <v>55</v>
      </c>
      <c r="M779" s="238" t="s">
        <v>55</v>
      </c>
      <c r="N779" s="215" t="s">
        <v>55</v>
      </c>
      <c r="O779" s="220" t="s">
        <v>55</v>
      </c>
      <c r="P779" s="220" t="s">
        <v>55</v>
      </c>
      <c r="Q779" s="220" t="s">
        <v>55</v>
      </c>
      <c r="R779" s="220" t="s">
        <v>55</v>
      </c>
      <c r="S779" s="293" t="s">
        <v>55</v>
      </c>
      <c r="T779" s="324" t="s">
        <v>55</v>
      </c>
    </row>
    <row r="780" spans="2:26" ht="17.25" customHeight="1" x14ac:dyDescent="0.25">
      <c r="B780" s="784"/>
      <c r="C780" s="518" t="s">
        <v>642</v>
      </c>
      <c r="D780" s="233" t="s">
        <v>55</v>
      </c>
      <c r="E780" s="233" t="s">
        <v>55</v>
      </c>
      <c r="F780" s="224" t="s">
        <v>55</v>
      </c>
      <c r="G780" s="214" t="s">
        <v>55</v>
      </c>
      <c r="H780" s="235" t="s">
        <v>55</v>
      </c>
      <c r="I780" s="235" t="s">
        <v>55</v>
      </c>
      <c r="J780" s="215" t="s">
        <v>55</v>
      </c>
      <c r="K780" s="335" t="s">
        <v>55</v>
      </c>
      <c r="L780" s="237" t="s">
        <v>55</v>
      </c>
      <c r="M780" s="238" t="s">
        <v>55</v>
      </c>
      <c r="N780" s="215" t="s">
        <v>55</v>
      </c>
      <c r="O780" s="220" t="s">
        <v>55</v>
      </c>
      <c r="P780" s="220" t="s">
        <v>55</v>
      </c>
      <c r="Q780" s="220" t="s">
        <v>55</v>
      </c>
      <c r="R780" s="220" t="s">
        <v>55</v>
      </c>
      <c r="S780" s="293" t="s">
        <v>55</v>
      </c>
      <c r="T780" s="324" t="s">
        <v>55</v>
      </c>
    </row>
    <row r="781" spans="2:26" ht="24" customHeight="1" x14ac:dyDescent="0.25">
      <c r="B781" s="760">
        <v>18.420000000000002</v>
      </c>
      <c r="C781" s="518" t="s">
        <v>643</v>
      </c>
      <c r="D781" s="233" t="s">
        <v>55</v>
      </c>
      <c r="E781" s="233" t="s">
        <v>55</v>
      </c>
      <c r="F781" s="214">
        <v>5</v>
      </c>
      <c r="G781" s="214" t="s">
        <v>55</v>
      </c>
      <c r="H781" s="235">
        <v>34.520000000000003</v>
      </c>
      <c r="I781" s="235">
        <v>3.86</v>
      </c>
      <c r="J781" s="215">
        <f t="shared" ref="J781" si="443">H781*I781</f>
        <v>133.24720000000002</v>
      </c>
      <c r="K781" s="335" t="s">
        <v>559</v>
      </c>
      <c r="L781" s="237" t="s">
        <v>55</v>
      </c>
      <c r="M781" s="650" t="s">
        <v>55</v>
      </c>
      <c r="N781" s="215">
        <f>60*F781</f>
        <v>300</v>
      </c>
      <c r="O781" s="220">
        <f>60*F781</f>
        <v>300</v>
      </c>
      <c r="P781" s="356">
        <f>N781/J781</f>
        <v>2.2514544395679605</v>
      </c>
      <c r="Q781" s="356">
        <f>O781/J781</f>
        <v>2.2514544395679605</v>
      </c>
      <c r="R781" s="218" t="s">
        <v>55</v>
      </c>
      <c r="S781" s="608" t="s">
        <v>259</v>
      </c>
      <c r="T781" s="520" t="s">
        <v>326</v>
      </c>
    </row>
    <row r="782" spans="2:26" ht="17.25" customHeight="1" x14ac:dyDescent="0.25">
      <c r="B782" s="784"/>
      <c r="C782" s="518" t="s">
        <v>644</v>
      </c>
      <c r="D782" s="233" t="s">
        <v>55</v>
      </c>
      <c r="E782" s="233" t="s">
        <v>55</v>
      </c>
      <c r="F782" s="224" t="s">
        <v>55</v>
      </c>
      <c r="G782" s="214" t="s">
        <v>55</v>
      </c>
      <c r="H782" s="235" t="s">
        <v>55</v>
      </c>
      <c r="I782" s="235" t="s">
        <v>55</v>
      </c>
      <c r="J782" s="215" t="s">
        <v>55</v>
      </c>
      <c r="K782" s="335" t="s">
        <v>55</v>
      </c>
      <c r="L782" s="237" t="s">
        <v>55</v>
      </c>
      <c r="M782" s="238" t="s">
        <v>55</v>
      </c>
      <c r="N782" s="215" t="s">
        <v>55</v>
      </c>
      <c r="O782" s="220" t="s">
        <v>55</v>
      </c>
      <c r="P782" s="356" t="s">
        <v>55</v>
      </c>
      <c r="Q782" s="356" t="s">
        <v>55</v>
      </c>
      <c r="R782" s="220" t="s">
        <v>55</v>
      </c>
      <c r="S782" s="293" t="s">
        <v>55</v>
      </c>
      <c r="T782" s="324" t="s">
        <v>55</v>
      </c>
    </row>
    <row r="783" spans="2:26" ht="28.5" customHeight="1" x14ac:dyDescent="0.25">
      <c r="B783" s="760">
        <v>18.43</v>
      </c>
      <c r="C783" s="518" t="s">
        <v>645</v>
      </c>
      <c r="D783" s="233" t="s">
        <v>55</v>
      </c>
      <c r="E783" s="233" t="s">
        <v>55</v>
      </c>
      <c r="F783" s="214">
        <v>4</v>
      </c>
      <c r="G783" s="214" t="s">
        <v>55</v>
      </c>
      <c r="H783" s="235">
        <v>25.54</v>
      </c>
      <c r="I783" s="235">
        <v>3.86</v>
      </c>
      <c r="J783" s="215">
        <f t="shared" ref="J783" si="444">H783*I783</f>
        <v>98.584399999999988</v>
      </c>
      <c r="K783" s="335" t="s">
        <v>559</v>
      </c>
      <c r="L783" s="237" t="s">
        <v>55</v>
      </c>
      <c r="M783" s="650" t="s">
        <v>55</v>
      </c>
      <c r="N783" s="215">
        <f>60*F783</f>
        <v>240</v>
      </c>
      <c r="O783" s="220">
        <f>60*F783</f>
        <v>240</v>
      </c>
      <c r="P783" s="356">
        <f>N783/J783</f>
        <v>2.4344622475766959</v>
      </c>
      <c r="Q783" s="356">
        <f>O783/J783</f>
        <v>2.4344622475766959</v>
      </c>
      <c r="R783" s="218" t="s">
        <v>55</v>
      </c>
      <c r="S783" s="608" t="s">
        <v>259</v>
      </c>
      <c r="T783" s="520" t="s">
        <v>326</v>
      </c>
    </row>
    <row r="784" spans="2:26" ht="17.25" customHeight="1" x14ac:dyDescent="0.25">
      <c r="B784" s="784"/>
      <c r="C784" s="518" t="s">
        <v>646</v>
      </c>
      <c r="D784" s="233" t="s">
        <v>55</v>
      </c>
      <c r="E784" s="233" t="s">
        <v>55</v>
      </c>
      <c r="F784" s="233" t="s">
        <v>55</v>
      </c>
      <c r="G784" s="233" t="s">
        <v>55</v>
      </c>
      <c r="H784" s="233" t="s">
        <v>55</v>
      </c>
      <c r="I784" s="233" t="s">
        <v>55</v>
      </c>
      <c r="J784" s="233" t="s">
        <v>55</v>
      </c>
      <c r="K784" s="233" t="s">
        <v>55</v>
      </c>
      <c r="L784" s="233" t="s">
        <v>55</v>
      </c>
      <c r="M784" s="233" t="s">
        <v>55</v>
      </c>
      <c r="N784" s="233" t="s">
        <v>55</v>
      </c>
      <c r="O784" s="233" t="s">
        <v>55</v>
      </c>
      <c r="P784" s="233" t="s">
        <v>55</v>
      </c>
      <c r="Q784" s="233" t="s">
        <v>55</v>
      </c>
      <c r="R784" s="233" t="s">
        <v>55</v>
      </c>
      <c r="S784" s="233" t="s">
        <v>55</v>
      </c>
      <c r="T784" s="250" t="s">
        <v>55</v>
      </c>
      <c r="U784" s="282" t="s">
        <v>55</v>
      </c>
      <c r="V784" s="233" t="s">
        <v>55</v>
      </c>
      <c r="W784" s="233" t="s">
        <v>55</v>
      </c>
      <c r="X784" s="233" t="s">
        <v>55</v>
      </c>
      <c r="Y784" s="233" t="s">
        <v>55</v>
      </c>
    </row>
    <row r="785" spans="2:27" ht="17.25" customHeight="1" x14ac:dyDescent="0.25">
      <c r="B785" s="784"/>
      <c r="C785" s="518" t="s">
        <v>647</v>
      </c>
      <c r="D785" s="233" t="s">
        <v>55</v>
      </c>
      <c r="E785" s="233" t="s">
        <v>55</v>
      </c>
      <c r="F785" s="233" t="s">
        <v>55</v>
      </c>
      <c r="G785" s="233" t="s">
        <v>55</v>
      </c>
      <c r="H785" s="233" t="s">
        <v>55</v>
      </c>
      <c r="I785" s="233" t="s">
        <v>55</v>
      </c>
      <c r="J785" s="233" t="s">
        <v>55</v>
      </c>
      <c r="K785" s="233" t="s">
        <v>55</v>
      </c>
      <c r="L785" s="233" t="s">
        <v>55</v>
      </c>
      <c r="M785" s="233" t="s">
        <v>55</v>
      </c>
      <c r="N785" s="233" t="s">
        <v>55</v>
      </c>
      <c r="O785" s="233" t="s">
        <v>55</v>
      </c>
      <c r="P785" s="233" t="s">
        <v>55</v>
      </c>
      <c r="Q785" s="233" t="s">
        <v>55</v>
      </c>
      <c r="R785" s="233" t="s">
        <v>55</v>
      </c>
      <c r="S785" s="233" t="s">
        <v>55</v>
      </c>
      <c r="T785" s="250" t="s">
        <v>55</v>
      </c>
    </row>
    <row r="786" spans="2:27" ht="17.25" customHeight="1" x14ac:dyDescent="0.25">
      <c r="B786" s="760">
        <v>18.440000000000001</v>
      </c>
      <c r="C786" s="518" t="s">
        <v>95</v>
      </c>
      <c r="D786" s="233" t="s">
        <v>55</v>
      </c>
      <c r="E786" s="233" t="s">
        <v>55</v>
      </c>
      <c r="F786" s="214" t="s">
        <v>55</v>
      </c>
      <c r="G786" s="214" t="s">
        <v>55</v>
      </c>
      <c r="H786" s="235">
        <v>13.53</v>
      </c>
      <c r="I786" s="235">
        <v>3.86</v>
      </c>
      <c r="J786" s="215">
        <f t="shared" ref="J786" si="445">H786*I786</f>
        <v>52.225799999999992</v>
      </c>
      <c r="K786" s="237" t="s">
        <v>55</v>
      </c>
      <c r="L786" s="237">
        <v>1</v>
      </c>
      <c r="M786" s="650" t="s">
        <v>55</v>
      </c>
      <c r="N786" s="215" t="s">
        <v>55</v>
      </c>
      <c r="O786" s="220">
        <f t="shared" ref="O786" si="446">CEILING((J786*L786),10)</f>
        <v>60</v>
      </c>
      <c r="P786" s="356" t="s">
        <v>55</v>
      </c>
      <c r="Q786" s="356">
        <f t="shared" ref="Q786" si="447">O786/J786</f>
        <v>1.1488574612547824</v>
      </c>
      <c r="R786" s="217" t="s">
        <v>55</v>
      </c>
      <c r="S786" s="608" t="s">
        <v>55</v>
      </c>
      <c r="T786" s="520" t="s">
        <v>326</v>
      </c>
      <c r="Z786" s="296" t="s">
        <v>648</v>
      </c>
      <c r="AA786" s="206" t="s">
        <v>603</v>
      </c>
    </row>
    <row r="787" spans="2:27" ht="17.25" customHeight="1" x14ac:dyDescent="0.25">
      <c r="B787" s="760">
        <v>18.45</v>
      </c>
      <c r="C787" s="518" t="s">
        <v>54</v>
      </c>
      <c r="D787" s="233" t="s">
        <v>303</v>
      </c>
      <c r="E787" s="233" t="s">
        <v>55</v>
      </c>
      <c r="F787" s="214" t="s">
        <v>55</v>
      </c>
      <c r="G787" s="214" t="s">
        <v>55</v>
      </c>
      <c r="H787" s="235">
        <v>10.4</v>
      </c>
      <c r="I787" s="235">
        <v>3.86</v>
      </c>
      <c r="J787" s="215">
        <f t="shared" ref="J787:J788" si="448">H787*I787</f>
        <v>40.143999999999998</v>
      </c>
      <c r="K787" s="237" t="s">
        <v>55</v>
      </c>
      <c r="L787" s="237">
        <v>1</v>
      </c>
      <c r="M787" s="650" t="s">
        <v>55</v>
      </c>
      <c r="N787" s="215" t="s">
        <v>55</v>
      </c>
      <c r="O787" s="220">
        <f t="shared" ref="O787" si="449">CEILING((J787*L787),10)</f>
        <v>50</v>
      </c>
      <c r="P787" s="356" t="s">
        <v>55</v>
      </c>
      <c r="Q787" s="356">
        <f t="shared" ref="Q787:Q788" si="450">O787/J787</f>
        <v>1.2455161418891989</v>
      </c>
      <c r="R787" s="217" t="s">
        <v>55</v>
      </c>
      <c r="S787" s="608" t="s">
        <v>55</v>
      </c>
      <c r="T787" s="520" t="s">
        <v>326</v>
      </c>
      <c r="Z787" s="296" t="s">
        <v>621</v>
      </c>
      <c r="AA787" s="206" t="s">
        <v>604</v>
      </c>
    </row>
    <row r="788" spans="2:27" ht="24" customHeight="1" x14ac:dyDescent="0.25">
      <c r="B788" s="760">
        <v>18.46</v>
      </c>
      <c r="C788" s="518" t="s">
        <v>20</v>
      </c>
      <c r="D788" s="233" t="s">
        <v>55</v>
      </c>
      <c r="E788" s="233" t="s">
        <v>55</v>
      </c>
      <c r="F788" s="214" t="s">
        <v>55</v>
      </c>
      <c r="G788" s="214">
        <v>5</v>
      </c>
      <c r="H788" s="235">
        <v>12.86</v>
      </c>
      <c r="I788" s="235">
        <v>3.86</v>
      </c>
      <c r="J788" s="215">
        <f t="shared" si="448"/>
        <v>49.639599999999994</v>
      </c>
      <c r="K788" s="335" t="s">
        <v>558</v>
      </c>
      <c r="L788" s="237" t="s">
        <v>55</v>
      </c>
      <c r="M788" s="238" t="s">
        <v>55</v>
      </c>
      <c r="N788" s="215">
        <f>20*G788</f>
        <v>100</v>
      </c>
      <c r="O788" s="220">
        <f>20*G788</f>
        <v>100</v>
      </c>
      <c r="P788" s="356">
        <f t="shared" ref="P788" si="451">N788/J788</f>
        <v>2.0145206649529812</v>
      </c>
      <c r="Q788" s="356">
        <f t="shared" si="450"/>
        <v>2.0145206649529812</v>
      </c>
      <c r="R788" s="217" t="s">
        <v>55</v>
      </c>
      <c r="S788" s="608" t="s">
        <v>259</v>
      </c>
      <c r="T788" s="520" t="s">
        <v>326</v>
      </c>
      <c r="Z788" s="296">
        <v>5</v>
      </c>
      <c r="AA788" s="206"/>
    </row>
    <row r="789" spans="2:27" ht="21" customHeight="1" x14ac:dyDescent="0.25">
      <c r="B789" s="760">
        <v>18.47</v>
      </c>
      <c r="C789" s="518" t="s">
        <v>20</v>
      </c>
      <c r="D789" s="233" t="s">
        <v>55</v>
      </c>
      <c r="E789" s="233" t="s">
        <v>55</v>
      </c>
      <c r="F789" s="214" t="s">
        <v>55</v>
      </c>
      <c r="G789" s="214">
        <v>10</v>
      </c>
      <c r="H789" s="235">
        <v>19</v>
      </c>
      <c r="I789" s="235">
        <v>3.86</v>
      </c>
      <c r="J789" s="215">
        <f t="shared" ref="J789:J791" si="452">H789*I789</f>
        <v>73.34</v>
      </c>
      <c r="K789" s="335" t="s">
        <v>558</v>
      </c>
      <c r="L789" s="237" t="s">
        <v>55</v>
      </c>
      <c r="M789" s="238" t="s">
        <v>55</v>
      </c>
      <c r="N789" s="215">
        <f>20*G789</f>
        <v>200</v>
      </c>
      <c r="O789" s="220">
        <f>20*G789</f>
        <v>200</v>
      </c>
      <c r="P789" s="356">
        <f t="shared" ref="P789" si="453">N789/J789</f>
        <v>2.7270248159258248</v>
      </c>
      <c r="Q789" s="356">
        <f t="shared" ref="Q789:Q790" si="454">O789/J789</f>
        <v>2.7270248159258248</v>
      </c>
      <c r="R789" s="217" t="s">
        <v>55</v>
      </c>
      <c r="S789" s="608" t="s">
        <v>259</v>
      </c>
      <c r="T789" s="520" t="s">
        <v>326</v>
      </c>
      <c r="Z789" s="207">
        <v>10</v>
      </c>
    </row>
    <row r="790" spans="2:27" ht="17.25" customHeight="1" x14ac:dyDescent="0.25">
      <c r="B790" s="760">
        <v>18.48</v>
      </c>
      <c r="C790" s="518" t="s">
        <v>54</v>
      </c>
      <c r="D790" s="233" t="s">
        <v>303</v>
      </c>
      <c r="E790" s="233" t="s">
        <v>55</v>
      </c>
      <c r="F790" s="214" t="s">
        <v>55</v>
      </c>
      <c r="G790" s="214" t="s">
        <v>55</v>
      </c>
      <c r="H790" s="235">
        <v>13.8</v>
      </c>
      <c r="I790" s="235">
        <v>3.86</v>
      </c>
      <c r="J790" s="215">
        <f t="shared" si="452"/>
        <v>53.268000000000001</v>
      </c>
      <c r="K790" s="335" t="s">
        <v>55</v>
      </c>
      <c r="L790" s="237">
        <v>1</v>
      </c>
      <c r="M790" s="650" t="s">
        <v>55</v>
      </c>
      <c r="N790" s="215" t="s">
        <v>55</v>
      </c>
      <c r="O790" s="220">
        <f t="shared" ref="O790" si="455">CEILING((J790*L790),10)</f>
        <v>60</v>
      </c>
      <c r="P790" s="356" t="s">
        <v>55</v>
      </c>
      <c r="Q790" s="356">
        <f t="shared" si="454"/>
        <v>1.1263798152737103</v>
      </c>
      <c r="R790" s="217" t="s">
        <v>55</v>
      </c>
      <c r="S790" s="608" t="s">
        <v>55</v>
      </c>
      <c r="T790" s="520" t="s">
        <v>326</v>
      </c>
    </row>
    <row r="791" spans="2:27" ht="37.5" customHeight="1" x14ac:dyDescent="0.25">
      <c r="B791" s="760">
        <v>18.489999999999998</v>
      </c>
      <c r="C791" s="518" t="s">
        <v>541</v>
      </c>
      <c r="D791" s="233" t="s">
        <v>55</v>
      </c>
      <c r="E791" s="233" t="s">
        <v>55</v>
      </c>
      <c r="F791" s="214">
        <v>1</v>
      </c>
      <c r="G791" s="214">
        <v>4</v>
      </c>
      <c r="H791" s="235">
        <v>22.09</v>
      </c>
      <c r="I791" s="235">
        <v>3.86</v>
      </c>
      <c r="J791" s="215">
        <f t="shared" si="452"/>
        <v>85.267399999999995</v>
      </c>
      <c r="K791" s="335" t="s">
        <v>670</v>
      </c>
      <c r="L791" s="237" t="s">
        <v>55</v>
      </c>
      <c r="M791" s="650" t="s">
        <v>55</v>
      </c>
      <c r="N791" s="215">
        <f>F791*60+G791*20</f>
        <v>140</v>
      </c>
      <c r="O791" s="220">
        <f>60*F791+20*G791</f>
        <v>140</v>
      </c>
      <c r="P791" s="356">
        <f>N791/J791</f>
        <v>1.641893619366839</v>
      </c>
      <c r="Q791" s="356">
        <f>O791/J791</f>
        <v>1.641893619366839</v>
      </c>
      <c r="R791" s="218" t="s">
        <v>55</v>
      </c>
      <c r="S791" s="608" t="s">
        <v>259</v>
      </c>
      <c r="T791" s="520" t="s">
        <v>326</v>
      </c>
      <c r="Z791" s="207">
        <v>4</v>
      </c>
    </row>
    <row r="792" spans="2:27" ht="17.25" customHeight="1" x14ac:dyDescent="0.25">
      <c r="B792" s="760"/>
      <c r="C792" s="518" t="s">
        <v>633</v>
      </c>
      <c r="D792" s="233" t="s">
        <v>55</v>
      </c>
      <c r="E792" s="233" t="s">
        <v>55</v>
      </c>
      <c r="F792" s="214" t="s">
        <v>55</v>
      </c>
      <c r="G792" s="214" t="s">
        <v>55</v>
      </c>
      <c r="H792" s="235" t="s">
        <v>55</v>
      </c>
      <c r="I792" s="235" t="s">
        <v>55</v>
      </c>
      <c r="J792" s="215" t="s">
        <v>55</v>
      </c>
      <c r="K792" s="237" t="s">
        <v>55</v>
      </c>
      <c r="L792" s="237" t="s">
        <v>55</v>
      </c>
      <c r="M792" s="238" t="s">
        <v>55</v>
      </c>
      <c r="N792" s="215" t="s">
        <v>55</v>
      </c>
      <c r="O792" s="220" t="s">
        <v>55</v>
      </c>
      <c r="P792" s="220" t="s">
        <v>55</v>
      </c>
      <c r="Q792" s="220" t="s">
        <v>55</v>
      </c>
      <c r="R792" s="220" t="s">
        <v>55</v>
      </c>
      <c r="S792" s="293" t="s">
        <v>55</v>
      </c>
      <c r="T792" s="324" t="s">
        <v>55</v>
      </c>
    </row>
    <row r="793" spans="2:27" ht="17.25" customHeight="1" thickBot="1" x14ac:dyDescent="0.3">
      <c r="B793" s="785"/>
      <c r="C793" s="786"/>
      <c r="D793" s="616" t="s">
        <v>508</v>
      </c>
      <c r="E793" s="762"/>
      <c r="F793" s="763">
        <f>SUM(F741:F791)</f>
        <v>108</v>
      </c>
      <c r="G793" s="763">
        <f>SUM(G741:G791)</f>
        <v>64</v>
      </c>
      <c r="H793" s="764"/>
      <c r="I793" s="763"/>
      <c r="J793" s="765"/>
      <c r="K793" s="766"/>
      <c r="L793" s="766"/>
      <c r="M793" s="767" t="s">
        <v>557</v>
      </c>
      <c r="N793" s="622">
        <f>SUM(N738:N792)</f>
        <v>8955</v>
      </c>
      <c r="O793" s="623">
        <f>SUM(O738:O792)</f>
        <v>8955</v>
      </c>
      <c r="P793" s="787"/>
      <c r="Q793" s="787"/>
      <c r="R793" s="787"/>
      <c r="S793" s="788"/>
      <c r="T793" s="789"/>
      <c r="Z793" s="207">
        <v>9168</v>
      </c>
      <c r="AA793" s="251">
        <f>O793-1015</f>
        <v>7940</v>
      </c>
    </row>
    <row r="794" spans="2:27" ht="17.25" customHeight="1" thickBot="1" x14ac:dyDescent="0.3">
      <c r="B794" s="601" t="s">
        <v>650</v>
      </c>
      <c r="C794" s="790"/>
      <c r="D794" s="790"/>
      <c r="E794" s="790"/>
      <c r="F794" s="790"/>
      <c r="G794" s="790"/>
      <c r="H794" s="790"/>
      <c r="I794" s="790"/>
      <c r="J794" s="790"/>
      <c r="K794" s="790"/>
      <c r="L794" s="790"/>
      <c r="M794" s="790"/>
      <c r="N794" s="790"/>
      <c r="O794" s="790"/>
      <c r="P794" s="790"/>
      <c r="Q794" s="790"/>
      <c r="R794" s="790"/>
      <c r="S794" s="790"/>
      <c r="T794" s="791"/>
    </row>
    <row r="795" spans="2:27" ht="17.25" customHeight="1" x14ac:dyDescent="0.25">
      <c r="B795" s="774">
        <v>19.010000000000002</v>
      </c>
      <c r="C795" s="775" t="s">
        <v>16</v>
      </c>
      <c r="D795" s="776" t="s">
        <v>55</v>
      </c>
      <c r="E795" s="776" t="s">
        <v>55</v>
      </c>
      <c r="F795" s="776" t="s">
        <v>55</v>
      </c>
      <c r="G795" s="776" t="s">
        <v>55</v>
      </c>
      <c r="H795" s="776">
        <v>87.27</v>
      </c>
      <c r="I795" s="776">
        <v>3.86</v>
      </c>
      <c r="J795" s="210">
        <f>H795*I795</f>
        <v>336.86219999999997</v>
      </c>
      <c r="K795" s="776" t="s">
        <v>55</v>
      </c>
      <c r="L795" s="776" t="s">
        <v>55</v>
      </c>
      <c r="M795" s="776" t="s">
        <v>55</v>
      </c>
      <c r="N795" s="777">
        <f>O824</f>
        <v>30</v>
      </c>
      <c r="O795" s="575" t="s">
        <v>55</v>
      </c>
      <c r="P795" s="388">
        <f t="shared" ref="P795:P797" si="456">N795/J795</f>
        <v>8.9057187182177172E-2</v>
      </c>
      <c r="Q795" s="792" t="s">
        <v>55</v>
      </c>
      <c r="R795" s="575" t="s">
        <v>55</v>
      </c>
      <c r="S795" s="708" t="s">
        <v>259</v>
      </c>
      <c r="T795" s="793" t="s">
        <v>55</v>
      </c>
    </row>
    <row r="796" spans="2:27" ht="17.25" customHeight="1" x14ac:dyDescent="0.25">
      <c r="B796" s="779">
        <v>19.18</v>
      </c>
      <c r="C796" s="794" t="s">
        <v>16</v>
      </c>
      <c r="D796" s="223" t="s">
        <v>55</v>
      </c>
      <c r="E796" s="223" t="s">
        <v>55</v>
      </c>
      <c r="F796" s="224" t="s">
        <v>55</v>
      </c>
      <c r="G796" s="224" t="s">
        <v>55</v>
      </c>
      <c r="H796" s="224">
        <v>82.47</v>
      </c>
      <c r="I796" s="224">
        <v>3.86</v>
      </c>
      <c r="J796" s="226">
        <f>H796*I796</f>
        <v>318.33420000000001</v>
      </c>
      <c r="K796" s="224" t="s">
        <v>55</v>
      </c>
      <c r="L796" s="224" t="s">
        <v>55</v>
      </c>
      <c r="M796" s="224" t="s">
        <v>55</v>
      </c>
      <c r="N796" s="240">
        <f>O834+O835</f>
        <v>90</v>
      </c>
      <c r="O796" s="229" t="s">
        <v>55</v>
      </c>
      <c r="P796" s="356">
        <f t="shared" si="456"/>
        <v>0.28272174337535833</v>
      </c>
      <c r="Q796" s="404" t="s">
        <v>55</v>
      </c>
      <c r="R796" s="229" t="s">
        <v>55</v>
      </c>
      <c r="S796" s="519" t="s">
        <v>259</v>
      </c>
      <c r="T796" s="781" t="s">
        <v>55</v>
      </c>
    </row>
    <row r="797" spans="2:27" ht="17.25" customHeight="1" x14ac:dyDescent="0.25">
      <c r="B797" s="779">
        <v>19.190000000000001</v>
      </c>
      <c r="C797" s="794" t="s">
        <v>16</v>
      </c>
      <c r="D797" s="223" t="s">
        <v>55</v>
      </c>
      <c r="E797" s="223" t="s">
        <v>55</v>
      </c>
      <c r="F797" s="224" t="s">
        <v>55</v>
      </c>
      <c r="G797" s="224" t="s">
        <v>55</v>
      </c>
      <c r="H797" s="224">
        <v>82.47</v>
      </c>
      <c r="I797" s="224">
        <v>3.86</v>
      </c>
      <c r="J797" s="226">
        <f>H797*I797</f>
        <v>318.33420000000001</v>
      </c>
      <c r="K797" s="224" t="s">
        <v>55</v>
      </c>
      <c r="L797" s="224" t="s">
        <v>55</v>
      </c>
      <c r="M797" s="224" t="s">
        <v>55</v>
      </c>
      <c r="N797" s="240">
        <f>O827-N831+1015</f>
        <v>1015</v>
      </c>
      <c r="O797" s="229" t="s">
        <v>55</v>
      </c>
      <c r="P797" s="356">
        <f t="shared" si="456"/>
        <v>3.1884729947332078</v>
      </c>
      <c r="Q797" s="404" t="s">
        <v>55</v>
      </c>
      <c r="R797" s="229" t="s">
        <v>55</v>
      </c>
      <c r="S797" s="519" t="s">
        <v>259</v>
      </c>
      <c r="T797" s="781" t="s">
        <v>55</v>
      </c>
      <c r="AA797" s="251">
        <f>N793-8795</f>
        <v>160</v>
      </c>
    </row>
    <row r="798" spans="2:27" ht="33.75" customHeight="1" x14ac:dyDescent="0.25">
      <c r="B798" s="779">
        <v>19.2</v>
      </c>
      <c r="C798" s="794" t="s">
        <v>651</v>
      </c>
      <c r="D798" s="223" t="s">
        <v>55</v>
      </c>
      <c r="E798" s="223" t="s">
        <v>55</v>
      </c>
      <c r="F798" s="224">
        <v>1</v>
      </c>
      <c r="G798" s="224">
        <v>4</v>
      </c>
      <c r="H798" s="795">
        <v>19.62</v>
      </c>
      <c r="I798" s="225">
        <v>3.86</v>
      </c>
      <c r="J798" s="226">
        <f>H798*I798</f>
        <v>75.733199999999997</v>
      </c>
      <c r="K798" s="216" t="s">
        <v>670</v>
      </c>
      <c r="L798" s="796" t="s">
        <v>55</v>
      </c>
      <c r="M798" s="796" t="s">
        <v>55</v>
      </c>
      <c r="N798" s="215">
        <f>60*F798+20*G798</f>
        <v>140</v>
      </c>
      <c r="O798" s="220">
        <f>60*F798+20*G798</f>
        <v>140</v>
      </c>
      <c r="P798" s="356">
        <f>N798/J798</f>
        <v>1.8485948038640914</v>
      </c>
      <c r="Q798" s="356">
        <f>O798/J798</f>
        <v>1.8485948038640914</v>
      </c>
      <c r="R798" s="218" t="s">
        <v>55</v>
      </c>
      <c r="S798" s="608" t="s">
        <v>259</v>
      </c>
      <c r="T798" s="520" t="s">
        <v>326</v>
      </c>
    </row>
    <row r="799" spans="2:27" ht="17.25" customHeight="1" x14ac:dyDescent="0.25">
      <c r="B799" s="779"/>
      <c r="C799" s="794" t="s">
        <v>652</v>
      </c>
      <c r="D799" s="223" t="s">
        <v>55</v>
      </c>
      <c r="E799" s="223" t="s">
        <v>55</v>
      </c>
      <c r="F799" s="224" t="s">
        <v>55</v>
      </c>
      <c r="G799" s="224" t="s">
        <v>55</v>
      </c>
      <c r="H799" s="224" t="s">
        <v>55</v>
      </c>
      <c r="I799" s="224" t="s">
        <v>55</v>
      </c>
      <c r="J799" s="224" t="s">
        <v>55</v>
      </c>
      <c r="K799" s="335" t="s">
        <v>55</v>
      </c>
      <c r="L799" s="224" t="s">
        <v>55</v>
      </c>
      <c r="M799" s="224" t="s">
        <v>55</v>
      </c>
      <c r="N799" s="240" t="s">
        <v>55</v>
      </c>
      <c r="O799" s="229" t="s">
        <v>55</v>
      </c>
      <c r="P799" s="404" t="s">
        <v>55</v>
      </c>
      <c r="Q799" s="404" t="s">
        <v>55</v>
      </c>
      <c r="R799" s="229" t="s">
        <v>55</v>
      </c>
      <c r="S799" s="224" t="s">
        <v>55</v>
      </c>
      <c r="T799" s="781" t="s">
        <v>55</v>
      </c>
    </row>
    <row r="800" spans="2:27" ht="17.25" customHeight="1" x14ac:dyDescent="0.25">
      <c r="B800" s="779"/>
      <c r="C800" s="794" t="s">
        <v>653</v>
      </c>
      <c r="D800" s="223" t="s">
        <v>55</v>
      </c>
      <c r="E800" s="223" t="s">
        <v>55</v>
      </c>
      <c r="F800" s="224" t="s">
        <v>55</v>
      </c>
      <c r="G800" s="224" t="s">
        <v>55</v>
      </c>
      <c r="H800" s="224" t="s">
        <v>55</v>
      </c>
      <c r="I800" s="224" t="s">
        <v>55</v>
      </c>
      <c r="J800" s="224" t="s">
        <v>55</v>
      </c>
      <c r="K800" s="224" t="s">
        <v>55</v>
      </c>
      <c r="L800" s="224" t="s">
        <v>55</v>
      </c>
      <c r="M800" s="224" t="s">
        <v>55</v>
      </c>
      <c r="N800" s="240" t="s">
        <v>55</v>
      </c>
      <c r="O800" s="229" t="s">
        <v>55</v>
      </c>
      <c r="P800" s="404" t="s">
        <v>55</v>
      </c>
      <c r="Q800" s="404" t="s">
        <v>55</v>
      </c>
      <c r="R800" s="229" t="s">
        <v>55</v>
      </c>
      <c r="S800" s="224" t="s">
        <v>55</v>
      </c>
      <c r="T800" s="781" t="s">
        <v>55</v>
      </c>
    </row>
    <row r="801" spans="2:27" ht="17.25" customHeight="1" x14ac:dyDescent="0.25">
      <c r="B801" s="779"/>
      <c r="C801" s="518" t="s">
        <v>589</v>
      </c>
      <c r="D801" s="233" t="s">
        <v>55</v>
      </c>
      <c r="E801" s="233" t="s">
        <v>55</v>
      </c>
      <c r="F801" s="214" t="s">
        <v>55</v>
      </c>
      <c r="G801" s="214" t="s">
        <v>55</v>
      </c>
      <c r="H801" s="235" t="s">
        <v>55</v>
      </c>
      <c r="I801" s="235" t="s">
        <v>55</v>
      </c>
      <c r="J801" s="215" t="s">
        <v>55</v>
      </c>
      <c r="K801" s="237" t="s">
        <v>55</v>
      </c>
      <c r="L801" s="237" t="s">
        <v>55</v>
      </c>
      <c r="M801" s="238" t="s">
        <v>55</v>
      </c>
      <c r="N801" s="215" t="s">
        <v>55</v>
      </c>
      <c r="O801" s="220">
        <v>1015</v>
      </c>
      <c r="P801" s="356" t="s">
        <v>55</v>
      </c>
      <c r="Q801" s="356" t="s">
        <v>55</v>
      </c>
      <c r="R801" s="217" t="s">
        <v>55</v>
      </c>
      <c r="S801" s="797"/>
      <c r="T801" s="783" t="s">
        <v>590</v>
      </c>
    </row>
    <row r="802" spans="2:27" ht="38.25" customHeight="1" x14ac:dyDescent="0.25">
      <c r="B802" s="779">
        <v>19.21</v>
      </c>
      <c r="C802" s="794" t="s">
        <v>586</v>
      </c>
      <c r="D802" s="233" t="s">
        <v>55</v>
      </c>
      <c r="E802" s="233" t="s">
        <v>55</v>
      </c>
      <c r="F802" s="214">
        <v>1</v>
      </c>
      <c r="G802" s="214">
        <v>4</v>
      </c>
      <c r="H802" s="648">
        <v>23.89</v>
      </c>
      <c r="I802" s="235">
        <v>3.86</v>
      </c>
      <c r="J802" s="215">
        <f>H802*I802</f>
        <v>92.215400000000002</v>
      </c>
      <c r="K802" s="216" t="s">
        <v>670</v>
      </c>
      <c r="L802" s="237" t="s">
        <v>55</v>
      </c>
      <c r="M802" s="237" t="s">
        <v>55</v>
      </c>
      <c r="N802" s="215">
        <f>60*F802+20*G802</f>
        <v>140</v>
      </c>
      <c r="O802" s="220">
        <f>60*F802+20*G802</f>
        <v>140</v>
      </c>
      <c r="P802" s="356">
        <f>N802/J802</f>
        <v>1.5181845982341344</v>
      </c>
      <c r="Q802" s="356">
        <f>O802/J802</f>
        <v>1.5181845982341344</v>
      </c>
      <c r="R802" s="218" t="s">
        <v>55</v>
      </c>
      <c r="S802" s="608" t="s">
        <v>259</v>
      </c>
      <c r="T802" s="520" t="s">
        <v>326</v>
      </c>
    </row>
    <row r="803" spans="2:27" ht="17.25" customHeight="1" x14ac:dyDescent="0.25">
      <c r="B803" s="798"/>
      <c r="C803" s="794" t="s">
        <v>654</v>
      </c>
      <c r="D803" s="233" t="s">
        <v>55</v>
      </c>
      <c r="E803" s="233" t="s">
        <v>55</v>
      </c>
      <c r="F803" s="214" t="s">
        <v>55</v>
      </c>
      <c r="G803" s="214" t="s">
        <v>55</v>
      </c>
      <c r="H803" s="214" t="s">
        <v>55</v>
      </c>
      <c r="I803" s="214" t="s">
        <v>55</v>
      </c>
      <c r="J803" s="214" t="s">
        <v>55</v>
      </c>
      <c r="K803" s="216" t="s">
        <v>55</v>
      </c>
      <c r="L803" s="214" t="s">
        <v>55</v>
      </c>
      <c r="M803" s="214" t="s">
        <v>55</v>
      </c>
      <c r="N803" s="217" t="s">
        <v>55</v>
      </c>
      <c r="O803" s="218" t="s">
        <v>55</v>
      </c>
      <c r="P803" s="400" t="s">
        <v>55</v>
      </c>
      <c r="Q803" s="400" t="s">
        <v>55</v>
      </c>
      <c r="R803" s="218" t="s">
        <v>55</v>
      </c>
      <c r="S803" s="214" t="s">
        <v>55</v>
      </c>
      <c r="T803" s="782" t="s">
        <v>55</v>
      </c>
    </row>
    <row r="804" spans="2:27" ht="34.5" customHeight="1" x14ac:dyDescent="0.25">
      <c r="B804" s="760">
        <v>19.22</v>
      </c>
      <c r="C804" s="794" t="s">
        <v>527</v>
      </c>
      <c r="D804" s="233" t="s">
        <v>55</v>
      </c>
      <c r="E804" s="233" t="s">
        <v>55</v>
      </c>
      <c r="F804" s="214">
        <v>1</v>
      </c>
      <c r="G804" s="214">
        <v>4</v>
      </c>
      <c r="H804" s="235">
        <v>17.88</v>
      </c>
      <c r="I804" s="235">
        <v>3.86</v>
      </c>
      <c r="J804" s="215">
        <f>H804*I804</f>
        <v>69.016799999999989</v>
      </c>
      <c r="K804" s="216" t="s">
        <v>670</v>
      </c>
      <c r="L804" s="237" t="s">
        <v>55</v>
      </c>
      <c r="M804" s="650" t="s">
        <v>55</v>
      </c>
      <c r="N804" s="215">
        <f>60*F804+20*G804</f>
        <v>140</v>
      </c>
      <c r="O804" s="220">
        <f>60*F804+20*G804</f>
        <v>140</v>
      </c>
      <c r="P804" s="356">
        <f>N804/J804</f>
        <v>2.0284916136361004</v>
      </c>
      <c r="Q804" s="356">
        <f>O804/J804</f>
        <v>2.0284916136361004</v>
      </c>
      <c r="R804" s="218" t="s">
        <v>55</v>
      </c>
      <c r="S804" s="608" t="s">
        <v>259</v>
      </c>
      <c r="T804" s="520" t="s">
        <v>326</v>
      </c>
    </row>
    <row r="805" spans="2:27" ht="17.25" customHeight="1" x14ac:dyDescent="0.25">
      <c r="B805" s="784"/>
      <c r="C805" s="794" t="s">
        <v>528</v>
      </c>
      <c r="D805" s="325" t="s">
        <v>55</v>
      </c>
      <c r="E805" s="325" t="s">
        <v>55</v>
      </c>
      <c r="F805" s="304" t="s">
        <v>55</v>
      </c>
      <c r="G805" s="304" t="s">
        <v>55</v>
      </c>
      <c r="H805" s="304" t="s">
        <v>55</v>
      </c>
      <c r="I805" s="304" t="s">
        <v>55</v>
      </c>
      <c r="J805" s="304" t="s">
        <v>55</v>
      </c>
      <c r="K805" s="216" t="s">
        <v>55</v>
      </c>
      <c r="L805" s="304" t="s">
        <v>55</v>
      </c>
      <c r="M805" s="304" t="s">
        <v>55</v>
      </c>
      <c r="N805" s="331" t="s">
        <v>55</v>
      </c>
      <c r="O805" s="332" t="s">
        <v>55</v>
      </c>
      <c r="P805" s="437" t="s">
        <v>55</v>
      </c>
      <c r="Q805" s="437" t="s">
        <v>55</v>
      </c>
      <c r="R805" s="332" t="s">
        <v>55</v>
      </c>
      <c r="S805" s="304" t="s">
        <v>55</v>
      </c>
      <c r="T805" s="799" t="s">
        <v>55</v>
      </c>
    </row>
    <row r="806" spans="2:27" ht="27.75" customHeight="1" x14ac:dyDescent="0.25">
      <c r="B806" s="627">
        <v>19.23</v>
      </c>
      <c r="C806" s="518" t="s">
        <v>608</v>
      </c>
      <c r="D806" s="233" t="s">
        <v>55</v>
      </c>
      <c r="E806" s="233" t="s">
        <v>55</v>
      </c>
      <c r="F806" s="214">
        <v>6</v>
      </c>
      <c r="G806" s="214" t="s">
        <v>55</v>
      </c>
      <c r="H806" s="235">
        <v>62.79</v>
      </c>
      <c r="I806" s="235">
        <v>3.86</v>
      </c>
      <c r="J806" s="215">
        <f>H806*I806</f>
        <v>242.36939999999998</v>
      </c>
      <c r="K806" s="216" t="s">
        <v>559</v>
      </c>
      <c r="L806" s="237" t="s">
        <v>55</v>
      </c>
      <c r="M806" s="650" t="s">
        <v>55</v>
      </c>
      <c r="N806" s="215">
        <f>60*F806</f>
        <v>360</v>
      </c>
      <c r="O806" s="220">
        <f>60*F806-O810</f>
        <v>320</v>
      </c>
      <c r="P806" s="356">
        <f>N806/J806</f>
        <v>1.4853360201411565</v>
      </c>
      <c r="Q806" s="356">
        <f t="shared" ref="Q806" si="457">O806/J806</f>
        <v>1.3202986845699169</v>
      </c>
      <c r="R806" s="217" t="s">
        <v>55</v>
      </c>
      <c r="S806" s="608" t="s">
        <v>259</v>
      </c>
      <c r="T806" s="520" t="s">
        <v>326</v>
      </c>
      <c r="Z806" s="296"/>
      <c r="AA806" s="206"/>
    </row>
    <row r="807" spans="2:27" ht="21.75" customHeight="1" x14ac:dyDescent="0.25">
      <c r="B807" s="632" t="s">
        <v>658</v>
      </c>
      <c r="C807" s="518" t="s">
        <v>655</v>
      </c>
      <c r="D807" s="233" t="s">
        <v>55</v>
      </c>
      <c r="E807" s="233" t="s">
        <v>55</v>
      </c>
      <c r="F807" s="214">
        <v>2</v>
      </c>
      <c r="G807" s="214" t="s">
        <v>55</v>
      </c>
      <c r="H807" s="235">
        <v>12.66</v>
      </c>
      <c r="I807" s="235">
        <v>3.86</v>
      </c>
      <c r="J807" s="215">
        <f>H807*I807</f>
        <v>48.867599999999996</v>
      </c>
      <c r="K807" s="216" t="s">
        <v>559</v>
      </c>
      <c r="L807" s="237" t="s">
        <v>55</v>
      </c>
      <c r="M807" s="650" t="s">
        <v>55</v>
      </c>
      <c r="N807" s="215">
        <f>60*F807</f>
        <v>120</v>
      </c>
      <c r="O807" s="220">
        <f>60*F807</f>
        <v>120</v>
      </c>
      <c r="P807" s="356">
        <f>N807/J807</f>
        <v>2.4556147631559564</v>
      </c>
      <c r="Q807" s="356">
        <f t="shared" ref="Q807" si="458">O807/J807</f>
        <v>2.4556147631559564</v>
      </c>
      <c r="R807" s="217" t="s">
        <v>55</v>
      </c>
      <c r="S807" s="608" t="s">
        <v>259</v>
      </c>
      <c r="T807" s="520" t="s">
        <v>326</v>
      </c>
    </row>
    <row r="808" spans="2:27" ht="17.25" customHeight="1" x14ac:dyDescent="0.25">
      <c r="B808" s="632"/>
      <c r="C808" s="518" t="s">
        <v>656</v>
      </c>
      <c r="D808" s="233" t="s">
        <v>55</v>
      </c>
      <c r="E808" s="233" t="s">
        <v>55</v>
      </c>
      <c r="F808" s="214" t="s">
        <v>55</v>
      </c>
      <c r="G808" s="214" t="s">
        <v>55</v>
      </c>
      <c r="H808" s="214" t="s">
        <v>55</v>
      </c>
      <c r="I808" s="214" t="s">
        <v>55</v>
      </c>
      <c r="J808" s="214" t="s">
        <v>55</v>
      </c>
      <c r="K808" s="216" t="s">
        <v>55</v>
      </c>
      <c r="L808" s="214" t="s">
        <v>55</v>
      </c>
      <c r="M808" s="214" t="s">
        <v>55</v>
      </c>
      <c r="N808" s="217" t="s">
        <v>55</v>
      </c>
      <c r="O808" s="218" t="s">
        <v>55</v>
      </c>
      <c r="P808" s="400" t="s">
        <v>55</v>
      </c>
      <c r="Q808" s="400" t="s">
        <v>55</v>
      </c>
      <c r="R808" s="218" t="s">
        <v>55</v>
      </c>
      <c r="S808" s="214" t="s">
        <v>55</v>
      </c>
      <c r="T808" s="222" t="s">
        <v>55</v>
      </c>
    </row>
    <row r="809" spans="2:27" ht="17.25" customHeight="1" x14ac:dyDescent="0.25">
      <c r="B809" s="632"/>
      <c r="C809" s="518" t="s">
        <v>624</v>
      </c>
      <c r="D809" s="233" t="s">
        <v>55</v>
      </c>
      <c r="E809" s="233" t="s">
        <v>55</v>
      </c>
      <c r="F809" s="214" t="s">
        <v>55</v>
      </c>
      <c r="G809" s="214" t="s">
        <v>55</v>
      </c>
      <c r="H809" s="214" t="s">
        <v>55</v>
      </c>
      <c r="I809" s="214" t="s">
        <v>55</v>
      </c>
      <c r="J809" s="214" t="s">
        <v>55</v>
      </c>
      <c r="K809" s="216" t="s">
        <v>55</v>
      </c>
      <c r="L809" s="214" t="s">
        <v>55</v>
      </c>
      <c r="M809" s="214" t="s">
        <v>55</v>
      </c>
      <c r="N809" s="217" t="s">
        <v>55</v>
      </c>
      <c r="O809" s="218" t="s">
        <v>55</v>
      </c>
      <c r="P809" s="400" t="s">
        <v>55</v>
      </c>
      <c r="Q809" s="400" t="s">
        <v>55</v>
      </c>
      <c r="R809" s="218" t="s">
        <v>55</v>
      </c>
      <c r="S809" s="214" t="s">
        <v>55</v>
      </c>
      <c r="T809" s="222" t="s">
        <v>55</v>
      </c>
    </row>
    <row r="810" spans="2:27" ht="17.25" customHeight="1" x14ac:dyDescent="0.25">
      <c r="B810" s="632" t="s">
        <v>659</v>
      </c>
      <c r="C810" s="518" t="s">
        <v>551</v>
      </c>
      <c r="D810" s="233" t="s">
        <v>55</v>
      </c>
      <c r="E810" s="233" t="s">
        <v>55</v>
      </c>
      <c r="F810" s="214" t="s">
        <v>55</v>
      </c>
      <c r="G810" s="214" t="s">
        <v>55</v>
      </c>
      <c r="H810" s="648">
        <v>9.42</v>
      </c>
      <c r="I810" s="235">
        <v>3.86</v>
      </c>
      <c r="J810" s="215">
        <f t="shared" ref="J810:J811" si="459">H810*I810</f>
        <v>36.361199999999997</v>
      </c>
      <c r="K810" s="216" t="s">
        <v>55</v>
      </c>
      <c r="L810" s="237">
        <v>1</v>
      </c>
      <c r="M810" s="650" t="s">
        <v>55</v>
      </c>
      <c r="N810" s="215" t="s">
        <v>55</v>
      </c>
      <c r="O810" s="220">
        <f t="shared" ref="O810" si="460">CEILING((J810*L810),10)</f>
        <v>40</v>
      </c>
      <c r="P810" s="356" t="s">
        <v>55</v>
      </c>
      <c r="Q810" s="356">
        <f t="shared" ref="Q810" si="461">O810/J810</f>
        <v>1.100073704938231</v>
      </c>
      <c r="R810" s="217" t="s">
        <v>55</v>
      </c>
      <c r="S810" s="519" t="s">
        <v>55</v>
      </c>
      <c r="T810" s="761" t="s">
        <v>326</v>
      </c>
      <c r="Z810" s="296" t="s">
        <v>657</v>
      </c>
      <c r="AA810" s="206" t="s">
        <v>604</v>
      </c>
    </row>
    <row r="811" spans="2:27" ht="34.5" customHeight="1" x14ac:dyDescent="0.25">
      <c r="B811" s="632" t="s">
        <v>661</v>
      </c>
      <c r="C811" s="518" t="s">
        <v>541</v>
      </c>
      <c r="D811" s="233" t="s">
        <v>55</v>
      </c>
      <c r="E811" s="233" t="s">
        <v>55</v>
      </c>
      <c r="F811" s="214">
        <v>1</v>
      </c>
      <c r="G811" s="214">
        <v>4</v>
      </c>
      <c r="H811" s="235">
        <v>34.979999999999997</v>
      </c>
      <c r="I811" s="235">
        <v>3.86</v>
      </c>
      <c r="J811" s="215">
        <f t="shared" si="459"/>
        <v>135.02279999999999</v>
      </c>
      <c r="K811" s="216" t="s">
        <v>670</v>
      </c>
      <c r="L811" s="237" t="s">
        <v>55</v>
      </c>
      <c r="M811" s="650" t="s">
        <v>55</v>
      </c>
      <c r="N811" s="215">
        <f>60*F811+20*G811</f>
        <v>140</v>
      </c>
      <c r="O811" s="220">
        <f>60*F811+20*G811</f>
        <v>140</v>
      </c>
      <c r="P811" s="356">
        <f>N811/J811</f>
        <v>1.0368619225790014</v>
      </c>
      <c r="Q811" s="356">
        <f>O811/J811</f>
        <v>1.0368619225790014</v>
      </c>
      <c r="R811" s="218" t="s">
        <v>55</v>
      </c>
      <c r="S811" s="519" t="s">
        <v>259</v>
      </c>
      <c r="T811" s="761" t="s">
        <v>326</v>
      </c>
    </row>
    <row r="812" spans="2:27" ht="17.25" customHeight="1" x14ac:dyDescent="0.25">
      <c r="B812" s="760"/>
      <c r="C812" s="518" t="s">
        <v>542</v>
      </c>
      <c r="D812" s="233" t="s">
        <v>55</v>
      </c>
      <c r="E812" s="233" t="s">
        <v>55</v>
      </c>
      <c r="F812" s="214" t="s">
        <v>55</v>
      </c>
      <c r="G812" s="214" t="s">
        <v>55</v>
      </c>
      <c r="H812" s="235" t="s">
        <v>55</v>
      </c>
      <c r="I812" s="235" t="s">
        <v>55</v>
      </c>
      <c r="J812" s="215" t="s">
        <v>55</v>
      </c>
      <c r="K812" s="216" t="s">
        <v>55</v>
      </c>
      <c r="L812" s="237" t="s">
        <v>55</v>
      </c>
      <c r="M812" s="238" t="s">
        <v>55</v>
      </c>
      <c r="N812" s="215" t="s">
        <v>55</v>
      </c>
      <c r="O812" s="220" t="s">
        <v>55</v>
      </c>
      <c r="P812" s="356" t="s">
        <v>55</v>
      </c>
      <c r="Q812" s="356" t="s">
        <v>55</v>
      </c>
      <c r="R812" s="220" t="s">
        <v>55</v>
      </c>
      <c r="S812" s="293" t="s">
        <v>55</v>
      </c>
      <c r="T812" s="330" t="s">
        <v>55</v>
      </c>
    </row>
    <row r="813" spans="2:27" ht="21" customHeight="1" x14ac:dyDescent="0.25">
      <c r="B813" s="632" t="s">
        <v>660</v>
      </c>
      <c r="C813" s="518" t="s">
        <v>707</v>
      </c>
      <c r="D813" s="233" t="s">
        <v>55</v>
      </c>
      <c r="E813" s="233" t="s">
        <v>55</v>
      </c>
      <c r="F813" s="214" t="s">
        <v>55</v>
      </c>
      <c r="G813" s="214">
        <v>10</v>
      </c>
      <c r="H813" s="235">
        <v>28.87</v>
      </c>
      <c r="I813" s="235">
        <v>3.86</v>
      </c>
      <c r="J813" s="215">
        <f t="shared" ref="J813" si="462">H813*I813</f>
        <v>111.43819999999999</v>
      </c>
      <c r="K813" s="216" t="s">
        <v>558</v>
      </c>
      <c r="L813" s="237" t="s">
        <v>55</v>
      </c>
      <c r="M813" s="650" t="s">
        <v>55</v>
      </c>
      <c r="N813" s="215">
        <f>20*G813</f>
        <v>200</v>
      </c>
      <c r="O813" s="220">
        <f>20*G813</f>
        <v>200</v>
      </c>
      <c r="P813" s="356">
        <f>N813/J813</f>
        <v>1.794716712940446</v>
      </c>
      <c r="Q813" s="356">
        <f>O813/J813</f>
        <v>1.794716712940446</v>
      </c>
      <c r="R813" s="218" t="s">
        <v>55</v>
      </c>
      <c r="S813" s="519" t="s">
        <v>259</v>
      </c>
      <c r="T813" s="761" t="s">
        <v>326</v>
      </c>
    </row>
    <row r="814" spans="2:27" ht="17.25" customHeight="1" x14ac:dyDescent="0.25">
      <c r="B814" s="684"/>
      <c r="C814" s="518" t="s">
        <v>542</v>
      </c>
      <c r="D814" s="233" t="s">
        <v>55</v>
      </c>
      <c r="E814" s="233" t="s">
        <v>55</v>
      </c>
      <c r="F814" s="224" t="s">
        <v>55</v>
      </c>
      <c r="G814" s="214" t="s">
        <v>55</v>
      </c>
      <c r="H814" s="235" t="s">
        <v>55</v>
      </c>
      <c r="I814" s="235" t="s">
        <v>55</v>
      </c>
      <c r="J814" s="215" t="s">
        <v>55</v>
      </c>
      <c r="K814" s="216" t="s">
        <v>55</v>
      </c>
      <c r="L814" s="237" t="s">
        <v>55</v>
      </c>
      <c r="M814" s="238" t="s">
        <v>55</v>
      </c>
      <c r="N814" s="215" t="s">
        <v>55</v>
      </c>
      <c r="O814" s="220" t="s">
        <v>55</v>
      </c>
      <c r="P814" s="356" t="s">
        <v>55</v>
      </c>
      <c r="Q814" s="356" t="s">
        <v>55</v>
      </c>
      <c r="R814" s="220" t="s">
        <v>55</v>
      </c>
      <c r="S814" s="293" t="s">
        <v>55</v>
      </c>
      <c r="T814" s="324" t="s">
        <v>55</v>
      </c>
    </row>
    <row r="815" spans="2:27" ht="33" customHeight="1" x14ac:dyDescent="0.25">
      <c r="B815" s="627">
        <v>19.28</v>
      </c>
      <c r="C815" s="518" t="s">
        <v>662</v>
      </c>
      <c r="D815" s="325" t="s">
        <v>55</v>
      </c>
      <c r="E815" s="325" t="s">
        <v>55</v>
      </c>
      <c r="F815" s="214">
        <v>1</v>
      </c>
      <c r="G815" s="214">
        <v>4</v>
      </c>
      <c r="H815" s="235">
        <v>21.83</v>
      </c>
      <c r="I815" s="235">
        <v>3.86</v>
      </c>
      <c r="J815" s="215">
        <f>H815*I815</f>
        <v>84.263799999999989</v>
      </c>
      <c r="K815" s="216" t="s">
        <v>670</v>
      </c>
      <c r="L815" s="237" t="s">
        <v>55</v>
      </c>
      <c r="M815" s="650" t="s">
        <v>55</v>
      </c>
      <c r="N815" s="215">
        <f>60*F815+20*G815</f>
        <v>140</v>
      </c>
      <c r="O815" s="220">
        <f>60*F815+20*G815</f>
        <v>140</v>
      </c>
      <c r="P815" s="356">
        <f>N815/J815</f>
        <v>1.6614489258732696</v>
      </c>
      <c r="Q815" s="356">
        <f t="shared" ref="Q815" si="463">O815/J815</f>
        <v>1.6614489258732696</v>
      </c>
      <c r="R815" s="217" t="s">
        <v>55</v>
      </c>
      <c r="S815" s="608" t="s">
        <v>259</v>
      </c>
      <c r="T815" s="520" t="s">
        <v>326</v>
      </c>
    </row>
    <row r="816" spans="2:27" ht="17.25" customHeight="1" x14ac:dyDescent="0.25">
      <c r="B816" s="684"/>
      <c r="C816" s="518" t="s">
        <v>542</v>
      </c>
      <c r="D816" s="325" t="s">
        <v>55</v>
      </c>
      <c r="E816" s="325" t="s">
        <v>55</v>
      </c>
      <c r="F816" s="224" t="s">
        <v>55</v>
      </c>
      <c r="G816" s="214" t="s">
        <v>55</v>
      </c>
      <c r="H816" s="235" t="s">
        <v>55</v>
      </c>
      <c r="I816" s="235" t="s">
        <v>55</v>
      </c>
      <c r="J816" s="215" t="s">
        <v>55</v>
      </c>
      <c r="K816" s="237" t="s">
        <v>55</v>
      </c>
      <c r="L816" s="237" t="s">
        <v>55</v>
      </c>
      <c r="M816" s="238" t="s">
        <v>55</v>
      </c>
      <c r="N816" s="215" t="s">
        <v>55</v>
      </c>
      <c r="O816" s="220" t="s">
        <v>55</v>
      </c>
      <c r="P816" s="356" t="s">
        <v>55</v>
      </c>
      <c r="Q816" s="356" t="s">
        <v>55</v>
      </c>
      <c r="R816" s="220" t="s">
        <v>55</v>
      </c>
      <c r="S816" s="293" t="s">
        <v>55</v>
      </c>
      <c r="T816" s="324" t="s">
        <v>55</v>
      </c>
    </row>
    <row r="817" spans="2:27" ht="21.75" customHeight="1" x14ac:dyDescent="0.25">
      <c r="B817" s="627">
        <v>19.29</v>
      </c>
      <c r="C817" s="518" t="s">
        <v>586</v>
      </c>
      <c r="D817" s="233" t="s">
        <v>55</v>
      </c>
      <c r="E817" s="233" t="s">
        <v>55</v>
      </c>
      <c r="F817" s="214">
        <v>1</v>
      </c>
      <c r="G817" s="214" t="s">
        <v>55</v>
      </c>
      <c r="H817" s="235">
        <v>12.32</v>
      </c>
      <c r="I817" s="235">
        <v>3.86</v>
      </c>
      <c r="J817" s="215">
        <f t="shared" ref="J817" si="464">H817*I817</f>
        <v>47.555199999999999</v>
      </c>
      <c r="K817" s="216" t="s">
        <v>559</v>
      </c>
      <c r="L817" s="237" t="s">
        <v>55</v>
      </c>
      <c r="M817" s="238" t="s">
        <v>55</v>
      </c>
      <c r="N817" s="215">
        <f>60*F817</f>
        <v>60</v>
      </c>
      <c r="O817" s="220">
        <f>60*F817</f>
        <v>60</v>
      </c>
      <c r="P817" s="356">
        <f>N817/J817</f>
        <v>1.2616916761994483</v>
      </c>
      <c r="Q817" s="356">
        <f>O817/J817</f>
        <v>1.2616916761994483</v>
      </c>
      <c r="R817" s="218" t="s">
        <v>55</v>
      </c>
      <c r="S817" s="608" t="s">
        <v>259</v>
      </c>
      <c r="T817" s="520" t="s">
        <v>326</v>
      </c>
    </row>
    <row r="818" spans="2:27" ht="17.25" customHeight="1" x14ac:dyDescent="0.25">
      <c r="B818" s="627"/>
      <c r="C818" s="518" t="s">
        <v>584</v>
      </c>
      <c r="D818" s="233"/>
      <c r="E818" s="233"/>
      <c r="F818" s="214"/>
      <c r="G818" s="214"/>
      <c r="H818" s="648"/>
      <c r="I818" s="235"/>
      <c r="J818" s="215"/>
      <c r="K818" s="216"/>
      <c r="L818" s="237"/>
      <c r="M818" s="238"/>
      <c r="N818" s="215"/>
      <c r="O818" s="220"/>
      <c r="P818" s="356"/>
      <c r="Q818" s="356"/>
      <c r="R818" s="218"/>
      <c r="S818" s="608"/>
      <c r="T818" s="520"/>
    </row>
    <row r="819" spans="2:27" ht="21.75" customHeight="1" x14ac:dyDescent="0.25">
      <c r="B819" s="627">
        <v>19.3</v>
      </c>
      <c r="C819" s="518" t="s">
        <v>663</v>
      </c>
      <c r="D819" s="233" t="s">
        <v>55</v>
      </c>
      <c r="E819" s="233" t="s">
        <v>55</v>
      </c>
      <c r="F819" s="214">
        <v>1</v>
      </c>
      <c r="G819" s="214" t="s">
        <v>55</v>
      </c>
      <c r="H819" s="235">
        <v>12.65</v>
      </c>
      <c r="I819" s="235">
        <v>3.86</v>
      </c>
      <c r="J819" s="215">
        <f t="shared" ref="J819" si="465">H819*I819</f>
        <v>48.829000000000001</v>
      </c>
      <c r="K819" s="216" t="s">
        <v>559</v>
      </c>
      <c r="L819" s="237" t="s">
        <v>55</v>
      </c>
      <c r="M819" s="238" t="s">
        <v>55</v>
      </c>
      <c r="N819" s="215">
        <f>60*F819</f>
        <v>60</v>
      </c>
      <c r="O819" s="220">
        <f>60*F819</f>
        <v>60</v>
      </c>
      <c r="P819" s="356">
        <f>N819/J819</f>
        <v>1.228777980298593</v>
      </c>
      <c r="Q819" s="356">
        <f>O819/J819</f>
        <v>1.228777980298593</v>
      </c>
      <c r="R819" s="218" t="s">
        <v>55</v>
      </c>
      <c r="S819" s="608" t="s">
        <v>259</v>
      </c>
      <c r="T819" s="520" t="s">
        <v>326</v>
      </c>
    </row>
    <row r="820" spans="2:27" ht="33.75" customHeight="1" x14ac:dyDescent="0.25">
      <c r="B820" s="607" t="s">
        <v>664</v>
      </c>
      <c r="C820" s="518" t="s">
        <v>665</v>
      </c>
      <c r="D820" s="233" t="s">
        <v>55</v>
      </c>
      <c r="E820" s="233" t="s">
        <v>55</v>
      </c>
      <c r="F820" s="214">
        <v>1</v>
      </c>
      <c r="G820" s="214">
        <v>4</v>
      </c>
      <c r="H820" s="235">
        <v>21.83</v>
      </c>
      <c r="I820" s="235">
        <v>3.86</v>
      </c>
      <c r="J820" s="215">
        <f t="shared" ref="J820" si="466">H820*I820</f>
        <v>84.263799999999989</v>
      </c>
      <c r="K820" s="216" t="s">
        <v>670</v>
      </c>
      <c r="L820" s="237" t="s">
        <v>55</v>
      </c>
      <c r="M820" s="238" t="s">
        <v>55</v>
      </c>
      <c r="N820" s="215">
        <f>60*F820+20*G820</f>
        <v>140</v>
      </c>
      <c r="O820" s="220">
        <f>60*F820+20*G820</f>
        <v>140</v>
      </c>
      <c r="P820" s="356">
        <f>N820/J820</f>
        <v>1.6614489258732696</v>
      </c>
      <c r="Q820" s="356">
        <f>O820/J820</f>
        <v>1.6614489258732696</v>
      </c>
      <c r="R820" s="218" t="s">
        <v>55</v>
      </c>
      <c r="S820" s="608" t="s">
        <v>259</v>
      </c>
      <c r="T820" s="520" t="s">
        <v>326</v>
      </c>
    </row>
    <row r="821" spans="2:27" ht="17.25" customHeight="1" x14ac:dyDescent="0.25">
      <c r="B821" s="684"/>
      <c r="C821" s="518" t="s">
        <v>629</v>
      </c>
      <c r="D821" s="233" t="s">
        <v>55</v>
      </c>
      <c r="E821" s="233" t="s">
        <v>55</v>
      </c>
      <c r="F821" s="233" t="s">
        <v>55</v>
      </c>
      <c r="G821" s="233" t="s">
        <v>55</v>
      </c>
      <c r="H821" s="233" t="s">
        <v>55</v>
      </c>
      <c r="I821" s="233" t="s">
        <v>55</v>
      </c>
      <c r="J821" s="233" t="s">
        <v>55</v>
      </c>
      <c r="K821" s="216" t="s">
        <v>55</v>
      </c>
      <c r="L821" s="233" t="s">
        <v>55</v>
      </c>
      <c r="M821" s="233" t="s">
        <v>55</v>
      </c>
      <c r="N821" s="217" t="s">
        <v>55</v>
      </c>
      <c r="O821" s="218" t="s">
        <v>55</v>
      </c>
      <c r="P821" s="400" t="s">
        <v>55</v>
      </c>
      <c r="Q821" s="400" t="s">
        <v>55</v>
      </c>
      <c r="R821" s="218" t="s">
        <v>55</v>
      </c>
      <c r="S821" s="233" t="s">
        <v>55</v>
      </c>
      <c r="T821" s="250" t="s">
        <v>55</v>
      </c>
    </row>
    <row r="822" spans="2:27" ht="17.25" customHeight="1" x14ac:dyDescent="0.25">
      <c r="B822" s="684"/>
      <c r="C822" s="518" t="s">
        <v>666</v>
      </c>
      <c r="D822" s="233" t="s">
        <v>55</v>
      </c>
      <c r="E822" s="233" t="s">
        <v>55</v>
      </c>
      <c r="F822" s="224" t="s">
        <v>55</v>
      </c>
      <c r="G822" s="214" t="s">
        <v>55</v>
      </c>
      <c r="H822" s="235" t="s">
        <v>55</v>
      </c>
      <c r="I822" s="235" t="s">
        <v>55</v>
      </c>
      <c r="J822" s="215" t="s">
        <v>55</v>
      </c>
      <c r="K822" s="216" t="s">
        <v>55</v>
      </c>
      <c r="L822" s="237" t="s">
        <v>55</v>
      </c>
      <c r="M822" s="238" t="s">
        <v>55</v>
      </c>
      <c r="N822" s="215" t="s">
        <v>55</v>
      </c>
      <c r="O822" s="220" t="s">
        <v>55</v>
      </c>
      <c r="P822" s="356" t="s">
        <v>55</v>
      </c>
      <c r="Q822" s="356" t="s">
        <v>55</v>
      </c>
      <c r="R822" s="220" t="s">
        <v>55</v>
      </c>
      <c r="S822" s="293" t="s">
        <v>55</v>
      </c>
      <c r="T822" s="324" t="s">
        <v>55</v>
      </c>
    </row>
    <row r="823" spans="2:27" ht="17.25" customHeight="1" x14ac:dyDescent="0.25">
      <c r="B823" s="684"/>
      <c r="C823" s="518" t="s">
        <v>667</v>
      </c>
      <c r="D823" s="233" t="s">
        <v>55</v>
      </c>
      <c r="E823" s="233" t="s">
        <v>55</v>
      </c>
      <c r="F823" s="224" t="s">
        <v>55</v>
      </c>
      <c r="G823" s="214" t="s">
        <v>55</v>
      </c>
      <c r="H823" s="235" t="s">
        <v>55</v>
      </c>
      <c r="I823" s="235" t="s">
        <v>55</v>
      </c>
      <c r="J823" s="215" t="s">
        <v>55</v>
      </c>
      <c r="K823" s="216" t="s">
        <v>55</v>
      </c>
      <c r="L823" s="237" t="s">
        <v>55</v>
      </c>
      <c r="M823" s="238" t="s">
        <v>55</v>
      </c>
      <c r="N823" s="215" t="s">
        <v>55</v>
      </c>
      <c r="O823" s="220" t="s">
        <v>55</v>
      </c>
      <c r="P823" s="356" t="s">
        <v>55</v>
      </c>
      <c r="Q823" s="356" t="s">
        <v>55</v>
      </c>
      <c r="R823" s="220" t="s">
        <v>55</v>
      </c>
      <c r="S823" s="293" t="s">
        <v>55</v>
      </c>
      <c r="T823" s="324" t="s">
        <v>55</v>
      </c>
    </row>
    <row r="824" spans="2:27" ht="24" customHeight="1" x14ac:dyDescent="0.25">
      <c r="B824" s="627">
        <v>19.32</v>
      </c>
      <c r="C824" s="518" t="s">
        <v>95</v>
      </c>
      <c r="D824" s="233" t="s">
        <v>55</v>
      </c>
      <c r="E824" s="233" t="s">
        <v>55</v>
      </c>
      <c r="F824" s="214">
        <v>1</v>
      </c>
      <c r="G824" s="214" t="s">
        <v>55</v>
      </c>
      <c r="H824" s="235">
        <v>7.43</v>
      </c>
      <c r="I824" s="235">
        <v>3.86</v>
      </c>
      <c r="J824" s="215">
        <f t="shared" ref="J824" si="467">H824*I824</f>
        <v>28.679799999999997</v>
      </c>
      <c r="K824" s="216" t="s">
        <v>55</v>
      </c>
      <c r="L824" s="237">
        <v>1</v>
      </c>
      <c r="M824" s="650" t="s">
        <v>55</v>
      </c>
      <c r="N824" s="215" t="s">
        <v>55</v>
      </c>
      <c r="O824" s="220">
        <f t="shared" ref="O824" si="468">CEILING((J824*L824),10)</f>
        <v>30</v>
      </c>
      <c r="P824" s="356" t="s">
        <v>55</v>
      </c>
      <c r="Q824" s="356">
        <f t="shared" ref="Q824" si="469">O824/J824</f>
        <v>1.0460323991101752</v>
      </c>
      <c r="R824" s="217" t="s">
        <v>55</v>
      </c>
      <c r="S824" s="519" t="s">
        <v>55</v>
      </c>
      <c r="T824" s="761" t="s">
        <v>326</v>
      </c>
      <c r="Z824" s="296" t="s">
        <v>679</v>
      </c>
      <c r="AA824" s="207" t="s">
        <v>603</v>
      </c>
    </row>
    <row r="825" spans="2:27" ht="34.5" customHeight="1" x14ac:dyDescent="0.25">
      <c r="B825" s="627">
        <v>19.329999999999998</v>
      </c>
      <c r="C825" s="518" t="s">
        <v>671</v>
      </c>
      <c r="D825" s="233" t="s">
        <v>55</v>
      </c>
      <c r="E825" s="233" t="s">
        <v>55</v>
      </c>
      <c r="F825" s="214">
        <v>1</v>
      </c>
      <c r="G825" s="214">
        <v>4</v>
      </c>
      <c r="H825" s="235">
        <v>17.13</v>
      </c>
      <c r="I825" s="235">
        <v>3.86</v>
      </c>
      <c r="J825" s="215">
        <f>H825*I825</f>
        <v>66.121799999999993</v>
      </c>
      <c r="K825" s="216" t="s">
        <v>670</v>
      </c>
      <c r="L825" s="237" t="s">
        <v>55</v>
      </c>
      <c r="M825" s="650" t="s">
        <v>55</v>
      </c>
      <c r="N825" s="215">
        <f>60*F825+20*G825</f>
        <v>140</v>
      </c>
      <c r="O825" s="220">
        <f>60*F825+20*G825</f>
        <v>140</v>
      </c>
      <c r="P825" s="356">
        <f>N825/J825</f>
        <v>2.1173047315711311</v>
      </c>
      <c r="Q825" s="356">
        <f t="shared" ref="Q825:Q826" si="470">O825/J825</f>
        <v>2.1173047315711311</v>
      </c>
      <c r="R825" s="217" t="s">
        <v>55</v>
      </c>
      <c r="S825" s="608" t="s">
        <v>259</v>
      </c>
      <c r="T825" s="520" t="s">
        <v>326</v>
      </c>
    </row>
    <row r="826" spans="2:27" ht="17.25" customHeight="1" x14ac:dyDescent="0.25">
      <c r="B826" s="760">
        <v>19.34</v>
      </c>
      <c r="C826" s="518" t="s">
        <v>54</v>
      </c>
      <c r="D826" s="233" t="s">
        <v>303</v>
      </c>
      <c r="E826" s="233" t="s">
        <v>55</v>
      </c>
      <c r="F826" s="214" t="s">
        <v>55</v>
      </c>
      <c r="G826" s="214" t="s">
        <v>55</v>
      </c>
      <c r="H826" s="235">
        <v>17.149999999999999</v>
      </c>
      <c r="I826" s="235">
        <v>3.86</v>
      </c>
      <c r="J826" s="215">
        <f t="shared" ref="J826" si="471">H826*I826</f>
        <v>66.198999999999998</v>
      </c>
      <c r="K826" s="216" t="s">
        <v>55</v>
      </c>
      <c r="L826" s="237">
        <v>1</v>
      </c>
      <c r="M826" s="650" t="s">
        <v>55</v>
      </c>
      <c r="N826" s="215" t="s">
        <v>55</v>
      </c>
      <c r="O826" s="220">
        <f t="shared" ref="O826:O827" si="472">CEILING((J826*L826),10)</f>
        <v>70</v>
      </c>
      <c r="P826" s="356" t="s">
        <v>55</v>
      </c>
      <c r="Q826" s="356">
        <f t="shared" si="470"/>
        <v>1.0574177857671567</v>
      </c>
      <c r="R826" s="217" t="s">
        <v>55</v>
      </c>
      <c r="S826" s="608" t="s">
        <v>55</v>
      </c>
      <c r="T826" s="520" t="s">
        <v>326</v>
      </c>
      <c r="Z826" s="207" t="s">
        <v>678</v>
      </c>
      <c r="AA826" s="207" t="s">
        <v>603</v>
      </c>
    </row>
    <row r="827" spans="2:27" ht="21" customHeight="1" x14ac:dyDescent="0.25">
      <c r="B827" s="627">
        <v>19.350000000000001</v>
      </c>
      <c r="C827" s="518" t="s">
        <v>672</v>
      </c>
      <c r="D827" s="233" t="s">
        <v>560</v>
      </c>
      <c r="E827" s="233" t="s">
        <v>55</v>
      </c>
      <c r="F827" s="214">
        <v>1</v>
      </c>
      <c r="G827" s="214" t="s">
        <v>55</v>
      </c>
      <c r="H827" s="235">
        <v>12.56</v>
      </c>
      <c r="I827" s="235">
        <v>3.86</v>
      </c>
      <c r="J827" s="215">
        <f>H827*I827</f>
        <v>48.4816</v>
      </c>
      <c r="K827" s="216" t="s">
        <v>55</v>
      </c>
      <c r="L827" s="237">
        <v>1</v>
      </c>
      <c r="M827" s="650" t="s">
        <v>55</v>
      </c>
      <c r="N827" s="215" t="s">
        <v>55</v>
      </c>
      <c r="O827" s="220">
        <f t="shared" si="472"/>
        <v>50</v>
      </c>
      <c r="P827" s="356" t="s">
        <v>55</v>
      </c>
      <c r="Q827" s="356">
        <f t="shared" ref="Q827" si="473">O827/J827</f>
        <v>1.0313190983795915</v>
      </c>
      <c r="R827" s="217" t="s">
        <v>55</v>
      </c>
      <c r="S827" s="608" t="s">
        <v>259</v>
      </c>
      <c r="T827" s="520" t="s">
        <v>326</v>
      </c>
      <c r="Z827" s="207" t="s">
        <v>673</v>
      </c>
      <c r="AA827" s="207" t="s">
        <v>603</v>
      </c>
    </row>
    <row r="828" spans="2:27" ht="23.25" customHeight="1" x14ac:dyDescent="0.25">
      <c r="B828" s="627">
        <v>19.37</v>
      </c>
      <c r="C828" s="518" t="s">
        <v>674</v>
      </c>
      <c r="D828" s="233" t="s">
        <v>55</v>
      </c>
      <c r="E828" s="233" t="s">
        <v>55</v>
      </c>
      <c r="F828" s="214">
        <v>6</v>
      </c>
      <c r="G828" s="214" t="s">
        <v>55</v>
      </c>
      <c r="H828" s="235">
        <v>37.64</v>
      </c>
      <c r="I828" s="235">
        <v>3.86</v>
      </c>
      <c r="J828" s="215">
        <f>H828*I828</f>
        <v>145.29040000000001</v>
      </c>
      <c r="K828" s="216" t="s">
        <v>559</v>
      </c>
      <c r="L828" s="237" t="s">
        <v>55</v>
      </c>
      <c r="M828" s="650" t="s">
        <v>55</v>
      </c>
      <c r="N828" s="215">
        <f>60*F828</f>
        <v>360</v>
      </c>
      <c r="O828" s="220">
        <f>60*F828-O826</f>
        <v>290</v>
      </c>
      <c r="P828" s="356">
        <f>N828/J828</f>
        <v>2.4777961930038046</v>
      </c>
      <c r="Q828" s="356">
        <f t="shared" ref="Q828" si="474">O828/J828</f>
        <v>1.9960024888086205</v>
      </c>
      <c r="R828" s="217" t="s">
        <v>55</v>
      </c>
      <c r="S828" s="608" t="s">
        <v>259</v>
      </c>
      <c r="T828" s="520" t="s">
        <v>326</v>
      </c>
      <c r="U828" s="297"/>
      <c r="V828" s="297"/>
      <c r="W828" s="296"/>
      <c r="X828" s="296"/>
      <c r="Y828" s="296"/>
      <c r="Z828" s="296"/>
    </row>
    <row r="829" spans="2:27" ht="17.25" customHeight="1" x14ac:dyDescent="0.25">
      <c r="B829" s="627"/>
      <c r="C829" s="518" t="s">
        <v>675</v>
      </c>
      <c r="D829" s="233" t="s">
        <v>55</v>
      </c>
      <c r="E829" s="233" t="s">
        <v>55</v>
      </c>
      <c r="F829" s="224" t="s">
        <v>55</v>
      </c>
      <c r="G829" s="214" t="s">
        <v>55</v>
      </c>
      <c r="H829" s="235" t="s">
        <v>55</v>
      </c>
      <c r="I829" s="235" t="s">
        <v>55</v>
      </c>
      <c r="J829" s="215" t="s">
        <v>55</v>
      </c>
      <c r="K829" s="237" t="s">
        <v>55</v>
      </c>
      <c r="L829" s="237" t="s">
        <v>55</v>
      </c>
      <c r="M829" s="238" t="s">
        <v>55</v>
      </c>
      <c r="N829" s="215" t="s">
        <v>55</v>
      </c>
      <c r="O829" s="220" t="s">
        <v>55</v>
      </c>
      <c r="P829" s="356" t="s">
        <v>55</v>
      </c>
      <c r="Q829" s="356" t="s">
        <v>55</v>
      </c>
      <c r="R829" s="220" t="s">
        <v>55</v>
      </c>
      <c r="S829" s="293" t="s">
        <v>55</v>
      </c>
      <c r="T829" s="324" t="s">
        <v>55</v>
      </c>
      <c r="U829" s="297"/>
      <c r="V829" s="297"/>
      <c r="W829" s="296"/>
      <c r="X829" s="296"/>
      <c r="Y829" s="296"/>
      <c r="Z829" s="296"/>
    </row>
    <row r="830" spans="2:27" ht="24" customHeight="1" x14ac:dyDescent="0.25">
      <c r="B830" s="627">
        <v>19.38</v>
      </c>
      <c r="C830" s="518" t="s">
        <v>20</v>
      </c>
      <c r="D830" s="233" t="s">
        <v>55</v>
      </c>
      <c r="E830" s="233" t="s">
        <v>55</v>
      </c>
      <c r="F830" s="214" t="s">
        <v>55</v>
      </c>
      <c r="G830" s="214">
        <v>8</v>
      </c>
      <c r="H830" s="235">
        <v>17.72</v>
      </c>
      <c r="I830" s="235">
        <v>3.86</v>
      </c>
      <c r="J830" s="215">
        <f t="shared" ref="J830:J831" si="475">H830*I830</f>
        <v>68.399199999999993</v>
      </c>
      <c r="K830" s="216" t="s">
        <v>558</v>
      </c>
      <c r="L830" s="237" t="s">
        <v>55</v>
      </c>
      <c r="M830" s="238" t="s">
        <v>55</v>
      </c>
      <c r="N830" s="215">
        <f>20*G830</f>
        <v>160</v>
      </c>
      <c r="O830" s="220">
        <f>20*G830</f>
        <v>160</v>
      </c>
      <c r="P830" s="356">
        <f t="shared" ref="P830" si="476">N830/J830</f>
        <v>2.3392086457151549</v>
      </c>
      <c r="Q830" s="356">
        <f t="shared" ref="Q830" si="477">O830/J830</f>
        <v>2.3392086457151549</v>
      </c>
      <c r="R830" s="217" t="s">
        <v>55</v>
      </c>
      <c r="S830" s="608" t="s">
        <v>259</v>
      </c>
      <c r="T830" s="520" t="s">
        <v>326</v>
      </c>
      <c r="U830" s="297"/>
      <c r="V830" s="297"/>
      <c r="W830" s="296"/>
      <c r="X830" s="296"/>
      <c r="Y830" s="296"/>
      <c r="Z830" s="296"/>
    </row>
    <row r="831" spans="2:27" ht="17.25" customHeight="1" x14ac:dyDescent="0.25">
      <c r="B831" s="627">
        <v>19.39</v>
      </c>
      <c r="C831" s="518" t="s">
        <v>676</v>
      </c>
      <c r="D831" s="233" t="s">
        <v>303</v>
      </c>
      <c r="E831" s="233" t="s">
        <v>55</v>
      </c>
      <c r="F831" s="214" t="s">
        <v>55</v>
      </c>
      <c r="G831" s="214" t="s">
        <v>55</v>
      </c>
      <c r="H831" s="235">
        <v>12.44</v>
      </c>
      <c r="I831" s="235">
        <v>3.86</v>
      </c>
      <c r="J831" s="215">
        <f t="shared" si="475"/>
        <v>48.0184</v>
      </c>
      <c r="K831" s="216">
        <v>1</v>
      </c>
      <c r="L831" s="237" t="s">
        <v>55</v>
      </c>
      <c r="M831" s="650" t="s">
        <v>55</v>
      </c>
      <c r="N831" s="215">
        <f>CEILING((J831*K831),10)</f>
        <v>50</v>
      </c>
      <c r="O831" s="220" t="s">
        <v>55</v>
      </c>
      <c r="P831" s="356">
        <f>N831/J831</f>
        <v>1.0412675141195875</v>
      </c>
      <c r="Q831" s="356" t="s">
        <v>55</v>
      </c>
      <c r="R831" s="217" t="s">
        <v>55</v>
      </c>
      <c r="S831" s="608" t="s">
        <v>259</v>
      </c>
      <c r="T831" s="800" t="s">
        <v>55</v>
      </c>
      <c r="Z831" s="207" t="s">
        <v>673</v>
      </c>
      <c r="AA831" s="207" t="s">
        <v>603</v>
      </c>
    </row>
    <row r="832" spans="2:27" ht="17.25" customHeight="1" x14ac:dyDescent="0.25">
      <c r="B832" s="627">
        <v>19.399999999999999</v>
      </c>
      <c r="C832" s="518" t="s">
        <v>553</v>
      </c>
      <c r="D832" s="325" t="s">
        <v>55</v>
      </c>
      <c r="E832" s="325" t="s">
        <v>55</v>
      </c>
      <c r="F832" s="304" t="s">
        <v>55</v>
      </c>
      <c r="G832" s="304" t="s">
        <v>55</v>
      </c>
      <c r="H832" s="235">
        <v>9.99</v>
      </c>
      <c r="I832" s="235">
        <v>3.86</v>
      </c>
      <c r="J832" s="215">
        <f>H832*I832</f>
        <v>38.561399999999999</v>
      </c>
      <c r="K832" s="216">
        <v>1</v>
      </c>
      <c r="L832" s="237">
        <v>1</v>
      </c>
      <c r="M832" s="650" t="s">
        <v>55</v>
      </c>
      <c r="N832" s="215">
        <f>CEILING((J832*K832),10)</f>
        <v>40</v>
      </c>
      <c r="O832" s="220">
        <f t="shared" ref="O832" si="478">CEILING((J832*L832),10)</f>
        <v>40</v>
      </c>
      <c r="P832" s="356" t="s">
        <v>55</v>
      </c>
      <c r="Q832" s="356">
        <f>O832/J832</f>
        <v>1.0373067367886022</v>
      </c>
      <c r="R832" s="217" t="s">
        <v>55</v>
      </c>
      <c r="S832" s="519" t="s">
        <v>259</v>
      </c>
      <c r="T832" s="761" t="s">
        <v>326</v>
      </c>
    </row>
    <row r="833" spans="2:27" ht="21.75" customHeight="1" x14ac:dyDescent="0.25">
      <c r="B833" s="760">
        <v>19.41</v>
      </c>
      <c r="C833" s="518" t="s">
        <v>677</v>
      </c>
      <c r="D833" s="233" t="s">
        <v>55</v>
      </c>
      <c r="E833" s="233" t="s">
        <v>55</v>
      </c>
      <c r="F833" s="214">
        <v>26</v>
      </c>
      <c r="G833" s="214" t="s">
        <v>55</v>
      </c>
      <c r="H833" s="235">
        <v>219.54</v>
      </c>
      <c r="I833" s="235">
        <v>3.86</v>
      </c>
      <c r="J833" s="215">
        <f t="shared" ref="J833:J834" si="479">H833*I833</f>
        <v>847.42439999999999</v>
      </c>
      <c r="K833" s="216" t="s">
        <v>559</v>
      </c>
      <c r="L833" s="237" t="s">
        <v>55</v>
      </c>
      <c r="M833" s="650" t="s">
        <v>55</v>
      </c>
      <c r="N833" s="215">
        <f>60*F833</f>
        <v>1560</v>
      </c>
      <c r="O833" s="220">
        <f>60*F833</f>
        <v>1560</v>
      </c>
      <c r="P833" s="356">
        <f>N833/J833</f>
        <v>1.8408721769163126</v>
      </c>
      <c r="Q833" s="356">
        <f>O833/J833</f>
        <v>1.8408721769163126</v>
      </c>
      <c r="R833" s="218" t="s">
        <v>55</v>
      </c>
      <c r="S833" s="608" t="s">
        <v>259</v>
      </c>
      <c r="T833" s="520" t="s">
        <v>326</v>
      </c>
      <c r="U833" s="297"/>
      <c r="V833" s="297"/>
      <c r="W833" s="296"/>
      <c r="X833" s="296"/>
      <c r="Y833" s="296"/>
      <c r="Z833" s="296"/>
    </row>
    <row r="834" spans="2:27" ht="17.25" customHeight="1" x14ac:dyDescent="0.25">
      <c r="B834" s="760">
        <v>19.420000000000002</v>
      </c>
      <c r="C834" s="518" t="s">
        <v>95</v>
      </c>
      <c r="D834" s="233" t="s">
        <v>55</v>
      </c>
      <c r="E834" s="233" t="s">
        <v>55</v>
      </c>
      <c r="F834" s="214" t="s">
        <v>55</v>
      </c>
      <c r="G834" s="214" t="s">
        <v>55</v>
      </c>
      <c r="H834" s="235">
        <v>7.43</v>
      </c>
      <c r="I834" s="235">
        <v>3.86</v>
      </c>
      <c r="J834" s="215">
        <f t="shared" si="479"/>
        <v>28.679799999999997</v>
      </c>
      <c r="K834" s="216" t="s">
        <v>55</v>
      </c>
      <c r="L834" s="237">
        <v>1</v>
      </c>
      <c r="M834" s="650" t="s">
        <v>55</v>
      </c>
      <c r="N834" s="215" t="s">
        <v>55</v>
      </c>
      <c r="O834" s="220">
        <f t="shared" ref="O834" si="480">CEILING((J834*L834),10)</f>
        <v>30</v>
      </c>
      <c r="P834" s="356" t="s">
        <v>55</v>
      </c>
      <c r="Q834" s="356">
        <f t="shared" ref="Q834" si="481">O834/J834</f>
        <v>1.0460323991101752</v>
      </c>
      <c r="R834" s="217" t="s">
        <v>55</v>
      </c>
      <c r="S834" s="519" t="s">
        <v>55</v>
      </c>
      <c r="T834" s="761" t="s">
        <v>326</v>
      </c>
      <c r="Z834" s="207" t="s">
        <v>680</v>
      </c>
      <c r="AA834" s="207" t="s">
        <v>603</v>
      </c>
    </row>
    <row r="835" spans="2:27" ht="17.25" customHeight="1" x14ac:dyDescent="0.25">
      <c r="B835" s="760">
        <v>19.43</v>
      </c>
      <c r="C835" s="518" t="s">
        <v>101</v>
      </c>
      <c r="D835" s="233" t="s">
        <v>560</v>
      </c>
      <c r="E835" s="233" t="s">
        <v>55</v>
      </c>
      <c r="F835" s="214" t="s">
        <v>55</v>
      </c>
      <c r="G835" s="214" t="s">
        <v>55</v>
      </c>
      <c r="H835" s="235">
        <v>15.42</v>
      </c>
      <c r="I835" s="235">
        <v>3.86</v>
      </c>
      <c r="J835" s="215">
        <f t="shared" ref="J835" si="482">H835*I835</f>
        <v>59.5212</v>
      </c>
      <c r="K835" s="216" t="s">
        <v>55</v>
      </c>
      <c r="L835" s="237">
        <v>1</v>
      </c>
      <c r="M835" s="650" t="s">
        <v>55</v>
      </c>
      <c r="N835" s="215" t="s">
        <v>55</v>
      </c>
      <c r="O835" s="220">
        <f t="shared" ref="O835" si="483">CEILING((J835*L835),10)</f>
        <v>60</v>
      </c>
      <c r="P835" s="356" t="s">
        <v>55</v>
      </c>
      <c r="Q835" s="356">
        <f t="shared" ref="Q835" si="484">O835/J835</f>
        <v>1.0080441926574062</v>
      </c>
      <c r="R835" s="217" t="s">
        <v>55</v>
      </c>
      <c r="S835" s="519" t="s">
        <v>55</v>
      </c>
      <c r="T835" s="761" t="s">
        <v>326</v>
      </c>
      <c r="Z835" s="207" t="s">
        <v>680</v>
      </c>
      <c r="AA835" s="207" t="s">
        <v>603</v>
      </c>
    </row>
    <row r="836" spans="2:27" ht="17.25" customHeight="1" x14ac:dyDescent="0.25">
      <c r="B836" s="760">
        <v>19.440000000000001</v>
      </c>
      <c r="C836" s="518" t="s">
        <v>553</v>
      </c>
      <c r="D836" s="233" t="s">
        <v>55</v>
      </c>
      <c r="E836" s="233" t="s">
        <v>55</v>
      </c>
      <c r="F836" s="214" t="s">
        <v>55</v>
      </c>
      <c r="G836" s="214" t="s">
        <v>55</v>
      </c>
      <c r="H836" s="235">
        <v>7.49</v>
      </c>
      <c r="I836" s="235">
        <v>3.86</v>
      </c>
      <c r="J836" s="215">
        <f t="shared" ref="J836:J843" si="485">H836*I836</f>
        <v>28.9114</v>
      </c>
      <c r="K836" s="216" t="s">
        <v>55</v>
      </c>
      <c r="L836" s="237">
        <v>1</v>
      </c>
      <c r="M836" s="650" t="s">
        <v>55</v>
      </c>
      <c r="N836" s="215" t="s">
        <v>55</v>
      </c>
      <c r="O836" s="220">
        <f t="shared" ref="O836" si="486">CEILING((J836*L836),10)</f>
        <v>30</v>
      </c>
      <c r="P836" s="356" t="s">
        <v>55</v>
      </c>
      <c r="Q836" s="356">
        <f t="shared" ref="Q836" si="487">O836/J836</f>
        <v>1.0376529673416022</v>
      </c>
      <c r="R836" s="217" t="s">
        <v>55</v>
      </c>
      <c r="S836" s="608" t="s">
        <v>55</v>
      </c>
      <c r="T836" s="520" t="s">
        <v>326</v>
      </c>
      <c r="Z836" s="207" t="s">
        <v>685</v>
      </c>
      <c r="AA836" s="207" t="s">
        <v>604</v>
      </c>
    </row>
    <row r="837" spans="2:27" ht="23.25" customHeight="1" x14ac:dyDescent="0.25">
      <c r="B837" s="760">
        <v>19.45</v>
      </c>
      <c r="C837" s="518" t="s">
        <v>681</v>
      </c>
      <c r="D837" s="233" t="s">
        <v>55</v>
      </c>
      <c r="E837" s="233" t="s">
        <v>55</v>
      </c>
      <c r="F837" s="214">
        <v>5</v>
      </c>
      <c r="G837" s="214" t="s">
        <v>55</v>
      </c>
      <c r="H837" s="235">
        <v>30.3</v>
      </c>
      <c r="I837" s="235">
        <v>3.86</v>
      </c>
      <c r="J837" s="215">
        <f t="shared" si="485"/>
        <v>116.958</v>
      </c>
      <c r="K837" s="216" t="s">
        <v>559</v>
      </c>
      <c r="L837" s="237" t="s">
        <v>55</v>
      </c>
      <c r="M837" s="650" t="s">
        <v>55</v>
      </c>
      <c r="N837" s="215">
        <f>60*F837</f>
        <v>300</v>
      </c>
      <c r="O837" s="220">
        <f>60*F837</f>
        <v>300</v>
      </c>
      <c r="P837" s="356">
        <f>N837/J837</f>
        <v>2.5650233417124095</v>
      </c>
      <c r="Q837" s="356">
        <f>O837/J837</f>
        <v>2.5650233417124095</v>
      </c>
      <c r="R837" s="218" t="s">
        <v>55</v>
      </c>
      <c r="S837" s="608" t="s">
        <v>259</v>
      </c>
      <c r="T837" s="520" t="s">
        <v>326</v>
      </c>
    </row>
    <row r="838" spans="2:27" ht="17.25" customHeight="1" x14ac:dyDescent="0.25">
      <c r="B838" s="760"/>
      <c r="C838" s="518" t="s">
        <v>682</v>
      </c>
      <c r="D838" s="233" t="s">
        <v>55</v>
      </c>
      <c r="E838" s="233" t="s">
        <v>55</v>
      </c>
      <c r="F838" s="233" t="s">
        <v>55</v>
      </c>
      <c r="G838" s="233" t="s">
        <v>55</v>
      </c>
      <c r="H838" s="233" t="s">
        <v>55</v>
      </c>
      <c r="I838" s="233" t="s">
        <v>55</v>
      </c>
      <c r="J838" s="233" t="s">
        <v>55</v>
      </c>
      <c r="K838" s="216" t="s">
        <v>55</v>
      </c>
      <c r="L838" s="233" t="s">
        <v>55</v>
      </c>
      <c r="M838" s="233" t="s">
        <v>55</v>
      </c>
      <c r="N838" s="217" t="s">
        <v>55</v>
      </c>
      <c r="O838" s="218" t="s">
        <v>55</v>
      </c>
      <c r="P838" s="400" t="s">
        <v>55</v>
      </c>
      <c r="Q838" s="400" t="s">
        <v>55</v>
      </c>
      <c r="R838" s="218" t="s">
        <v>55</v>
      </c>
      <c r="S838" s="233" t="s">
        <v>55</v>
      </c>
      <c r="T838" s="520" t="s">
        <v>55</v>
      </c>
    </row>
    <row r="839" spans="2:27" ht="17.25" customHeight="1" x14ac:dyDescent="0.25">
      <c r="B839" s="760"/>
      <c r="C839" s="518" t="s">
        <v>683</v>
      </c>
      <c r="D839" s="233" t="s">
        <v>55</v>
      </c>
      <c r="E839" s="233" t="s">
        <v>55</v>
      </c>
      <c r="F839" s="233" t="s">
        <v>55</v>
      </c>
      <c r="G839" s="233" t="s">
        <v>55</v>
      </c>
      <c r="H839" s="233" t="s">
        <v>55</v>
      </c>
      <c r="I839" s="233" t="s">
        <v>55</v>
      </c>
      <c r="J839" s="233" t="s">
        <v>55</v>
      </c>
      <c r="K839" s="216" t="s">
        <v>55</v>
      </c>
      <c r="L839" s="233" t="s">
        <v>55</v>
      </c>
      <c r="M839" s="233" t="s">
        <v>55</v>
      </c>
      <c r="N839" s="217" t="s">
        <v>55</v>
      </c>
      <c r="O839" s="218" t="s">
        <v>55</v>
      </c>
      <c r="P839" s="400" t="s">
        <v>55</v>
      </c>
      <c r="Q839" s="400" t="s">
        <v>55</v>
      </c>
      <c r="R839" s="218" t="s">
        <v>55</v>
      </c>
      <c r="S839" s="233" t="s">
        <v>55</v>
      </c>
      <c r="T839" s="520" t="s">
        <v>55</v>
      </c>
    </row>
    <row r="840" spans="2:27" ht="17.25" customHeight="1" x14ac:dyDescent="0.25">
      <c r="B840" s="760"/>
      <c r="C840" s="518" t="s">
        <v>684</v>
      </c>
      <c r="D840" s="233" t="s">
        <v>55</v>
      </c>
      <c r="E840" s="233" t="s">
        <v>55</v>
      </c>
      <c r="F840" s="233" t="s">
        <v>55</v>
      </c>
      <c r="G840" s="233" t="s">
        <v>55</v>
      </c>
      <c r="H840" s="233" t="s">
        <v>55</v>
      </c>
      <c r="I840" s="233" t="s">
        <v>55</v>
      </c>
      <c r="J840" s="233" t="s">
        <v>55</v>
      </c>
      <c r="K840" s="216" t="s">
        <v>55</v>
      </c>
      <c r="L840" s="233" t="s">
        <v>55</v>
      </c>
      <c r="M840" s="233" t="s">
        <v>55</v>
      </c>
      <c r="N840" s="217" t="s">
        <v>55</v>
      </c>
      <c r="O840" s="218" t="s">
        <v>55</v>
      </c>
      <c r="P840" s="400" t="s">
        <v>55</v>
      </c>
      <c r="Q840" s="400" t="s">
        <v>55</v>
      </c>
      <c r="R840" s="218" t="s">
        <v>55</v>
      </c>
      <c r="S840" s="233" t="s">
        <v>55</v>
      </c>
      <c r="T840" s="520" t="s">
        <v>55</v>
      </c>
    </row>
    <row r="841" spans="2:27" ht="17.25" customHeight="1" x14ac:dyDescent="0.25">
      <c r="B841" s="760">
        <v>19.46</v>
      </c>
      <c r="C841" s="518" t="s">
        <v>551</v>
      </c>
      <c r="D841" s="233" t="s">
        <v>55</v>
      </c>
      <c r="E841" s="233" t="s">
        <v>55</v>
      </c>
      <c r="F841" s="214" t="s">
        <v>55</v>
      </c>
      <c r="G841" s="214" t="s">
        <v>55</v>
      </c>
      <c r="H841" s="648">
        <v>4.05</v>
      </c>
      <c r="I841" s="235">
        <v>3.86</v>
      </c>
      <c r="J841" s="215">
        <f t="shared" ref="J841" si="488">H841*I841</f>
        <v>15.632999999999999</v>
      </c>
      <c r="K841" s="216" t="s">
        <v>55</v>
      </c>
      <c r="L841" s="237">
        <v>1</v>
      </c>
      <c r="M841" s="650" t="s">
        <v>55</v>
      </c>
      <c r="N841" s="215" t="s">
        <v>55</v>
      </c>
      <c r="O841" s="220">
        <f t="shared" ref="O841" si="489">CEILING((J841*L841),10)</f>
        <v>20</v>
      </c>
      <c r="P841" s="356" t="s">
        <v>55</v>
      </c>
      <c r="Q841" s="356">
        <f t="shared" ref="Q841" si="490">O841/J841</f>
        <v>1.2793449753726094</v>
      </c>
      <c r="R841" s="217" t="s">
        <v>55</v>
      </c>
      <c r="S841" s="519" t="s">
        <v>55</v>
      </c>
      <c r="T841" s="761" t="s">
        <v>326</v>
      </c>
      <c r="Z841" s="207" t="s">
        <v>685</v>
      </c>
      <c r="AA841" s="207" t="s">
        <v>604</v>
      </c>
    </row>
    <row r="842" spans="2:27" ht="21" customHeight="1" x14ac:dyDescent="0.25">
      <c r="B842" s="760">
        <v>19.47</v>
      </c>
      <c r="C842" s="518" t="s">
        <v>686</v>
      </c>
      <c r="D842" s="233" t="s">
        <v>55</v>
      </c>
      <c r="E842" s="233" t="s">
        <v>55</v>
      </c>
      <c r="F842" s="214">
        <v>21</v>
      </c>
      <c r="G842" s="214" t="s">
        <v>55</v>
      </c>
      <c r="H842" s="235">
        <v>194.14</v>
      </c>
      <c r="I842" s="235">
        <v>3.86</v>
      </c>
      <c r="J842" s="215">
        <f t="shared" si="485"/>
        <v>749.3803999999999</v>
      </c>
      <c r="K842" s="216" t="s">
        <v>559</v>
      </c>
      <c r="L842" s="237" t="s">
        <v>55</v>
      </c>
      <c r="M842" s="650" t="s">
        <v>55</v>
      </c>
      <c r="N842" s="215">
        <f>60*F842</f>
        <v>1260</v>
      </c>
      <c r="O842" s="220">
        <f>60*F842-O841-O836</f>
        <v>1210</v>
      </c>
      <c r="P842" s="356">
        <f>N842/J842</f>
        <v>1.6813890515417806</v>
      </c>
      <c r="Q842" s="356">
        <f>O842/J842</f>
        <v>1.6146672637821862</v>
      </c>
      <c r="R842" s="218" t="s">
        <v>55</v>
      </c>
      <c r="S842" s="608" t="s">
        <v>259</v>
      </c>
      <c r="T842" s="520" t="s">
        <v>326</v>
      </c>
    </row>
    <row r="843" spans="2:27" ht="36" x14ac:dyDescent="0.25">
      <c r="B843" s="760">
        <v>19.48</v>
      </c>
      <c r="C843" s="518" t="s">
        <v>586</v>
      </c>
      <c r="D843" s="233" t="s">
        <v>55</v>
      </c>
      <c r="E843" s="233" t="s">
        <v>55</v>
      </c>
      <c r="F843" s="214">
        <v>1</v>
      </c>
      <c r="G843" s="214">
        <v>4</v>
      </c>
      <c r="H843" s="235">
        <v>22.09</v>
      </c>
      <c r="I843" s="235">
        <v>3.86</v>
      </c>
      <c r="J843" s="215">
        <f t="shared" si="485"/>
        <v>85.267399999999995</v>
      </c>
      <c r="K843" s="216" t="s">
        <v>670</v>
      </c>
      <c r="L843" s="237" t="s">
        <v>55</v>
      </c>
      <c r="M843" s="650" t="s">
        <v>55</v>
      </c>
      <c r="N843" s="215">
        <f>60*F843+20*G843</f>
        <v>140</v>
      </c>
      <c r="O843" s="220">
        <f>60*F843+20*G843</f>
        <v>140</v>
      </c>
      <c r="P843" s="356">
        <f>N843/J843</f>
        <v>1.641893619366839</v>
      </c>
      <c r="Q843" s="356">
        <f>O843/J843</f>
        <v>1.641893619366839</v>
      </c>
      <c r="R843" s="218" t="s">
        <v>55</v>
      </c>
      <c r="S843" s="608" t="s">
        <v>259</v>
      </c>
      <c r="T843" s="520" t="s">
        <v>326</v>
      </c>
    </row>
    <row r="844" spans="2:27" ht="17.25" customHeight="1" x14ac:dyDescent="0.25">
      <c r="B844" s="784"/>
      <c r="C844" s="518" t="s">
        <v>687</v>
      </c>
      <c r="D844" s="233" t="s">
        <v>55</v>
      </c>
      <c r="E844" s="233" t="s">
        <v>55</v>
      </c>
      <c r="F844" s="233" t="s">
        <v>55</v>
      </c>
      <c r="G844" s="233" t="s">
        <v>55</v>
      </c>
      <c r="H844" s="233" t="s">
        <v>55</v>
      </c>
      <c r="I844" s="233" t="s">
        <v>55</v>
      </c>
      <c r="J844" s="233" t="s">
        <v>55</v>
      </c>
      <c r="K844" s="216" t="s">
        <v>55</v>
      </c>
      <c r="L844" s="233" t="s">
        <v>55</v>
      </c>
      <c r="M844" s="233" t="s">
        <v>55</v>
      </c>
      <c r="N844" s="217" t="s">
        <v>55</v>
      </c>
      <c r="O844" s="218" t="s">
        <v>55</v>
      </c>
      <c r="P844" s="400" t="s">
        <v>55</v>
      </c>
      <c r="Q844" s="400" t="s">
        <v>55</v>
      </c>
      <c r="R844" s="218" t="s">
        <v>55</v>
      </c>
      <c r="S844" s="233" t="s">
        <v>55</v>
      </c>
      <c r="T844" s="520" t="s">
        <v>55</v>
      </c>
    </row>
    <row r="845" spans="2:27" ht="17.25" customHeight="1" x14ac:dyDescent="0.25">
      <c r="B845" s="784"/>
      <c r="C845" s="518" t="s">
        <v>542</v>
      </c>
      <c r="D845" s="233" t="s">
        <v>55</v>
      </c>
      <c r="E845" s="233" t="s">
        <v>55</v>
      </c>
      <c r="F845" s="233" t="s">
        <v>55</v>
      </c>
      <c r="G845" s="233" t="s">
        <v>55</v>
      </c>
      <c r="H845" s="233" t="s">
        <v>55</v>
      </c>
      <c r="I845" s="233" t="s">
        <v>55</v>
      </c>
      <c r="J845" s="233" t="s">
        <v>55</v>
      </c>
      <c r="K845" s="216" t="s">
        <v>55</v>
      </c>
      <c r="L845" s="233" t="s">
        <v>55</v>
      </c>
      <c r="M845" s="233" t="s">
        <v>55</v>
      </c>
      <c r="N845" s="217" t="s">
        <v>55</v>
      </c>
      <c r="O845" s="218" t="s">
        <v>55</v>
      </c>
      <c r="P845" s="400" t="s">
        <v>55</v>
      </c>
      <c r="Q845" s="400" t="s">
        <v>55</v>
      </c>
      <c r="R845" s="218" t="s">
        <v>55</v>
      </c>
      <c r="S845" s="233" t="s">
        <v>55</v>
      </c>
      <c r="T845" s="520" t="s">
        <v>55</v>
      </c>
    </row>
    <row r="846" spans="2:27" ht="17.25" customHeight="1" x14ac:dyDescent="0.25">
      <c r="B846" s="760">
        <v>19.489999999999998</v>
      </c>
      <c r="C846" s="518" t="s">
        <v>688</v>
      </c>
      <c r="D846" s="233" t="s">
        <v>55</v>
      </c>
      <c r="E846" s="233" t="s">
        <v>55</v>
      </c>
      <c r="F846" s="214" t="s">
        <v>55</v>
      </c>
      <c r="G846" s="214" t="s">
        <v>55</v>
      </c>
      <c r="H846" s="648">
        <v>12.19</v>
      </c>
      <c r="I846" s="235">
        <v>3.86</v>
      </c>
      <c r="J846" s="215">
        <f t="shared" ref="J846:J847" si="491">H846*I846</f>
        <v>47.053399999999996</v>
      </c>
      <c r="K846" s="216">
        <v>1</v>
      </c>
      <c r="L846" s="237">
        <v>1</v>
      </c>
      <c r="M846" s="650" t="s">
        <v>55</v>
      </c>
      <c r="N846" s="215">
        <f>CEILING((J846*K846),10)</f>
        <v>50</v>
      </c>
      <c r="O846" s="220">
        <f t="shared" ref="O846" si="492">CEILING((J846*L846),10)</f>
        <v>50</v>
      </c>
      <c r="P846" s="356" t="s">
        <v>55</v>
      </c>
      <c r="Q846" s="356">
        <f>O846/J846</f>
        <v>1.0626224672393494</v>
      </c>
      <c r="R846" s="217" t="s">
        <v>55</v>
      </c>
      <c r="S846" s="519" t="s">
        <v>259</v>
      </c>
      <c r="T846" s="761" t="s">
        <v>326</v>
      </c>
    </row>
    <row r="847" spans="2:27" ht="36.75" customHeight="1" x14ac:dyDescent="0.25">
      <c r="B847" s="627">
        <v>19.5</v>
      </c>
      <c r="C847" s="518" t="s">
        <v>625</v>
      </c>
      <c r="D847" s="233" t="s">
        <v>55</v>
      </c>
      <c r="E847" s="233" t="s">
        <v>55</v>
      </c>
      <c r="F847" s="214">
        <v>1</v>
      </c>
      <c r="G847" s="214">
        <v>4</v>
      </c>
      <c r="H847" s="235">
        <v>21.83</v>
      </c>
      <c r="I847" s="235">
        <v>3.86</v>
      </c>
      <c r="J847" s="215">
        <f t="shared" si="491"/>
        <v>84.263799999999989</v>
      </c>
      <c r="K847" s="216" t="s">
        <v>670</v>
      </c>
      <c r="L847" s="237" t="s">
        <v>55</v>
      </c>
      <c r="M847" s="650" t="s">
        <v>55</v>
      </c>
      <c r="N847" s="215">
        <f>60*F847+20*G847</f>
        <v>140</v>
      </c>
      <c r="O847" s="220">
        <f>60*F847+20*G847</f>
        <v>140</v>
      </c>
      <c r="P847" s="356">
        <f>N847/J847</f>
        <v>1.6614489258732696</v>
      </c>
      <c r="Q847" s="356">
        <f t="shared" ref="Q847" si="493">O847/J847</f>
        <v>1.6614489258732696</v>
      </c>
      <c r="R847" s="217" t="s">
        <v>55</v>
      </c>
      <c r="S847" s="608" t="s">
        <v>259</v>
      </c>
      <c r="T847" s="520" t="s">
        <v>326</v>
      </c>
    </row>
    <row r="848" spans="2:27" ht="17.25" customHeight="1" x14ac:dyDescent="0.25">
      <c r="B848" s="684"/>
      <c r="C848" s="518" t="s">
        <v>624</v>
      </c>
      <c r="D848" s="233" t="s">
        <v>55</v>
      </c>
      <c r="E848" s="233" t="s">
        <v>55</v>
      </c>
      <c r="F848" s="224" t="s">
        <v>55</v>
      </c>
      <c r="G848" s="214" t="s">
        <v>55</v>
      </c>
      <c r="H848" s="235" t="s">
        <v>55</v>
      </c>
      <c r="I848" s="235" t="s">
        <v>55</v>
      </c>
      <c r="J848" s="215" t="s">
        <v>55</v>
      </c>
      <c r="K848" s="237" t="s">
        <v>55</v>
      </c>
      <c r="L848" s="237" t="s">
        <v>55</v>
      </c>
      <c r="M848" s="238" t="s">
        <v>55</v>
      </c>
      <c r="N848" s="215" t="s">
        <v>55</v>
      </c>
      <c r="O848" s="220" t="s">
        <v>55</v>
      </c>
      <c r="P848" s="356" t="s">
        <v>55</v>
      </c>
      <c r="Q848" s="356" t="s">
        <v>55</v>
      </c>
      <c r="R848" s="220" t="s">
        <v>55</v>
      </c>
      <c r="S848" s="293" t="s">
        <v>55</v>
      </c>
      <c r="T848" s="324" t="s">
        <v>55</v>
      </c>
    </row>
    <row r="849" spans="2:20" ht="24" x14ac:dyDescent="0.25">
      <c r="B849" s="627">
        <v>19.510000000000002</v>
      </c>
      <c r="C849" s="518" t="s">
        <v>689</v>
      </c>
      <c r="D849" s="233" t="s">
        <v>55</v>
      </c>
      <c r="E849" s="233" t="s">
        <v>55</v>
      </c>
      <c r="F849" s="214">
        <v>1</v>
      </c>
      <c r="G849" s="214" t="s">
        <v>55</v>
      </c>
      <c r="H849" s="235">
        <v>12.07</v>
      </c>
      <c r="I849" s="235">
        <v>3.86</v>
      </c>
      <c r="J849" s="215">
        <f t="shared" ref="J849" si="494">H849*I849</f>
        <v>46.590200000000003</v>
      </c>
      <c r="K849" s="216" t="s">
        <v>559</v>
      </c>
      <c r="L849" s="237" t="s">
        <v>55</v>
      </c>
      <c r="M849" s="650" t="s">
        <v>55</v>
      </c>
      <c r="N849" s="215">
        <f>60*F849</f>
        <v>60</v>
      </c>
      <c r="O849" s="220">
        <f>60*F849</f>
        <v>60</v>
      </c>
      <c r="P849" s="356">
        <f>N849/J849</f>
        <v>1.2878244781091301</v>
      </c>
      <c r="Q849" s="356">
        <f t="shared" ref="Q849" si="495">O849/J849</f>
        <v>1.2878244781091301</v>
      </c>
      <c r="R849" s="217" t="s">
        <v>55</v>
      </c>
      <c r="S849" s="608" t="s">
        <v>259</v>
      </c>
      <c r="T849" s="520" t="s">
        <v>326</v>
      </c>
    </row>
    <row r="850" spans="2:20" ht="17.25" customHeight="1" x14ac:dyDescent="0.25">
      <c r="B850" s="784"/>
      <c r="C850" s="518" t="s">
        <v>584</v>
      </c>
      <c r="D850" s="233" t="s">
        <v>55</v>
      </c>
      <c r="E850" s="233" t="s">
        <v>55</v>
      </c>
      <c r="F850" s="224" t="s">
        <v>55</v>
      </c>
      <c r="G850" s="214" t="s">
        <v>55</v>
      </c>
      <c r="H850" s="235" t="s">
        <v>55</v>
      </c>
      <c r="I850" s="235" t="s">
        <v>55</v>
      </c>
      <c r="J850" s="215" t="s">
        <v>55</v>
      </c>
      <c r="K850" s="216" t="s">
        <v>55</v>
      </c>
      <c r="L850" s="237" t="s">
        <v>55</v>
      </c>
      <c r="M850" s="238" t="s">
        <v>55</v>
      </c>
      <c r="N850" s="215" t="s">
        <v>55</v>
      </c>
      <c r="O850" s="220" t="s">
        <v>55</v>
      </c>
      <c r="P850" s="356" t="s">
        <v>55</v>
      </c>
      <c r="Q850" s="356" t="s">
        <v>55</v>
      </c>
      <c r="R850" s="220" t="s">
        <v>55</v>
      </c>
      <c r="S850" s="293" t="s">
        <v>55</v>
      </c>
      <c r="T850" s="324" t="s">
        <v>55</v>
      </c>
    </row>
    <row r="851" spans="2:20" ht="28.5" customHeight="1" x14ac:dyDescent="0.25">
      <c r="B851" s="627">
        <v>19.52</v>
      </c>
      <c r="C851" s="518" t="s">
        <v>690</v>
      </c>
      <c r="D851" s="233" t="s">
        <v>55</v>
      </c>
      <c r="E851" s="233" t="s">
        <v>55</v>
      </c>
      <c r="F851" s="214">
        <v>1</v>
      </c>
      <c r="G851" s="214" t="s">
        <v>55</v>
      </c>
      <c r="H851" s="235">
        <v>12.07</v>
      </c>
      <c r="I851" s="235">
        <v>3.86</v>
      </c>
      <c r="J851" s="215">
        <f t="shared" ref="J851" si="496">H851*I851</f>
        <v>46.590200000000003</v>
      </c>
      <c r="K851" s="216" t="s">
        <v>559</v>
      </c>
      <c r="L851" s="237" t="s">
        <v>55</v>
      </c>
      <c r="M851" s="650" t="s">
        <v>55</v>
      </c>
      <c r="N851" s="215">
        <f>60*F851</f>
        <v>60</v>
      </c>
      <c r="O851" s="220">
        <f>60*F851</f>
        <v>60</v>
      </c>
      <c r="P851" s="356">
        <f>N851/J851</f>
        <v>1.2878244781091301</v>
      </c>
      <c r="Q851" s="356">
        <f t="shared" ref="Q851" si="497">O851/J851</f>
        <v>1.2878244781091301</v>
      </c>
      <c r="R851" s="217" t="s">
        <v>55</v>
      </c>
      <c r="S851" s="608" t="s">
        <v>259</v>
      </c>
      <c r="T851" s="520" t="s">
        <v>326</v>
      </c>
    </row>
    <row r="852" spans="2:20" ht="17.25" customHeight="1" x14ac:dyDescent="0.25">
      <c r="B852" s="784"/>
      <c r="C852" s="518" t="s">
        <v>542</v>
      </c>
      <c r="D852" s="233" t="s">
        <v>55</v>
      </c>
      <c r="E852" s="233" t="s">
        <v>55</v>
      </c>
      <c r="F852" s="224" t="s">
        <v>55</v>
      </c>
      <c r="G852" s="214" t="s">
        <v>55</v>
      </c>
      <c r="H852" s="235" t="s">
        <v>55</v>
      </c>
      <c r="I852" s="235" t="s">
        <v>55</v>
      </c>
      <c r="J852" s="215" t="s">
        <v>55</v>
      </c>
      <c r="K852" s="216" t="s">
        <v>55</v>
      </c>
      <c r="L852" s="237" t="s">
        <v>55</v>
      </c>
      <c r="M852" s="238" t="s">
        <v>55</v>
      </c>
      <c r="N852" s="215" t="s">
        <v>55</v>
      </c>
      <c r="O852" s="220" t="s">
        <v>55</v>
      </c>
      <c r="P852" s="356" t="s">
        <v>55</v>
      </c>
      <c r="Q852" s="356" t="s">
        <v>55</v>
      </c>
      <c r="R852" s="220" t="s">
        <v>55</v>
      </c>
      <c r="S852" s="293" t="s">
        <v>55</v>
      </c>
      <c r="T852" s="324" t="s">
        <v>55</v>
      </c>
    </row>
    <row r="853" spans="2:20" ht="21" customHeight="1" x14ac:dyDescent="0.25">
      <c r="B853" s="627">
        <v>19.53</v>
      </c>
      <c r="C853" s="518" t="s">
        <v>689</v>
      </c>
      <c r="D853" s="233" t="s">
        <v>55</v>
      </c>
      <c r="E853" s="233" t="s">
        <v>55</v>
      </c>
      <c r="F853" s="214">
        <v>1</v>
      </c>
      <c r="G853" s="214" t="s">
        <v>55</v>
      </c>
      <c r="H853" s="235">
        <v>12.9</v>
      </c>
      <c r="I853" s="235">
        <v>3.86</v>
      </c>
      <c r="J853" s="215">
        <f t="shared" ref="J853" si="498">H853*I853</f>
        <v>49.793999999999997</v>
      </c>
      <c r="K853" s="216" t="s">
        <v>559</v>
      </c>
      <c r="L853" s="237" t="s">
        <v>55</v>
      </c>
      <c r="M853" s="650" t="s">
        <v>55</v>
      </c>
      <c r="N853" s="215">
        <f>60*F853</f>
        <v>60</v>
      </c>
      <c r="O853" s="220">
        <f>60*F853</f>
        <v>60</v>
      </c>
      <c r="P853" s="356">
        <f>N853/J853</f>
        <v>1.2049644535486204</v>
      </c>
      <c r="Q853" s="356">
        <f t="shared" ref="Q853" si="499">O853/J853</f>
        <v>1.2049644535486204</v>
      </c>
      <c r="R853" s="217" t="s">
        <v>55</v>
      </c>
      <c r="S853" s="608" t="s">
        <v>259</v>
      </c>
      <c r="T853" s="520" t="s">
        <v>326</v>
      </c>
    </row>
    <row r="854" spans="2:20" ht="17.25" customHeight="1" x14ac:dyDescent="0.25">
      <c r="B854" s="784"/>
      <c r="C854" s="518" t="s">
        <v>584</v>
      </c>
      <c r="D854" s="233" t="s">
        <v>55</v>
      </c>
      <c r="E854" s="233" t="s">
        <v>55</v>
      </c>
      <c r="F854" s="224" t="s">
        <v>55</v>
      </c>
      <c r="G854" s="214" t="s">
        <v>55</v>
      </c>
      <c r="H854" s="235" t="s">
        <v>55</v>
      </c>
      <c r="I854" s="235" t="s">
        <v>55</v>
      </c>
      <c r="J854" s="215" t="s">
        <v>55</v>
      </c>
      <c r="K854" s="216" t="s">
        <v>55</v>
      </c>
      <c r="L854" s="237" t="s">
        <v>55</v>
      </c>
      <c r="M854" s="238" t="s">
        <v>55</v>
      </c>
      <c r="N854" s="215" t="s">
        <v>55</v>
      </c>
      <c r="O854" s="220" t="s">
        <v>55</v>
      </c>
      <c r="P854" s="356" t="s">
        <v>55</v>
      </c>
      <c r="Q854" s="356" t="s">
        <v>55</v>
      </c>
      <c r="R854" s="220" t="s">
        <v>55</v>
      </c>
      <c r="S854" s="293" t="s">
        <v>55</v>
      </c>
      <c r="T854" s="324" t="s">
        <v>55</v>
      </c>
    </row>
    <row r="855" spans="2:20" ht="24" customHeight="1" x14ac:dyDescent="0.25">
      <c r="B855" s="627">
        <v>19.54</v>
      </c>
      <c r="C855" s="518" t="s">
        <v>689</v>
      </c>
      <c r="D855" s="233" t="s">
        <v>55</v>
      </c>
      <c r="E855" s="233" t="s">
        <v>55</v>
      </c>
      <c r="F855" s="214">
        <v>1</v>
      </c>
      <c r="G855" s="214" t="s">
        <v>55</v>
      </c>
      <c r="H855" s="235">
        <v>12.65</v>
      </c>
      <c r="I855" s="235">
        <v>3.86</v>
      </c>
      <c r="J855" s="215">
        <f t="shared" ref="J855" si="500">H855*I855</f>
        <v>48.829000000000001</v>
      </c>
      <c r="K855" s="216" t="s">
        <v>559</v>
      </c>
      <c r="L855" s="237" t="s">
        <v>55</v>
      </c>
      <c r="M855" s="650" t="s">
        <v>55</v>
      </c>
      <c r="N855" s="215">
        <f>60*F855</f>
        <v>60</v>
      </c>
      <c r="O855" s="220">
        <f>60*F855</f>
        <v>60</v>
      </c>
      <c r="P855" s="356">
        <f>N855/J855</f>
        <v>1.228777980298593</v>
      </c>
      <c r="Q855" s="356">
        <f t="shared" ref="Q855" si="501">O855/J855</f>
        <v>1.228777980298593</v>
      </c>
      <c r="R855" s="217" t="s">
        <v>55</v>
      </c>
      <c r="S855" s="608" t="s">
        <v>259</v>
      </c>
      <c r="T855" s="520" t="s">
        <v>326</v>
      </c>
    </row>
    <row r="856" spans="2:20" ht="17.25" customHeight="1" x14ac:dyDescent="0.25">
      <c r="B856" s="784"/>
      <c r="C856" s="518" t="s">
        <v>584</v>
      </c>
      <c r="D856" s="233" t="s">
        <v>55</v>
      </c>
      <c r="E856" s="233" t="s">
        <v>55</v>
      </c>
      <c r="F856" s="224" t="s">
        <v>55</v>
      </c>
      <c r="G856" s="214" t="s">
        <v>55</v>
      </c>
      <c r="H856" s="235" t="s">
        <v>55</v>
      </c>
      <c r="I856" s="235" t="s">
        <v>55</v>
      </c>
      <c r="J856" s="215" t="s">
        <v>55</v>
      </c>
      <c r="K856" s="216" t="s">
        <v>55</v>
      </c>
      <c r="L856" s="237" t="s">
        <v>55</v>
      </c>
      <c r="M856" s="238" t="s">
        <v>55</v>
      </c>
      <c r="N856" s="215" t="s">
        <v>55</v>
      </c>
      <c r="O856" s="220" t="s">
        <v>55</v>
      </c>
      <c r="P856" s="356" t="s">
        <v>55</v>
      </c>
      <c r="Q856" s="356" t="s">
        <v>55</v>
      </c>
      <c r="R856" s="220" t="s">
        <v>55</v>
      </c>
      <c r="S856" s="293" t="s">
        <v>55</v>
      </c>
      <c r="T856" s="324" t="s">
        <v>55</v>
      </c>
    </row>
    <row r="857" spans="2:20" ht="30.75" customHeight="1" x14ac:dyDescent="0.25">
      <c r="B857" s="627">
        <v>19.55</v>
      </c>
      <c r="C857" s="518" t="s">
        <v>691</v>
      </c>
      <c r="D857" s="233" t="s">
        <v>55</v>
      </c>
      <c r="E857" s="233" t="s">
        <v>55</v>
      </c>
      <c r="F857" s="214">
        <v>1</v>
      </c>
      <c r="G857" s="214" t="s">
        <v>55</v>
      </c>
      <c r="H857" s="235">
        <v>12.32</v>
      </c>
      <c r="I857" s="235">
        <v>3.86</v>
      </c>
      <c r="J857" s="215">
        <f t="shared" ref="J857" si="502">H857*I857</f>
        <v>47.555199999999999</v>
      </c>
      <c r="K857" s="216" t="s">
        <v>559</v>
      </c>
      <c r="L857" s="237" t="s">
        <v>55</v>
      </c>
      <c r="M857" s="650" t="s">
        <v>55</v>
      </c>
      <c r="N857" s="215">
        <f>60*F857</f>
        <v>60</v>
      </c>
      <c r="O857" s="220">
        <f>60*F857</f>
        <v>60</v>
      </c>
      <c r="P857" s="356">
        <f>N857/J857</f>
        <v>1.2616916761994483</v>
      </c>
      <c r="Q857" s="356">
        <f t="shared" ref="Q857" si="503">O857/J857</f>
        <v>1.2616916761994483</v>
      </c>
      <c r="R857" s="217" t="s">
        <v>55</v>
      </c>
      <c r="S857" s="608" t="s">
        <v>259</v>
      </c>
      <c r="T857" s="520" t="s">
        <v>326</v>
      </c>
    </row>
    <row r="858" spans="2:20" ht="17.25" customHeight="1" x14ac:dyDescent="0.25">
      <c r="B858" s="784"/>
      <c r="C858" s="518" t="s">
        <v>692</v>
      </c>
      <c r="D858" s="233" t="s">
        <v>55</v>
      </c>
      <c r="E858" s="233" t="s">
        <v>55</v>
      </c>
      <c r="F858" s="224" t="s">
        <v>55</v>
      </c>
      <c r="G858" s="214" t="s">
        <v>55</v>
      </c>
      <c r="H858" s="235" t="s">
        <v>55</v>
      </c>
      <c r="I858" s="235" t="s">
        <v>55</v>
      </c>
      <c r="J858" s="215" t="s">
        <v>55</v>
      </c>
      <c r="K858" s="216" t="s">
        <v>55</v>
      </c>
      <c r="L858" s="237" t="s">
        <v>55</v>
      </c>
      <c r="M858" s="238" t="s">
        <v>55</v>
      </c>
      <c r="N858" s="215" t="s">
        <v>55</v>
      </c>
      <c r="O858" s="220" t="s">
        <v>55</v>
      </c>
      <c r="P858" s="356" t="s">
        <v>55</v>
      </c>
      <c r="Q858" s="356" t="s">
        <v>55</v>
      </c>
      <c r="R858" s="220" t="s">
        <v>55</v>
      </c>
      <c r="S858" s="293" t="s">
        <v>55</v>
      </c>
      <c r="T858" s="324" t="s">
        <v>55</v>
      </c>
    </row>
    <row r="859" spans="2:20" ht="17.25" customHeight="1" x14ac:dyDescent="0.25">
      <c r="B859" s="784"/>
      <c r="C859" s="518" t="s">
        <v>542</v>
      </c>
      <c r="D859" s="233" t="s">
        <v>55</v>
      </c>
      <c r="E859" s="233" t="s">
        <v>55</v>
      </c>
      <c r="F859" s="224" t="s">
        <v>55</v>
      </c>
      <c r="G859" s="214" t="s">
        <v>55</v>
      </c>
      <c r="H859" s="235" t="s">
        <v>55</v>
      </c>
      <c r="I859" s="235" t="s">
        <v>55</v>
      </c>
      <c r="J859" s="215" t="s">
        <v>55</v>
      </c>
      <c r="K859" s="216" t="s">
        <v>55</v>
      </c>
      <c r="L859" s="237" t="s">
        <v>55</v>
      </c>
      <c r="M859" s="238" t="s">
        <v>55</v>
      </c>
      <c r="N859" s="215" t="s">
        <v>55</v>
      </c>
      <c r="O859" s="220" t="s">
        <v>55</v>
      </c>
      <c r="P859" s="356" t="s">
        <v>55</v>
      </c>
      <c r="Q859" s="356" t="s">
        <v>55</v>
      </c>
      <c r="R859" s="220" t="s">
        <v>55</v>
      </c>
      <c r="S859" s="293" t="s">
        <v>55</v>
      </c>
      <c r="T859" s="324" t="s">
        <v>55</v>
      </c>
    </row>
    <row r="860" spans="2:20" ht="40.5" customHeight="1" x14ac:dyDescent="0.25">
      <c r="B860" s="627">
        <v>19.559999999999999</v>
      </c>
      <c r="C860" s="518" t="s">
        <v>665</v>
      </c>
      <c r="D860" s="233" t="s">
        <v>55</v>
      </c>
      <c r="E860" s="233" t="s">
        <v>55</v>
      </c>
      <c r="F860" s="214">
        <v>1</v>
      </c>
      <c r="G860" s="214">
        <v>4</v>
      </c>
      <c r="H860" s="235">
        <v>25.41</v>
      </c>
      <c r="I860" s="235">
        <v>3.86</v>
      </c>
      <c r="J860" s="215">
        <f t="shared" ref="J860" si="504">H860*I860</f>
        <v>98.082599999999999</v>
      </c>
      <c r="K860" s="216" t="s">
        <v>670</v>
      </c>
      <c r="L860" s="237" t="s">
        <v>55</v>
      </c>
      <c r="M860" s="650" t="s">
        <v>55</v>
      </c>
      <c r="N860" s="215">
        <f>60*F860+20*G860</f>
        <v>140</v>
      </c>
      <c r="O860" s="220">
        <f>60*F860+20*G860</f>
        <v>140</v>
      </c>
      <c r="P860" s="356">
        <f>N860/J860</f>
        <v>1.4273683609529111</v>
      </c>
      <c r="Q860" s="356">
        <f t="shared" ref="Q860" si="505">O860/J860</f>
        <v>1.4273683609529111</v>
      </c>
      <c r="R860" s="217" t="s">
        <v>55</v>
      </c>
      <c r="S860" s="608" t="s">
        <v>259</v>
      </c>
      <c r="T860" s="520" t="s">
        <v>326</v>
      </c>
    </row>
    <row r="861" spans="2:20" ht="17.25" customHeight="1" x14ac:dyDescent="0.25">
      <c r="B861" s="784"/>
      <c r="C861" s="518" t="s">
        <v>693</v>
      </c>
      <c r="D861" s="233" t="s">
        <v>55</v>
      </c>
      <c r="E861" s="233" t="s">
        <v>55</v>
      </c>
      <c r="F861" s="224" t="s">
        <v>55</v>
      </c>
      <c r="G861" s="214" t="s">
        <v>55</v>
      </c>
      <c r="H861" s="235" t="s">
        <v>55</v>
      </c>
      <c r="I861" s="235" t="s">
        <v>55</v>
      </c>
      <c r="J861" s="215" t="s">
        <v>55</v>
      </c>
      <c r="K861" s="216" t="s">
        <v>55</v>
      </c>
      <c r="L861" s="237" t="s">
        <v>55</v>
      </c>
      <c r="M861" s="238" t="s">
        <v>55</v>
      </c>
      <c r="N861" s="215" t="s">
        <v>55</v>
      </c>
      <c r="O861" s="220" t="s">
        <v>55</v>
      </c>
      <c r="P861" s="356" t="s">
        <v>55</v>
      </c>
      <c r="Q861" s="356" t="s">
        <v>55</v>
      </c>
      <c r="R861" s="220" t="s">
        <v>55</v>
      </c>
      <c r="S861" s="293" t="s">
        <v>55</v>
      </c>
      <c r="T861" s="324" t="s">
        <v>55</v>
      </c>
    </row>
    <row r="862" spans="2:20" ht="17.25" customHeight="1" x14ac:dyDescent="0.25">
      <c r="B862" s="784"/>
      <c r="C862" s="518" t="s">
        <v>694</v>
      </c>
      <c r="D862" s="233" t="s">
        <v>55</v>
      </c>
      <c r="E862" s="233" t="s">
        <v>55</v>
      </c>
      <c r="F862" s="224" t="s">
        <v>55</v>
      </c>
      <c r="G862" s="214" t="s">
        <v>55</v>
      </c>
      <c r="H862" s="235" t="s">
        <v>55</v>
      </c>
      <c r="I862" s="235" t="s">
        <v>55</v>
      </c>
      <c r="J862" s="215" t="s">
        <v>55</v>
      </c>
      <c r="K862" s="237" t="s">
        <v>55</v>
      </c>
      <c r="L862" s="237" t="s">
        <v>55</v>
      </c>
      <c r="M862" s="238" t="s">
        <v>55</v>
      </c>
      <c r="N862" s="215" t="s">
        <v>55</v>
      </c>
      <c r="O862" s="220" t="s">
        <v>55</v>
      </c>
      <c r="P862" s="356" t="s">
        <v>55</v>
      </c>
      <c r="Q862" s="356" t="s">
        <v>55</v>
      </c>
      <c r="R862" s="220" t="s">
        <v>55</v>
      </c>
      <c r="S862" s="293" t="s">
        <v>55</v>
      </c>
      <c r="T862" s="324" t="s">
        <v>55</v>
      </c>
    </row>
    <row r="863" spans="2:20" ht="17.25" customHeight="1" x14ac:dyDescent="0.25">
      <c r="B863" s="784"/>
      <c r="C863" s="518" t="s">
        <v>695</v>
      </c>
      <c r="D863" s="233" t="s">
        <v>55</v>
      </c>
      <c r="E863" s="233" t="s">
        <v>55</v>
      </c>
      <c r="F863" s="224" t="s">
        <v>55</v>
      </c>
      <c r="G863" s="214" t="s">
        <v>55</v>
      </c>
      <c r="H863" s="235" t="s">
        <v>55</v>
      </c>
      <c r="I863" s="235" t="s">
        <v>55</v>
      </c>
      <c r="J863" s="215" t="s">
        <v>55</v>
      </c>
      <c r="K863" s="237" t="s">
        <v>55</v>
      </c>
      <c r="L863" s="237" t="s">
        <v>55</v>
      </c>
      <c r="M863" s="238" t="s">
        <v>55</v>
      </c>
      <c r="N863" s="215" t="s">
        <v>55</v>
      </c>
      <c r="O863" s="220" t="s">
        <v>55</v>
      </c>
      <c r="P863" s="356" t="s">
        <v>55</v>
      </c>
      <c r="Q863" s="356" t="s">
        <v>55</v>
      </c>
      <c r="R863" s="220" t="s">
        <v>55</v>
      </c>
      <c r="S863" s="293" t="s">
        <v>55</v>
      </c>
      <c r="T863" s="324" t="s">
        <v>55</v>
      </c>
    </row>
    <row r="864" spans="2:20" ht="34.5" customHeight="1" x14ac:dyDescent="0.25">
      <c r="B864" s="627">
        <v>19.57</v>
      </c>
      <c r="C864" s="518" t="s">
        <v>696</v>
      </c>
      <c r="D864" s="233" t="s">
        <v>55</v>
      </c>
      <c r="E864" s="233" t="s">
        <v>55</v>
      </c>
      <c r="F864" s="214">
        <v>1</v>
      </c>
      <c r="G864" s="214">
        <v>4</v>
      </c>
      <c r="H864" s="235">
        <v>18.78</v>
      </c>
      <c r="I864" s="235">
        <v>3.86</v>
      </c>
      <c r="J864" s="215">
        <f t="shared" ref="J864" si="506">H864*I864</f>
        <v>72.490800000000007</v>
      </c>
      <c r="K864" s="216" t="s">
        <v>670</v>
      </c>
      <c r="L864" s="237" t="s">
        <v>55</v>
      </c>
      <c r="M864" s="650" t="s">
        <v>55</v>
      </c>
      <c r="N864" s="215">
        <f>60*F864+20*G864</f>
        <v>140</v>
      </c>
      <c r="O864" s="220">
        <f>60*F864+20*G864</f>
        <v>140</v>
      </c>
      <c r="P864" s="356">
        <f>N864/J864</f>
        <v>1.9312795554746256</v>
      </c>
      <c r="Q864" s="356">
        <f t="shared" ref="Q864" si="507">O864/J864</f>
        <v>1.9312795554746256</v>
      </c>
      <c r="R864" s="217" t="s">
        <v>55</v>
      </c>
      <c r="S864" s="608" t="s">
        <v>259</v>
      </c>
      <c r="T864" s="520" t="s">
        <v>326</v>
      </c>
    </row>
    <row r="865" spans="2:28" ht="17.25" customHeight="1" x14ac:dyDescent="0.25">
      <c r="B865" s="784"/>
      <c r="C865" s="518" t="s">
        <v>697</v>
      </c>
      <c r="D865" s="233"/>
      <c r="E865" s="233"/>
      <c r="F865" s="224"/>
      <c r="G865" s="214"/>
      <c r="H865" s="235"/>
      <c r="I865" s="235"/>
      <c r="J865" s="215"/>
      <c r="K865" s="216"/>
      <c r="L865" s="237"/>
      <c r="M865" s="238"/>
      <c r="N865" s="215"/>
      <c r="O865" s="220"/>
      <c r="P865" s="356"/>
      <c r="Q865" s="356"/>
      <c r="R865" s="220"/>
      <c r="S865" s="293"/>
      <c r="T865" s="324"/>
    </row>
    <row r="866" spans="2:28" ht="35.25" customHeight="1" x14ac:dyDescent="0.25">
      <c r="B866" s="627">
        <v>19.579999999999998</v>
      </c>
      <c r="C866" s="518" t="s">
        <v>698</v>
      </c>
      <c r="D866" s="233" t="s">
        <v>55</v>
      </c>
      <c r="E866" s="233" t="s">
        <v>55</v>
      </c>
      <c r="F866" s="214">
        <v>1</v>
      </c>
      <c r="G866" s="214">
        <v>4</v>
      </c>
      <c r="H866" s="235">
        <v>18.78</v>
      </c>
      <c r="I866" s="235">
        <v>3.86</v>
      </c>
      <c r="J866" s="215">
        <f t="shared" ref="J866" si="508">H866*I866</f>
        <v>72.490800000000007</v>
      </c>
      <c r="K866" s="216" t="s">
        <v>670</v>
      </c>
      <c r="L866" s="237" t="s">
        <v>55</v>
      </c>
      <c r="M866" s="650" t="s">
        <v>55</v>
      </c>
      <c r="N866" s="215">
        <f>60*F866+20*G866</f>
        <v>140</v>
      </c>
      <c r="O866" s="220">
        <f>60*F866+20*G866</f>
        <v>140</v>
      </c>
      <c r="P866" s="356">
        <f>N866/J866</f>
        <v>1.9312795554746256</v>
      </c>
      <c r="Q866" s="356">
        <f t="shared" ref="Q866" si="509">O866/J866</f>
        <v>1.9312795554746256</v>
      </c>
      <c r="R866" s="217" t="s">
        <v>55</v>
      </c>
      <c r="S866" s="608" t="s">
        <v>259</v>
      </c>
      <c r="T866" s="520" t="s">
        <v>326</v>
      </c>
    </row>
    <row r="867" spans="2:28" ht="17.25" customHeight="1" x14ac:dyDescent="0.25">
      <c r="B867" s="784"/>
      <c r="C867" s="518" t="s">
        <v>699</v>
      </c>
      <c r="D867" s="233" t="s">
        <v>55</v>
      </c>
      <c r="E867" s="233" t="s">
        <v>55</v>
      </c>
      <c r="F867" s="224" t="s">
        <v>55</v>
      </c>
      <c r="G867" s="214" t="s">
        <v>55</v>
      </c>
      <c r="H867" s="235" t="s">
        <v>55</v>
      </c>
      <c r="I867" s="235" t="s">
        <v>55</v>
      </c>
      <c r="J867" s="215" t="s">
        <v>55</v>
      </c>
      <c r="K867" s="216" t="s">
        <v>55</v>
      </c>
      <c r="L867" s="237" t="s">
        <v>55</v>
      </c>
      <c r="M867" s="238" t="s">
        <v>55</v>
      </c>
      <c r="N867" s="215" t="s">
        <v>55</v>
      </c>
      <c r="O867" s="220" t="s">
        <v>55</v>
      </c>
      <c r="P867" s="356" t="s">
        <v>55</v>
      </c>
      <c r="Q867" s="356" t="s">
        <v>55</v>
      </c>
      <c r="R867" s="220" t="s">
        <v>55</v>
      </c>
      <c r="S867" s="293" t="s">
        <v>55</v>
      </c>
      <c r="T867" s="324" t="s">
        <v>55</v>
      </c>
    </row>
    <row r="868" spans="2:28" ht="27" customHeight="1" x14ac:dyDescent="0.25">
      <c r="B868" s="627">
        <v>19.59</v>
      </c>
      <c r="C868" s="518" t="s">
        <v>700</v>
      </c>
      <c r="D868" s="233" t="s">
        <v>55</v>
      </c>
      <c r="E868" s="233" t="s">
        <v>55</v>
      </c>
      <c r="F868" s="214">
        <v>1</v>
      </c>
      <c r="G868" s="214" t="s">
        <v>55</v>
      </c>
      <c r="H868" s="235">
        <v>15.1</v>
      </c>
      <c r="I868" s="235">
        <v>3.86</v>
      </c>
      <c r="J868" s="215">
        <f t="shared" ref="J868" si="510">H868*I868</f>
        <v>58.285999999999994</v>
      </c>
      <c r="K868" s="216" t="s">
        <v>559</v>
      </c>
      <c r="L868" s="237" t="s">
        <v>55</v>
      </c>
      <c r="M868" s="650" t="s">
        <v>55</v>
      </c>
      <c r="N868" s="215">
        <f>60*F868</f>
        <v>60</v>
      </c>
      <c r="O868" s="220">
        <f>60*F868</f>
        <v>60</v>
      </c>
      <c r="P868" s="356">
        <f>N868/J868</f>
        <v>1.0294067185945168</v>
      </c>
      <c r="Q868" s="356">
        <f t="shared" ref="Q868" si="511">O868/J868</f>
        <v>1.0294067185945168</v>
      </c>
      <c r="R868" s="217" t="s">
        <v>55</v>
      </c>
      <c r="S868" s="608" t="s">
        <v>259</v>
      </c>
      <c r="T868" s="324" t="s">
        <v>326</v>
      </c>
    </row>
    <row r="869" spans="2:28" ht="17.25" customHeight="1" x14ac:dyDescent="0.25">
      <c r="B869" s="784"/>
      <c r="C869" s="518" t="s">
        <v>701</v>
      </c>
      <c r="D869" s="233" t="s">
        <v>55</v>
      </c>
      <c r="E869" s="233" t="s">
        <v>55</v>
      </c>
      <c r="F869" s="224" t="s">
        <v>55</v>
      </c>
      <c r="G869" s="214" t="s">
        <v>55</v>
      </c>
      <c r="H869" s="235" t="s">
        <v>55</v>
      </c>
      <c r="I869" s="235" t="s">
        <v>55</v>
      </c>
      <c r="J869" s="215" t="s">
        <v>55</v>
      </c>
      <c r="K869" s="216" t="s">
        <v>55</v>
      </c>
      <c r="L869" s="237" t="s">
        <v>55</v>
      </c>
      <c r="M869" s="238" t="s">
        <v>55</v>
      </c>
      <c r="N869" s="215" t="s">
        <v>55</v>
      </c>
      <c r="O869" s="220" t="s">
        <v>55</v>
      </c>
      <c r="P869" s="356" t="s">
        <v>55</v>
      </c>
      <c r="Q869" s="356" t="s">
        <v>55</v>
      </c>
      <c r="R869" s="220" t="s">
        <v>55</v>
      </c>
      <c r="S869" s="293" t="s">
        <v>55</v>
      </c>
      <c r="T869" s="324" t="s">
        <v>55</v>
      </c>
    </row>
    <row r="870" spans="2:28" ht="17.25" customHeight="1" x14ac:dyDescent="0.25">
      <c r="B870" s="784"/>
      <c r="C870" s="518" t="s">
        <v>702</v>
      </c>
      <c r="D870" s="233" t="s">
        <v>55</v>
      </c>
      <c r="E870" s="233" t="s">
        <v>55</v>
      </c>
      <c r="F870" s="224" t="s">
        <v>55</v>
      </c>
      <c r="G870" s="214" t="s">
        <v>55</v>
      </c>
      <c r="H870" s="235" t="s">
        <v>55</v>
      </c>
      <c r="I870" s="235" t="s">
        <v>55</v>
      </c>
      <c r="J870" s="215" t="s">
        <v>55</v>
      </c>
      <c r="K870" s="216" t="s">
        <v>55</v>
      </c>
      <c r="L870" s="237" t="s">
        <v>55</v>
      </c>
      <c r="M870" s="238" t="s">
        <v>55</v>
      </c>
      <c r="N870" s="215" t="s">
        <v>55</v>
      </c>
      <c r="O870" s="220" t="s">
        <v>55</v>
      </c>
      <c r="P870" s="356" t="s">
        <v>55</v>
      </c>
      <c r="Q870" s="356" t="s">
        <v>55</v>
      </c>
      <c r="R870" s="220" t="s">
        <v>55</v>
      </c>
      <c r="S870" s="293" t="s">
        <v>55</v>
      </c>
      <c r="T870" s="324" t="s">
        <v>55</v>
      </c>
    </row>
    <row r="871" spans="2:28" ht="36" customHeight="1" x14ac:dyDescent="0.25">
      <c r="B871" s="627">
        <v>19.600000000000001</v>
      </c>
      <c r="C871" s="518" t="s">
        <v>703</v>
      </c>
      <c r="D871" s="233" t="s">
        <v>55</v>
      </c>
      <c r="E871" s="233" t="s">
        <v>55</v>
      </c>
      <c r="F871" s="214">
        <v>1</v>
      </c>
      <c r="G871" s="214">
        <v>4</v>
      </c>
      <c r="H871" s="235">
        <v>20.260000000000002</v>
      </c>
      <c r="I871" s="235">
        <v>3.86</v>
      </c>
      <c r="J871" s="215">
        <f t="shared" ref="J871" si="512">H871*I871</f>
        <v>78.203600000000009</v>
      </c>
      <c r="K871" s="216" t="s">
        <v>670</v>
      </c>
      <c r="L871" s="237" t="s">
        <v>55</v>
      </c>
      <c r="M871" s="650" t="s">
        <v>55</v>
      </c>
      <c r="N871" s="215">
        <f>60*F871+20*G871</f>
        <v>140</v>
      </c>
      <c r="O871" s="220">
        <f>60*F871+20*G871</f>
        <v>140</v>
      </c>
      <c r="P871" s="356">
        <f>N871/J871</f>
        <v>1.7901989166739125</v>
      </c>
      <c r="Q871" s="356">
        <f t="shared" ref="Q871" si="513">O871/J871</f>
        <v>1.7901989166739125</v>
      </c>
      <c r="R871" s="217" t="s">
        <v>55</v>
      </c>
      <c r="S871" s="608" t="s">
        <v>259</v>
      </c>
      <c r="T871" s="520" t="s">
        <v>326</v>
      </c>
    </row>
    <row r="872" spans="2:28" ht="17.25" customHeight="1" x14ac:dyDescent="0.25">
      <c r="B872" s="784"/>
      <c r="C872" s="518" t="s">
        <v>624</v>
      </c>
      <c r="D872" s="233" t="s">
        <v>55</v>
      </c>
      <c r="E872" s="233" t="s">
        <v>55</v>
      </c>
      <c r="F872" s="224" t="s">
        <v>55</v>
      </c>
      <c r="G872" s="214" t="s">
        <v>55</v>
      </c>
      <c r="H872" s="235" t="s">
        <v>55</v>
      </c>
      <c r="I872" s="235" t="s">
        <v>55</v>
      </c>
      <c r="J872" s="215" t="s">
        <v>55</v>
      </c>
      <c r="K872" s="216" t="s">
        <v>55</v>
      </c>
      <c r="L872" s="237" t="s">
        <v>55</v>
      </c>
      <c r="M872" s="238" t="s">
        <v>55</v>
      </c>
      <c r="N872" s="215" t="s">
        <v>55</v>
      </c>
      <c r="O872" s="220" t="s">
        <v>55</v>
      </c>
      <c r="P872" s="356" t="s">
        <v>55</v>
      </c>
      <c r="Q872" s="356" t="s">
        <v>55</v>
      </c>
      <c r="R872" s="220" t="s">
        <v>55</v>
      </c>
      <c r="S872" s="293" t="s">
        <v>55</v>
      </c>
      <c r="T872" s="324" t="s">
        <v>55</v>
      </c>
    </row>
    <row r="873" spans="2:28" ht="21" customHeight="1" x14ac:dyDescent="0.25">
      <c r="B873" s="627">
        <v>19.61</v>
      </c>
      <c r="C873" s="518" t="s">
        <v>20</v>
      </c>
      <c r="D873" s="233" t="s">
        <v>55</v>
      </c>
      <c r="E873" s="233" t="s">
        <v>55</v>
      </c>
      <c r="F873" s="214" t="s">
        <v>55</v>
      </c>
      <c r="G873" s="214">
        <v>8</v>
      </c>
      <c r="H873" s="235">
        <v>21.33</v>
      </c>
      <c r="I873" s="235">
        <v>3.86</v>
      </c>
      <c r="J873" s="215">
        <f t="shared" ref="J873" si="514">H873*I873</f>
        <v>82.333799999999997</v>
      </c>
      <c r="K873" s="216" t="s">
        <v>558</v>
      </c>
      <c r="L873" s="237" t="s">
        <v>55</v>
      </c>
      <c r="M873" s="238" t="s">
        <v>55</v>
      </c>
      <c r="N873" s="215">
        <f>20*G873</f>
        <v>160</v>
      </c>
      <c r="O873" s="220">
        <f>20*G873</f>
        <v>160</v>
      </c>
      <c r="P873" s="356">
        <f t="shared" ref="P873" si="515">N873/J873</f>
        <v>1.9433088233507989</v>
      </c>
      <c r="Q873" s="356">
        <f t="shared" ref="Q873" si="516">O873/J873</f>
        <v>1.9433088233507989</v>
      </c>
      <c r="R873" s="217" t="s">
        <v>55</v>
      </c>
      <c r="S873" s="608" t="s">
        <v>259</v>
      </c>
      <c r="T873" s="520" t="s">
        <v>326</v>
      </c>
      <c r="AB873" s="207" t="s">
        <v>1037</v>
      </c>
    </row>
    <row r="874" spans="2:28" ht="37.5" customHeight="1" x14ac:dyDescent="0.25">
      <c r="B874" s="627">
        <v>19.62</v>
      </c>
      <c r="C874" s="518" t="s">
        <v>97</v>
      </c>
      <c r="D874" s="233" t="s">
        <v>55</v>
      </c>
      <c r="E874" s="233" t="s">
        <v>55</v>
      </c>
      <c r="F874" s="214">
        <v>1</v>
      </c>
      <c r="G874" s="214">
        <v>2</v>
      </c>
      <c r="H874" s="235">
        <v>45.39</v>
      </c>
      <c r="I874" s="235">
        <v>3.86</v>
      </c>
      <c r="J874" s="215">
        <f t="shared" ref="J874" si="517">H874*I874</f>
        <v>175.2054</v>
      </c>
      <c r="K874" s="216" t="s">
        <v>670</v>
      </c>
      <c r="L874" s="237" t="s">
        <v>55</v>
      </c>
      <c r="M874" s="238" t="s">
        <v>55</v>
      </c>
      <c r="N874" s="215">
        <f>20*G874+60*F874</f>
        <v>100</v>
      </c>
      <c r="O874" s="220">
        <f>20*G874+60*F874</f>
        <v>100</v>
      </c>
      <c r="P874" s="356">
        <f t="shared" ref="P874" si="518">N874/J874</f>
        <v>0.5707586638311376</v>
      </c>
      <c r="Q874" s="356">
        <f t="shared" ref="Q874" si="519">O874/J874</f>
        <v>0.5707586638311376</v>
      </c>
      <c r="R874" s="217" t="s">
        <v>55</v>
      </c>
      <c r="S874" s="608" t="s">
        <v>259</v>
      </c>
      <c r="T874" s="520" t="s">
        <v>326</v>
      </c>
      <c r="Z874" s="207" t="s">
        <v>778</v>
      </c>
    </row>
    <row r="875" spans="2:28" ht="17.25" customHeight="1" thickBot="1" x14ac:dyDescent="0.3">
      <c r="B875" s="785"/>
      <c r="C875" s="786"/>
      <c r="D875" s="801" t="s">
        <v>508</v>
      </c>
      <c r="E875" s="802"/>
      <c r="F875" s="763">
        <f>SUM(F803:F848)</f>
        <v>77</v>
      </c>
      <c r="G875" s="763">
        <f>SUM(G803:G848)</f>
        <v>46</v>
      </c>
      <c r="H875" s="764"/>
      <c r="I875" s="763"/>
      <c r="J875" s="765"/>
      <c r="K875" s="766"/>
      <c r="L875" s="766"/>
      <c r="M875" s="767" t="s">
        <v>557</v>
      </c>
      <c r="N875" s="622">
        <f>SUM(N795:N874)</f>
        <v>8155</v>
      </c>
      <c r="O875" s="623">
        <f>SUM(O795:O874)</f>
        <v>8155</v>
      </c>
      <c r="P875" s="787"/>
      <c r="Q875" s="787"/>
      <c r="R875" s="787"/>
      <c r="S875" s="788"/>
      <c r="T875" s="789"/>
      <c r="Z875" s="344">
        <f>SUM(N877,N878,N879:N880,N883:N916)</f>
        <v>9121.7161999999989</v>
      </c>
      <c r="AA875" s="207">
        <f>8335*1.1</f>
        <v>9168.5</v>
      </c>
      <c r="AB875" s="344">
        <f>AA875-Z875</f>
        <v>46.783800000001065</v>
      </c>
    </row>
    <row r="876" spans="2:28" ht="17.25" customHeight="1" thickBot="1" x14ac:dyDescent="0.3">
      <c r="B876" s="601" t="s">
        <v>1027</v>
      </c>
      <c r="C876" s="790"/>
      <c r="D876" s="790"/>
      <c r="E876" s="790"/>
      <c r="F876" s="790"/>
      <c r="G876" s="790"/>
      <c r="H876" s="790"/>
      <c r="I876" s="790"/>
      <c r="J876" s="790"/>
      <c r="K876" s="790"/>
      <c r="L876" s="790"/>
      <c r="M876" s="790"/>
      <c r="N876" s="790"/>
      <c r="O876" s="790"/>
      <c r="P876" s="790"/>
      <c r="Q876" s="790"/>
      <c r="R876" s="790"/>
      <c r="S876" s="790"/>
      <c r="T876" s="791"/>
      <c r="Z876" s="207" t="s">
        <v>329</v>
      </c>
    </row>
    <row r="877" spans="2:28" ht="20.100000000000001" customHeight="1" x14ac:dyDescent="0.2">
      <c r="B877" s="629">
        <v>20.03</v>
      </c>
      <c r="C877" s="518" t="s">
        <v>1028</v>
      </c>
      <c r="D877" s="233" t="s">
        <v>55</v>
      </c>
      <c r="E877" s="233" t="s">
        <v>55</v>
      </c>
      <c r="F877" s="214" t="s">
        <v>55</v>
      </c>
      <c r="G877" s="214" t="s">
        <v>55</v>
      </c>
      <c r="H877" s="235">
        <v>13.22</v>
      </c>
      <c r="I877" s="235">
        <v>3.86</v>
      </c>
      <c r="J877" s="215">
        <f t="shared" ref="J877:J915" si="520">H877*I877</f>
        <v>51.029200000000003</v>
      </c>
      <c r="K877" s="291">
        <v>1</v>
      </c>
      <c r="L877" s="237">
        <v>1</v>
      </c>
      <c r="M877" s="238" t="s">
        <v>55</v>
      </c>
      <c r="N877" s="215">
        <f>CEILING((J877*K877),10)</f>
        <v>60</v>
      </c>
      <c r="O877" s="220">
        <f t="shared" ref="O877" si="521">CEILING((J877*L877),10)</f>
        <v>60</v>
      </c>
      <c r="P877" s="356" t="s">
        <v>55</v>
      </c>
      <c r="Q877" s="356" t="s">
        <v>55</v>
      </c>
      <c r="R877" s="217" t="s">
        <v>55</v>
      </c>
      <c r="S877" s="608" t="s">
        <v>778</v>
      </c>
      <c r="T877" s="803" t="s">
        <v>1041</v>
      </c>
      <c r="Z877" s="207" t="s">
        <v>346</v>
      </c>
    </row>
    <row r="878" spans="2:28" ht="20.100000000000001" customHeight="1" x14ac:dyDescent="0.25">
      <c r="B878" s="629">
        <v>20.04</v>
      </c>
      <c r="C878" s="518" t="s">
        <v>16</v>
      </c>
      <c r="D878" s="233" t="s">
        <v>55</v>
      </c>
      <c r="E878" s="233" t="s">
        <v>55</v>
      </c>
      <c r="F878" s="214" t="s">
        <v>55</v>
      </c>
      <c r="G878" s="214" t="s">
        <v>55</v>
      </c>
      <c r="H878" s="235">
        <v>0</v>
      </c>
      <c r="I878" s="235">
        <v>3.86</v>
      </c>
      <c r="J878" s="215">
        <f t="shared" si="520"/>
        <v>0</v>
      </c>
      <c r="K878" s="291" t="s">
        <v>55</v>
      </c>
      <c r="L878" s="237" t="s">
        <v>55</v>
      </c>
      <c r="M878" s="238" t="s">
        <v>55</v>
      </c>
      <c r="N878" s="215">
        <v>875</v>
      </c>
      <c r="O878" s="220" t="s">
        <v>55</v>
      </c>
      <c r="P878" s="356" t="s">
        <v>55</v>
      </c>
      <c r="Q878" s="356" t="s">
        <v>55</v>
      </c>
      <c r="R878" s="217" t="s">
        <v>55</v>
      </c>
      <c r="S878" s="608" t="s">
        <v>778</v>
      </c>
      <c r="T878" s="520" t="s">
        <v>55</v>
      </c>
    </row>
    <row r="879" spans="2:28" ht="20.100000000000001" customHeight="1" x14ac:dyDescent="0.25">
      <c r="B879" s="629">
        <v>20.170000000000002</v>
      </c>
      <c r="C879" s="518" t="s">
        <v>16</v>
      </c>
      <c r="D879" s="233" t="s">
        <v>55</v>
      </c>
      <c r="E879" s="233" t="s">
        <v>55</v>
      </c>
      <c r="F879" s="214" t="s">
        <v>55</v>
      </c>
      <c r="G879" s="214" t="s">
        <v>55</v>
      </c>
      <c r="H879" s="235">
        <v>76</v>
      </c>
      <c r="I879" s="235">
        <v>3.86</v>
      </c>
      <c r="J879" s="215">
        <f t="shared" si="520"/>
        <v>293.36</v>
      </c>
      <c r="K879" s="291" t="s">
        <v>1036</v>
      </c>
      <c r="L879" s="237" t="s">
        <v>55</v>
      </c>
      <c r="M879" s="238" t="s">
        <v>55</v>
      </c>
      <c r="N879" s="215">
        <v>825</v>
      </c>
      <c r="O879" s="220" t="s">
        <v>55</v>
      </c>
      <c r="P879" s="356">
        <f t="shared" ref="P879:P915" si="522">N879/J879</f>
        <v>2.812244341423507</v>
      </c>
      <c r="Q879" s="356" t="s">
        <v>55</v>
      </c>
      <c r="R879" s="217" t="s">
        <v>55</v>
      </c>
      <c r="S879" s="608" t="s">
        <v>778</v>
      </c>
      <c r="T879" s="520" t="s">
        <v>55</v>
      </c>
    </row>
    <row r="880" spans="2:28" ht="20.100000000000001" customHeight="1" x14ac:dyDescent="0.25">
      <c r="B880" s="629">
        <v>20.18</v>
      </c>
      <c r="C880" s="518" t="s">
        <v>16</v>
      </c>
      <c r="D880" s="233" t="s">
        <v>55</v>
      </c>
      <c r="E880" s="233" t="s">
        <v>55</v>
      </c>
      <c r="F880" s="214" t="s">
        <v>55</v>
      </c>
      <c r="G880" s="214" t="s">
        <v>55</v>
      </c>
      <c r="H880" s="235">
        <v>95.07</v>
      </c>
      <c r="I880" s="235">
        <v>3.86</v>
      </c>
      <c r="J880" s="215">
        <f t="shared" si="520"/>
        <v>366.97019999999998</v>
      </c>
      <c r="K880" s="291" t="s">
        <v>1036</v>
      </c>
      <c r="L880" s="237" t="s">
        <v>55</v>
      </c>
      <c r="M880" s="238" t="s">
        <v>55</v>
      </c>
      <c r="N880" s="215">
        <v>60</v>
      </c>
      <c r="O880" s="220" t="s">
        <v>55</v>
      </c>
      <c r="P880" s="356">
        <f t="shared" ref="P880" si="523">N880/J880</f>
        <v>0.16350101452379512</v>
      </c>
      <c r="Q880" s="356" t="s">
        <v>55</v>
      </c>
      <c r="R880" s="217" t="s">
        <v>55</v>
      </c>
      <c r="S880" s="608" t="s">
        <v>778</v>
      </c>
      <c r="T880" s="520" t="s">
        <v>55</v>
      </c>
    </row>
    <row r="881" spans="2:20" ht="20.100000000000001" customHeight="1" x14ac:dyDescent="0.25">
      <c r="B881" s="629">
        <v>20.190000000000001</v>
      </c>
      <c r="C881" s="518" t="s">
        <v>16</v>
      </c>
      <c r="D881" s="233" t="s">
        <v>55</v>
      </c>
      <c r="E881" s="233" t="s">
        <v>55</v>
      </c>
      <c r="F881" s="214" t="s">
        <v>55</v>
      </c>
      <c r="G881" s="214" t="s">
        <v>55</v>
      </c>
      <c r="H881" s="235">
        <v>63.07</v>
      </c>
      <c r="I881" s="235">
        <v>3.86</v>
      </c>
      <c r="J881" s="215">
        <f t="shared" si="520"/>
        <v>243.4502</v>
      </c>
      <c r="K881" s="291" t="s">
        <v>55</v>
      </c>
      <c r="L881" s="237" t="s">
        <v>55</v>
      </c>
      <c r="M881" s="238" t="s">
        <v>55</v>
      </c>
      <c r="N881" s="215" t="s">
        <v>55</v>
      </c>
      <c r="O881" s="220" t="s">
        <v>55</v>
      </c>
      <c r="P881" s="356" t="s">
        <v>55</v>
      </c>
      <c r="Q881" s="356" t="s">
        <v>55</v>
      </c>
      <c r="R881" s="217" t="s">
        <v>55</v>
      </c>
      <c r="S881" s="608" t="s">
        <v>55</v>
      </c>
      <c r="T881" s="520" t="s">
        <v>55</v>
      </c>
    </row>
    <row r="882" spans="2:20" ht="20.100000000000001" customHeight="1" x14ac:dyDescent="0.25">
      <c r="B882" s="629">
        <v>20.2</v>
      </c>
      <c r="C882" s="518" t="s">
        <v>136</v>
      </c>
      <c r="D882" s="233" t="s">
        <v>55</v>
      </c>
      <c r="E882" s="233" t="s">
        <v>55</v>
      </c>
      <c r="F882" s="214" t="s">
        <v>55</v>
      </c>
      <c r="G882" s="214" t="s">
        <v>55</v>
      </c>
      <c r="H882" s="235">
        <v>21.13</v>
      </c>
      <c r="I882" s="235">
        <v>3.86</v>
      </c>
      <c r="J882" s="215">
        <f t="shared" si="520"/>
        <v>81.561799999999991</v>
      </c>
      <c r="K882" s="291" t="s">
        <v>55</v>
      </c>
      <c r="L882" s="237" t="s">
        <v>55</v>
      </c>
      <c r="M882" s="238" t="s">
        <v>55</v>
      </c>
      <c r="N882" s="215" t="s">
        <v>55</v>
      </c>
      <c r="O882" s="220" t="s">
        <v>55</v>
      </c>
      <c r="P882" s="356" t="s">
        <v>55</v>
      </c>
      <c r="Q882" s="356" t="s">
        <v>55</v>
      </c>
      <c r="R882" s="217" t="s">
        <v>55</v>
      </c>
      <c r="S882" s="608" t="s">
        <v>55</v>
      </c>
      <c r="T882" s="520" t="s">
        <v>55</v>
      </c>
    </row>
    <row r="883" spans="2:20" ht="34.5" customHeight="1" x14ac:dyDescent="0.25">
      <c r="B883" s="629">
        <v>20.21</v>
      </c>
      <c r="C883" s="518" t="s">
        <v>605</v>
      </c>
      <c r="D883" s="233" t="s">
        <v>55</v>
      </c>
      <c r="E883" s="233" t="s">
        <v>55</v>
      </c>
      <c r="F883" s="214">
        <v>60</v>
      </c>
      <c r="G883" s="214"/>
      <c r="H883" s="235">
        <v>479.15</v>
      </c>
      <c r="I883" s="235">
        <v>3.86</v>
      </c>
      <c r="J883" s="215">
        <f t="shared" si="520"/>
        <v>1849.5189999999998</v>
      </c>
      <c r="K883" s="216" t="s">
        <v>729</v>
      </c>
      <c r="L883" s="237" t="s">
        <v>55</v>
      </c>
      <c r="M883" s="238" t="s">
        <v>55</v>
      </c>
      <c r="N883" s="215">
        <f>F883*60</f>
        <v>3600</v>
      </c>
      <c r="O883" s="220">
        <f>F883*60</f>
        <v>3600</v>
      </c>
      <c r="P883" s="356">
        <f t="shared" si="522"/>
        <v>1.9464520234720488</v>
      </c>
      <c r="Q883" s="356">
        <f t="shared" ref="Q883:Q915" si="524">O883/J883</f>
        <v>1.9464520234720488</v>
      </c>
      <c r="R883" s="217" t="s">
        <v>55</v>
      </c>
      <c r="S883" s="608" t="s">
        <v>778</v>
      </c>
      <c r="T883" s="520" t="s">
        <v>329</v>
      </c>
    </row>
    <row r="884" spans="2:20" ht="24" x14ac:dyDescent="0.25">
      <c r="B884" s="629">
        <v>20.22</v>
      </c>
      <c r="C884" s="518" t="s">
        <v>136</v>
      </c>
      <c r="D884" s="233" t="s">
        <v>55</v>
      </c>
      <c r="E884" s="233" t="s">
        <v>55</v>
      </c>
      <c r="F884" s="214">
        <v>1</v>
      </c>
      <c r="G884" s="214"/>
      <c r="H884" s="235">
        <v>19.170000000000002</v>
      </c>
      <c r="I884" s="235">
        <v>3.86</v>
      </c>
      <c r="J884" s="215">
        <f t="shared" si="520"/>
        <v>73.996200000000002</v>
      </c>
      <c r="K884" s="216" t="s">
        <v>559</v>
      </c>
      <c r="L884" s="237" t="s">
        <v>55</v>
      </c>
      <c r="M884" s="238" t="s">
        <v>55</v>
      </c>
      <c r="N884" s="215">
        <f>20*G884+F884*60</f>
        <v>60</v>
      </c>
      <c r="O884" s="220">
        <f>20*G884+F884*60</f>
        <v>60</v>
      </c>
      <c r="P884" s="356">
        <f t="shared" si="522"/>
        <v>0.81085244917982269</v>
      </c>
      <c r="Q884" s="356">
        <f t="shared" si="524"/>
        <v>0.81085244917982269</v>
      </c>
      <c r="R884" s="217" t="s">
        <v>55</v>
      </c>
      <c r="S884" s="608" t="s">
        <v>778</v>
      </c>
      <c r="T884" s="520" t="s">
        <v>329</v>
      </c>
    </row>
    <row r="885" spans="2:20" ht="24" x14ac:dyDescent="0.25">
      <c r="B885" s="629">
        <v>20.23</v>
      </c>
      <c r="C885" s="518" t="s">
        <v>20</v>
      </c>
      <c r="D885" s="233" t="s">
        <v>55</v>
      </c>
      <c r="E885" s="233" t="s">
        <v>55</v>
      </c>
      <c r="F885" s="214" t="s">
        <v>55</v>
      </c>
      <c r="G885" s="214">
        <v>6</v>
      </c>
      <c r="H885" s="235">
        <v>14.11</v>
      </c>
      <c r="I885" s="235">
        <v>3.86</v>
      </c>
      <c r="J885" s="215">
        <f t="shared" si="520"/>
        <v>54.464599999999997</v>
      </c>
      <c r="K885" s="216" t="s">
        <v>558</v>
      </c>
      <c r="L885" s="237" t="s">
        <v>55</v>
      </c>
      <c r="M885" s="238" t="s">
        <v>55</v>
      </c>
      <c r="N885" s="215">
        <f>20*G885</f>
        <v>120</v>
      </c>
      <c r="O885" s="220">
        <f>20*G885</f>
        <v>120</v>
      </c>
      <c r="P885" s="356">
        <f t="shared" si="522"/>
        <v>2.2032659745963432</v>
      </c>
      <c r="Q885" s="356">
        <f t="shared" si="524"/>
        <v>2.2032659745963432</v>
      </c>
      <c r="R885" s="217" t="s">
        <v>55</v>
      </c>
      <c r="S885" s="608" t="s">
        <v>778</v>
      </c>
      <c r="T885" s="520" t="s">
        <v>329</v>
      </c>
    </row>
    <row r="886" spans="2:20" ht="26.25" customHeight="1" x14ac:dyDescent="0.25">
      <c r="B886" s="629">
        <v>20.239999999999998</v>
      </c>
      <c r="C886" s="518" t="s">
        <v>136</v>
      </c>
      <c r="D886" s="233" t="s">
        <v>55</v>
      </c>
      <c r="E886" s="233" t="s">
        <v>55</v>
      </c>
      <c r="F886" s="214">
        <v>1</v>
      </c>
      <c r="G886" s="214"/>
      <c r="H886" s="235">
        <v>25.53</v>
      </c>
      <c r="I886" s="235">
        <v>3.86</v>
      </c>
      <c r="J886" s="215">
        <f t="shared" si="520"/>
        <v>98.5458</v>
      </c>
      <c r="K886" s="216" t="s">
        <v>559</v>
      </c>
      <c r="L886" s="237" t="s">
        <v>55</v>
      </c>
      <c r="M886" s="238" t="s">
        <v>55</v>
      </c>
      <c r="N886" s="215">
        <f t="shared" ref="N886:N915" si="525">20*G886+F886*60</f>
        <v>60</v>
      </c>
      <c r="O886" s="220">
        <f t="shared" ref="O886:O915" si="526">20*G886+F886*60</f>
        <v>60</v>
      </c>
      <c r="P886" s="356">
        <f t="shared" si="522"/>
        <v>0.60885395420200561</v>
      </c>
      <c r="Q886" s="356">
        <f t="shared" si="524"/>
        <v>0.60885395420200561</v>
      </c>
      <c r="R886" s="217" t="s">
        <v>55</v>
      </c>
      <c r="S886" s="608" t="s">
        <v>778</v>
      </c>
      <c r="T886" s="520" t="s">
        <v>329</v>
      </c>
    </row>
    <row r="887" spans="2:20" ht="27" customHeight="1" x14ac:dyDescent="0.25">
      <c r="B887" s="629">
        <v>20.25</v>
      </c>
      <c r="C887" s="518" t="s">
        <v>1029</v>
      </c>
      <c r="D887" s="233" t="s">
        <v>55</v>
      </c>
      <c r="E887" s="233" t="s">
        <v>55</v>
      </c>
      <c r="F887" s="214">
        <v>1</v>
      </c>
      <c r="G887" s="214"/>
      <c r="H887" s="235">
        <v>48.58</v>
      </c>
      <c r="I887" s="235">
        <v>3.86</v>
      </c>
      <c r="J887" s="215">
        <f t="shared" si="520"/>
        <v>187.5188</v>
      </c>
      <c r="K887" s="216" t="s">
        <v>559</v>
      </c>
      <c r="L887" s="237" t="s">
        <v>55</v>
      </c>
      <c r="M887" s="238" t="s">
        <v>55</v>
      </c>
      <c r="N887" s="215">
        <f t="shared" si="525"/>
        <v>60</v>
      </c>
      <c r="O887" s="220">
        <f t="shared" si="526"/>
        <v>60</v>
      </c>
      <c r="P887" s="356">
        <f t="shared" si="522"/>
        <v>0.31996791788343354</v>
      </c>
      <c r="Q887" s="356">
        <f t="shared" si="524"/>
        <v>0.31996791788343354</v>
      </c>
      <c r="R887" s="217" t="s">
        <v>55</v>
      </c>
      <c r="S887" s="608" t="s">
        <v>778</v>
      </c>
      <c r="T887" s="520" t="s">
        <v>329</v>
      </c>
    </row>
    <row r="888" spans="2:20" ht="25.5" customHeight="1" x14ac:dyDescent="0.25">
      <c r="B888" s="629">
        <v>20.260000000000002</v>
      </c>
      <c r="C888" s="518" t="s">
        <v>136</v>
      </c>
      <c r="D888" s="233" t="s">
        <v>55</v>
      </c>
      <c r="E888" s="233" t="s">
        <v>55</v>
      </c>
      <c r="F888" s="214">
        <v>1</v>
      </c>
      <c r="G888" s="214"/>
      <c r="H888" s="235">
        <v>19.98</v>
      </c>
      <c r="I888" s="235">
        <v>3.86</v>
      </c>
      <c r="J888" s="215">
        <f t="shared" si="520"/>
        <v>77.122799999999998</v>
      </c>
      <c r="K888" s="216" t="s">
        <v>559</v>
      </c>
      <c r="L888" s="237" t="s">
        <v>55</v>
      </c>
      <c r="M888" s="238" t="s">
        <v>55</v>
      </c>
      <c r="N888" s="215">
        <f t="shared" si="525"/>
        <v>60</v>
      </c>
      <c r="O888" s="220">
        <f t="shared" si="526"/>
        <v>60</v>
      </c>
      <c r="P888" s="356">
        <f t="shared" si="522"/>
        <v>0.77798005259145153</v>
      </c>
      <c r="Q888" s="356">
        <f t="shared" si="524"/>
        <v>0.77798005259145153</v>
      </c>
      <c r="R888" s="217" t="s">
        <v>55</v>
      </c>
      <c r="S888" s="608" t="s">
        <v>778</v>
      </c>
      <c r="T888" s="520" t="s">
        <v>329</v>
      </c>
    </row>
    <row r="889" spans="2:20" ht="24.75" customHeight="1" x14ac:dyDescent="0.25">
      <c r="B889" s="629">
        <v>20.27</v>
      </c>
      <c r="C889" s="518" t="s">
        <v>136</v>
      </c>
      <c r="D889" s="233" t="s">
        <v>55</v>
      </c>
      <c r="E889" s="233" t="s">
        <v>55</v>
      </c>
      <c r="F889" s="214">
        <v>1</v>
      </c>
      <c r="G889" s="214"/>
      <c r="H889" s="235">
        <v>16.12</v>
      </c>
      <c r="I889" s="235">
        <v>3.86</v>
      </c>
      <c r="J889" s="215">
        <f t="shared" si="520"/>
        <v>62.223199999999999</v>
      </c>
      <c r="K889" s="216" t="s">
        <v>559</v>
      </c>
      <c r="L889" s="237" t="s">
        <v>55</v>
      </c>
      <c r="M889" s="238" t="s">
        <v>55</v>
      </c>
      <c r="N889" s="215">
        <f t="shared" si="525"/>
        <v>60</v>
      </c>
      <c r="O889" s="220">
        <f t="shared" si="526"/>
        <v>60</v>
      </c>
      <c r="P889" s="356">
        <f t="shared" si="522"/>
        <v>0.96427056146260559</v>
      </c>
      <c r="Q889" s="356">
        <f t="shared" si="524"/>
        <v>0.96427056146260559</v>
      </c>
      <c r="R889" s="217" t="s">
        <v>55</v>
      </c>
      <c r="S889" s="608" t="s">
        <v>778</v>
      </c>
      <c r="T889" s="520" t="s">
        <v>329</v>
      </c>
    </row>
    <row r="890" spans="2:20" ht="30" customHeight="1" x14ac:dyDescent="0.25">
      <c r="B890" s="629">
        <v>20.28</v>
      </c>
      <c r="C890" s="518" t="s">
        <v>136</v>
      </c>
      <c r="D890" s="233" t="s">
        <v>55</v>
      </c>
      <c r="E890" s="233" t="s">
        <v>55</v>
      </c>
      <c r="F890" s="214">
        <v>1</v>
      </c>
      <c r="G890" s="214"/>
      <c r="H890" s="235">
        <v>17.36</v>
      </c>
      <c r="I890" s="235">
        <v>3.86</v>
      </c>
      <c r="J890" s="215">
        <f t="shared" si="520"/>
        <v>67.009599999999992</v>
      </c>
      <c r="K890" s="216" t="s">
        <v>559</v>
      </c>
      <c r="L890" s="237" t="s">
        <v>55</v>
      </c>
      <c r="M890" s="238" t="s">
        <v>55</v>
      </c>
      <c r="N890" s="215">
        <f t="shared" si="525"/>
        <v>60</v>
      </c>
      <c r="O890" s="220">
        <f t="shared" si="526"/>
        <v>60</v>
      </c>
      <c r="P890" s="356">
        <f t="shared" si="522"/>
        <v>0.89539409278670534</v>
      </c>
      <c r="Q890" s="356">
        <f t="shared" si="524"/>
        <v>0.89539409278670534</v>
      </c>
      <c r="R890" s="217" t="s">
        <v>55</v>
      </c>
      <c r="S890" s="608" t="s">
        <v>778</v>
      </c>
      <c r="T890" s="520" t="s">
        <v>329</v>
      </c>
    </row>
    <row r="891" spans="2:20" ht="25.5" customHeight="1" x14ac:dyDescent="0.25">
      <c r="B891" s="629">
        <v>20.29</v>
      </c>
      <c r="C891" s="518" t="s">
        <v>136</v>
      </c>
      <c r="D891" s="233" t="s">
        <v>55</v>
      </c>
      <c r="E891" s="233" t="s">
        <v>55</v>
      </c>
      <c r="F891" s="214">
        <v>1</v>
      </c>
      <c r="G891" s="214"/>
      <c r="H891" s="235">
        <v>20.07</v>
      </c>
      <c r="I891" s="235">
        <v>3.86</v>
      </c>
      <c r="J891" s="215">
        <f t="shared" si="520"/>
        <v>77.470200000000006</v>
      </c>
      <c r="K891" s="216" t="s">
        <v>559</v>
      </c>
      <c r="L891" s="237" t="s">
        <v>55</v>
      </c>
      <c r="M891" s="238" t="s">
        <v>55</v>
      </c>
      <c r="N891" s="215">
        <f t="shared" si="525"/>
        <v>60</v>
      </c>
      <c r="O891" s="220">
        <f t="shared" si="526"/>
        <v>60</v>
      </c>
      <c r="P891" s="356">
        <f t="shared" si="522"/>
        <v>0.77449135280404591</v>
      </c>
      <c r="Q891" s="356">
        <f t="shared" si="524"/>
        <v>0.77449135280404591</v>
      </c>
      <c r="R891" s="217" t="s">
        <v>55</v>
      </c>
      <c r="S891" s="608" t="s">
        <v>778</v>
      </c>
      <c r="T891" s="520" t="s">
        <v>329</v>
      </c>
    </row>
    <row r="892" spans="2:20" ht="27.75" customHeight="1" x14ac:dyDescent="0.25">
      <c r="B892" s="629">
        <v>20.3</v>
      </c>
      <c r="C892" s="518" t="s">
        <v>136</v>
      </c>
      <c r="D892" s="233" t="s">
        <v>55</v>
      </c>
      <c r="E892" s="233" t="s">
        <v>55</v>
      </c>
      <c r="F892" s="214">
        <v>1</v>
      </c>
      <c r="G892" s="214"/>
      <c r="H892" s="235">
        <v>20.07</v>
      </c>
      <c r="I892" s="235">
        <v>3.86</v>
      </c>
      <c r="J892" s="215">
        <f t="shared" si="520"/>
        <v>77.470200000000006</v>
      </c>
      <c r="K892" s="216" t="s">
        <v>559</v>
      </c>
      <c r="L892" s="237" t="s">
        <v>55</v>
      </c>
      <c r="M892" s="238" t="s">
        <v>55</v>
      </c>
      <c r="N892" s="215">
        <f t="shared" si="525"/>
        <v>60</v>
      </c>
      <c r="O892" s="220">
        <f t="shared" si="526"/>
        <v>60</v>
      </c>
      <c r="P892" s="356">
        <f t="shared" si="522"/>
        <v>0.77449135280404591</v>
      </c>
      <c r="Q892" s="356">
        <f t="shared" si="524"/>
        <v>0.77449135280404591</v>
      </c>
      <c r="R892" s="217" t="s">
        <v>55</v>
      </c>
      <c r="S892" s="608" t="s">
        <v>778</v>
      </c>
      <c r="T892" s="520" t="s">
        <v>329</v>
      </c>
    </row>
    <row r="893" spans="2:20" ht="17.25" customHeight="1" x14ac:dyDescent="0.25">
      <c r="B893" s="629">
        <v>20.309999999999999</v>
      </c>
      <c r="C893" s="518" t="s">
        <v>551</v>
      </c>
      <c r="D893" s="233" t="s">
        <v>55</v>
      </c>
      <c r="E893" s="233" t="s">
        <v>55</v>
      </c>
      <c r="F893" s="214" t="s">
        <v>55</v>
      </c>
      <c r="G893" s="214" t="s">
        <v>55</v>
      </c>
      <c r="H893" s="235">
        <v>4.67</v>
      </c>
      <c r="I893" s="235">
        <v>3.86</v>
      </c>
      <c r="J893" s="215">
        <f t="shared" si="520"/>
        <v>18.026199999999999</v>
      </c>
      <c r="K893" s="216" t="s">
        <v>55</v>
      </c>
      <c r="L893" s="237">
        <v>1</v>
      </c>
      <c r="M893" s="238" t="s">
        <v>55</v>
      </c>
      <c r="N893" s="215" t="s">
        <v>55</v>
      </c>
      <c r="O893" s="220">
        <f>L893*J893</f>
        <v>18.026199999999999</v>
      </c>
      <c r="P893" s="356" t="s">
        <v>55</v>
      </c>
      <c r="Q893" s="356">
        <f t="shared" si="524"/>
        <v>1</v>
      </c>
      <c r="R893" s="217" t="s">
        <v>55</v>
      </c>
      <c r="S893" s="608" t="s">
        <v>55</v>
      </c>
      <c r="T893" s="520" t="s">
        <v>329</v>
      </c>
    </row>
    <row r="894" spans="2:20" ht="17.25" customHeight="1" x14ac:dyDescent="0.25">
      <c r="B894" s="629">
        <v>20.32</v>
      </c>
      <c r="C894" s="518" t="s">
        <v>551</v>
      </c>
      <c r="D894" s="233" t="s">
        <v>55</v>
      </c>
      <c r="E894" s="233" t="s">
        <v>55</v>
      </c>
      <c r="F894" s="214" t="s">
        <v>55</v>
      </c>
      <c r="G894" s="214" t="s">
        <v>55</v>
      </c>
      <c r="H894" s="235">
        <v>9.4700000000000006</v>
      </c>
      <c r="I894" s="235">
        <v>3.86</v>
      </c>
      <c r="J894" s="215">
        <f t="shared" si="520"/>
        <v>36.554200000000002</v>
      </c>
      <c r="K894" s="216" t="s">
        <v>55</v>
      </c>
      <c r="L894" s="237">
        <v>1</v>
      </c>
      <c r="M894" s="238" t="s">
        <v>55</v>
      </c>
      <c r="N894" s="215" t="s">
        <v>55</v>
      </c>
      <c r="O894" s="220">
        <f>L894*J894</f>
        <v>36.554200000000002</v>
      </c>
      <c r="P894" s="356" t="s">
        <v>55</v>
      </c>
      <c r="Q894" s="356">
        <f t="shared" si="524"/>
        <v>1</v>
      </c>
      <c r="R894" s="217" t="s">
        <v>55</v>
      </c>
      <c r="S894" s="608" t="s">
        <v>55</v>
      </c>
      <c r="T894" s="520" t="s">
        <v>329</v>
      </c>
    </row>
    <row r="895" spans="2:20" ht="21.75" customHeight="1" x14ac:dyDescent="0.25">
      <c r="B895" s="629">
        <v>20.329999999999998</v>
      </c>
      <c r="C895" s="518" t="s">
        <v>136</v>
      </c>
      <c r="D895" s="233" t="s">
        <v>55</v>
      </c>
      <c r="E895" s="233" t="s">
        <v>55</v>
      </c>
      <c r="F895" s="214">
        <v>1</v>
      </c>
      <c r="G895" s="214"/>
      <c r="H895" s="235">
        <v>16.72</v>
      </c>
      <c r="I895" s="235">
        <v>3.86</v>
      </c>
      <c r="J895" s="215">
        <f t="shared" si="520"/>
        <v>64.539199999999994</v>
      </c>
      <c r="K895" s="216" t="s">
        <v>559</v>
      </c>
      <c r="L895" s="237" t="s">
        <v>55</v>
      </c>
      <c r="M895" s="238" t="s">
        <v>55</v>
      </c>
      <c r="N895" s="215">
        <f t="shared" si="525"/>
        <v>60</v>
      </c>
      <c r="O895" s="220">
        <f t="shared" si="526"/>
        <v>60</v>
      </c>
      <c r="P895" s="356">
        <f t="shared" si="522"/>
        <v>0.92966755088380404</v>
      </c>
      <c r="Q895" s="356">
        <f t="shared" si="524"/>
        <v>0.92966755088380404</v>
      </c>
      <c r="R895" s="217" t="s">
        <v>55</v>
      </c>
      <c r="S895" s="608" t="s">
        <v>778</v>
      </c>
      <c r="T895" s="520" t="s">
        <v>329</v>
      </c>
    </row>
    <row r="896" spans="2:20" ht="17.25" customHeight="1" x14ac:dyDescent="0.25">
      <c r="B896" s="627">
        <v>20.34</v>
      </c>
      <c r="C896" s="518" t="s">
        <v>95</v>
      </c>
      <c r="D896" s="233" t="s">
        <v>55</v>
      </c>
      <c r="E896" s="233" t="s">
        <v>55</v>
      </c>
      <c r="F896" s="214" t="s">
        <v>55</v>
      </c>
      <c r="G896" s="214" t="s">
        <v>55</v>
      </c>
      <c r="H896" s="235">
        <v>10.67</v>
      </c>
      <c r="I896" s="235">
        <v>3.86</v>
      </c>
      <c r="J896" s="215">
        <f t="shared" si="520"/>
        <v>41.186199999999999</v>
      </c>
      <c r="K896" s="216" t="s">
        <v>55</v>
      </c>
      <c r="L896" s="237">
        <v>1</v>
      </c>
      <c r="M896" s="238" t="s">
        <v>55</v>
      </c>
      <c r="N896" s="215" t="s">
        <v>55</v>
      </c>
      <c r="O896" s="220">
        <f>L896*J896</f>
        <v>41.186199999999999</v>
      </c>
      <c r="P896" s="356" t="s">
        <v>55</v>
      </c>
      <c r="Q896" s="356">
        <f t="shared" si="524"/>
        <v>1</v>
      </c>
      <c r="R896" s="217" t="s">
        <v>55</v>
      </c>
      <c r="S896" s="608" t="s">
        <v>778</v>
      </c>
      <c r="T896" s="520" t="s">
        <v>329</v>
      </c>
    </row>
    <row r="897" spans="2:28" ht="23.25" customHeight="1" x14ac:dyDescent="0.25">
      <c r="B897" s="627">
        <v>20.350000000000001</v>
      </c>
      <c r="C897" s="518" t="s">
        <v>136</v>
      </c>
      <c r="D897" s="233" t="s">
        <v>55</v>
      </c>
      <c r="E897" s="233" t="s">
        <v>55</v>
      </c>
      <c r="F897" s="214">
        <v>1</v>
      </c>
      <c r="G897" s="214"/>
      <c r="H897" s="235">
        <v>16.45</v>
      </c>
      <c r="I897" s="235">
        <v>3.86</v>
      </c>
      <c r="J897" s="215">
        <f t="shared" si="520"/>
        <v>63.496999999999993</v>
      </c>
      <c r="K897" s="216" t="s">
        <v>559</v>
      </c>
      <c r="L897" s="237" t="s">
        <v>55</v>
      </c>
      <c r="M897" s="238" t="s">
        <v>55</v>
      </c>
      <c r="N897" s="215">
        <f t="shared" si="525"/>
        <v>60</v>
      </c>
      <c r="O897" s="220">
        <f t="shared" si="526"/>
        <v>60</v>
      </c>
      <c r="P897" s="356">
        <f t="shared" si="522"/>
        <v>0.94492653196214005</v>
      </c>
      <c r="Q897" s="356">
        <f t="shared" si="524"/>
        <v>0.94492653196214005</v>
      </c>
      <c r="R897" s="217" t="s">
        <v>55</v>
      </c>
      <c r="S897" s="608" t="s">
        <v>778</v>
      </c>
      <c r="T897" s="520" t="s">
        <v>329</v>
      </c>
    </row>
    <row r="898" spans="2:28" ht="17.25" customHeight="1" x14ac:dyDescent="0.25">
      <c r="B898" s="627">
        <v>20.36</v>
      </c>
      <c r="C898" s="518" t="s">
        <v>553</v>
      </c>
      <c r="D898" s="233" t="s">
        <v>55</v>
      </c>
      <c r="E898" s="233" t="s">
        <v>55</v>
      </c>
      <c r="F898" s="214" t="s">
        <v>55</v>
      </c>
      <c r="G898" s="214" t="s">
        <v>55</v>
      </c>
      <c r="H898" s="235">
        <v>5.91</v>
      </c>
      <c r="I898" s="235">
        <v>3.86</v>
      </c>
      <c r="J898" s="215">
        <f t="shared" si="520"/>
        <v>22.8126</v>
      </c>
      <c r="K898" s="216">
        <v>1</v>
      </c>
      <c r="L898" s="237">
        <v>1</v>
      </c>
      <c r="M898" s="238" t="s">
        <v>55</v>
      </c>
      <c r="N898" s="215">
        <f>K898*J898</f>
        <v>22.8126</v>
      </c>
      <c r="O898" s="220">
        <f>L898*J898</f>
        <v>22.8126</v>
      </c>
      <c r="P898" s="356">
        <f t="shared" si="522"/>
        <v>1</v>
      </c>
      <c r="Q898" s="356">
        <f t="shared" si="524"/>
        <v>1</v>
      </c>
      <c r="R898" s="217" t="s">
        <v>55</v>
      </c>
      <c r="S898" s="608" t="s">
        <v>778</v>
      </c>
      <c r="T898" s="520" t="s">
        <v>329</v>
      </c>
    </row>
    <row r="899" spans="2:28" ht="17.25" customHeight="1" x14ac:dyDescent="0.25">
      <c r="B899" s="627">
        <v>20.37</v>
      </c>
      <c r="C899" s="518" t="s">
        <v>551</v>
      </c>
      <c r="D899" s="233" t="s">
        <v>55</v>
      </c>
      <c r="E899" s="233" t="s">
        <v>55</v>
      </c>
      <c r="F899" s="214" t="s">
        <v>55</v>
      </c>
      <c r="G899" s="214" t="s">
        <v>55</v>
      </c>
      <c r="H899" s="235">
        <v>6.26</v>
      </c>
      <c r="I899" s="235">
        <v>3.86</v>
      </c>
      <c r="J899" s="215">
        <f t="shared" si="520"/>
        <v>24.163599999999999</v>
      </c>
      <c r="K899" s="216" t="s">
        <v>55</v>
      </c>
      <c r="L899" s="237">
        <v>1</v>
      </c>
      <c r="M899" s="238" t="s">
        <v>55</v>
      </c>
      <c r="N899" s="215" t="s">
        <v>55</v>
      </c>
      <c r="O899" s="220">
        <f>L899*J899</f>
        <v>24.163599999999999</v>
      </c>
      <c r="P899" s="356" t="s">
        <v>55</v>
      </c>
      <c r="Q899" s="356">
        <f t="shared" si="524"/>
        <v>1</v>
      </c>
      <c r="R899" s="217" t="s">
        <v>55</v>
      </c>
      <c r="S899" s="608" t="s">
        <v>778</v>
      </c>
      <c r="T899" s="520" t="s">
        <v>329</v>
      </c>
    </row>
    <row r="900" spans="2:28" ht="17.25" customHeight="1" x14ac:dyDescent="0.25">
      <c r="B900" s="627">
        <v>20.38</v>
      </c>
      <c r="C900" s="518" t="s">
        <v>553</v>
      </c>
      <c r="D900" s="233" t="s">
        <v>55</v>
      </c>
      <c r="E900" s="233" t="s">
        <v>55</v>
      </c>
      <c r="F900" s="214" t="s">
        <v>55</v>
      </c>
      <c r="G900" s="214" t="s">
        <v>55</v>
      </c>
      <c r="H900" s="235">
        <v>5.03</v>
      </c>
      <c r="I900" s="235">
        <v>3.86</v>
      </c>
      <c r="J900" s="215">
        <f t="shared" si="520"/>
        <v>19.415800000000001</v>
      </c>
      <c r="K900" s="216">
        <v>1</v>
      </c>
      <c r="L900" s="237">
        <v>1</v>
      </c>
      <c r="M900" s="238" t="s">
        <v>55</v>
      </c>
      <c r="N900" s="215">
        <f>J900*K900</f>
        <v>19.415800000000001</v>
      </c>
      <c r="O900" s="220">
        <f>L900*J900</f>
        <v>19.415800000000001</v>
      </c>
      <c r="P900" s="356">
        <f t="shared" si="522"/>
        <v>1</v>
      </c>
      <c r="Q900" s="356">
        <f t="shared" si="524"/>
        <v>1</v>
      </c>
      <c r="R900" s="217" t="s">
        <v>55</v>
      </c>
      <c r="S900" s="608" t="s">
        <v>778</v>
      </c>
      <c r="T900" s="520" t="s">
        <v>329</v>
      </c>
    </row>
    <row r="901" spans="2:28" ht="27.75" customHeight="1" x14ac:dyDescent="0.25">
      <c r="B901" s="627">
        <v>20.39</v>
      </c>
      <c r="C901" s="518" t="s">
        <v>136</v>
      </c>
      <c r="D901" s="233" t="s">
        <v>55</v>
      </c>
      <c r="E901" s="233" t="s">
        <v>55</v>
      </c>
      <c r="F901" s="214">
        <v>1</v>
      </c>
      <c r="G901" s="214"/>
      <c r="H901" s="235">
        <v>20.059999999999999</v>
      </c>
      <c r="I901" s="235">
        <v>3.86</v>
      </c>
      <c r="J901" s="215">
        <f t="shared" si="520"/>
        <v>77.431599999999989</v>
      </c>
      <c r="K901" s="216" t="s">
        <v>559</v>
      </c>
      <c r="L901" s="237" t="s">
        <v>55</v>
      </c>
      <c r="M901" s="238" t="s">
        <v>55</v>
      </c>
      <c r="N901" s="215">
        <f t="shared" si="525"/>
        <v>60</v>
      </c>
      <c r="O901" s="220">
        <f t="shared" si="526"/>
        <v>60</v>
      </c>
      <c r="P901" s="356">
        <f t="shared" si="522"/>
        <v>0.77487744021820559</v>
      </c>
      <c r="Q901" s="356">
        <f t="shared" si="524"/>
        <v>0.77487744021820559</v>
      </c>
      <c r="R901" s="217" t="s">
        <v>55</v>
      </c>
      <c r="S901" s="608" t="s">
        <v>778</v>
      </c>
      <c r="T901" s="520" t="s">
        <v>329</v>
      </c>
    </row>
    <row r="902" spans="2:28" ht="25.5" customHeight="1" x14ac:dyDescent="0.25">
      <c r="B902" s="627">
        <v>20.399999999999999</v>
      </c>
      <c r="C902" s="518" t="s">
        <v>607</v>
      </c>
      <c r="D902" s="233" t="s">
        <v>55</v>
      </c>
      <c r="E902" s="233" t="s">
        <v>55</v>
      </c>
      <c r="F902" s="214">
        <v>8</v>
      </c>
      <c r="G902" s="214"/>
      <c r="H902" s="235">
        <v>49.87</v>
      </c>
      <c r="I902" s="235">
        <v>3.86</v>
      </c>
      <c r="J902" s="215">
        <f t="shared" si="520"/>
        <v>192.4982</v>
      </c>
      <c r="K902" s="216" t="s">
        <v>559</v>
      </c>
      <c r="L902" s="237" t="s">
        <v>55</v>
      </c>
      <c r="M902" s="238" t="s">
        <v>55</v>
      </c>
      <c r="N902" s="215">
        <f t="shared" si="525"/>
        <v>480</v>
      </c>
      <c r="O902" s="220">
        <f t="shared" si="526"/>
        <v>480</v>
      </c>
      <c r="P902" s="356">
        <f t="shared" si="522"/>
        <v>2.493529809629389</v>
      </c>
      <c r="Q902" s="356">
        <f t="shared" si="524"/>
        <v>2.493529809629389</v>
      </c>
      <c r="R902" s="217" t="s">
        <v>55</v>
      </c>
      <c r="S902" s="608" t="s">
        <v>778</v>
      </c>
      <c r="T902" s="520" t="s">
        <v>329</v>
      </c>
    </row>
    <row r="903" spans="2:28" ht="24.75" customHeight="1" x14ac:dyDescent="0.25">
      <c r="B903" s="627">
        <v>20.41</v>
      </c>
      <c r="C903" s="518" t="s">
        <v>136</v>
      </c>
      <c r="D903" s="233" t="s">
        <v>55</v>
      </c>
      <c r="E903" s="233" t="s">
        <v>55</v>
      </c>
      <c r="F903" s="214">
        <v>1</v>
      </c>
      <c r="G903" s="214"/>
      <c r="H903" s="235">
        <v>17.54</v>
      </c>
      <c r="I903" s="235">
        <v>3.86</v>
      </c>
      <c r="J903" s="215">
        <f t="shared" si="520"/>
        <v>67.704399999999993</v>
      </c>
      <c r="K903" s="216" t="s">
        <v>559</v>
      </c>
      <c r="L903" s="237" t="s">
        <v>55</v>
      </c>
      <c r="M903" s="238" t="s">
        <v>55</v>
      </c>
      <c r="N903" s="215">
        <f t="shared" si="525"/>
        <v>60</v>
      </c>
      <c r="O903" s="220">
        <f t="shared" si="526"/>
        <v>60</v>
      </c>
      <c r="P903" s="356">
        <f t="shared" si="522"/>
        <v>0.88620532786643125</v>
      </c>
      <c r="Q903" s="356">
        <f t="shared" si="524"/>
        <v>0.88620532786643125</v>
      </c>
      <c r="R903" s="217" t="s">
        <v>55</v>
      </c>
      <c r="S903" s="608" t="s">
        <v>778</v>
      </c>
      <c r="T903" s="520" t="s">
        <v>329</v>
      </c>
    </row>
    <row r="904" spans="2:28" ht="24.75" customHeight="1" x14ac:dyDescent="0.25">
      <c r="B904" s="627">
        <v>20.420000000000002</v>
      </c>
      <c r="C904" s="518" t="s">
        <v>608</v>
      </c>
      <c r="D904" s="233" t="s">
        <v>55</v>
      </c>
      <c r="E904" s="233" t="s">
        <v>55</v>
      </c>
      <c r="F904" s="214">
        <v>6</v>
      </c>
      <c r="G904" s="214"/>
      <c r="H904" s="235">
        <v>44.5</v>
      </c>
      <c r="I904" s="235">
        <v>3.86</v>
      </c>
      <c r="J904" s="215">
        <f t="shared" si="520"/>
        <v>171.76999999999998</v>
      </c>
      <c r="K904" s="216" t="s">
        <v>559</v>
      </c>
      <c r="L904" s="237" t="s">
        <v>55</v>
      </c>
      <c r="M904" s="238" t="s">
        <v>55</v>
      </c>
      <c r="N904" s="215">
        <f t="shared" si="525"/>
        <v>360</v>
      </c>
      <c r="O904" s="220">
        <f t="shared" si="526"/>
        <v>360</v>
      </c>
      <c r="P904" s="356">
        <f t="shared" si="522"/>
        <v>2.0958258135879375</v>
      </c>
      <c r="Q904" s="356">
        <f t="shared" si="524"/>
        <v>2.0958258135879375</v>
      </c>
      <c r="R904" s="217" t="s">
        <v>55</v>
      </c>
      <c r="S904" s="608" t="s">
        <v>778</v>
      </c>
      <c r="T904" s="520" t="s">
        <v>329</v>
      </c>
    </row>
    <row r="905" spans="2:28" ht="25.5" customHeight="1" x14ac:dyDescent="0.25">
      <c r="B905" s="627">
        <v>20.43</v>
      </c>
      <c r="C905" s="518" t="s">
        <v>136</v>
      </c>
      <c r="D905" s="233" t="s">
        <v>55</v>
      </c>
      <c r="E905" s="233" t="s">
        <v>55</v>
      </c>
      <c r="F905" s="214">
        <v>1</v>
      </c>
      <c r="G905" s="214"/>
      <c r="H905" s="235">
        <v>19.63</v>
      </c>
      <c r="I905" s="235">
        <v>3.86</v>
      </c>
      <c r="J905" s="215">
        <f t="shared" si="520"/>
        <v>75.771799999999999</v>
      </c>
      <c r="K905" s="216" t="s">
        <v>559</v>
      </c>
      <c r="L905" s="237" t="s">
        <v>55</v>
      </c>
      <c r="M905" s="238" t="s">
        <v>55</v>
      </c>
      <c r="N905" s="215">
        <f t="shared" si="525"/>
        <v>60</v>
      </c>
      <c r="O905" s="220">
        <f t="shared" si="526"/>
        <v>60</v>
      </c>
      <c r="P905" s="356">
        <f t="shared" si="522"/>
        <v>0.79185132199578212</v>
      </c>
      <c r="Q905" s="356">
        <f t="shared" si="524"/>
        <v>0.79185132199578212</v>
      </c>
      <c r="R905" s="217" t="s">
        <v>55</v>
      </c>
      <c r="S905" s="608" t="s">
        <v>778</v>
      </c>
      <c r="T905" s="520" t="s">
        <v>329</v>
      </c>
    </row>
    <row r="906" spans="2:28" ht="24.75" customHeight="1" x14ac:dyDescent="0.25">
      <c r="B906" s="627">
        <v>20.440000000000001</v>
      </c>
      <c r="C906" s="518" t="s">
        <v>608</v>
      </c>
      <c r="D906" s="233" t="s">
        <v>55</v>
      </c>
      <c r="E906" s="233" t="s">
        <v>55</v>
      </c>
      <c r="F906" s="214">
        <v>6</v>
      </c>
      <c r="G906" s="214"/>
      <c r="H906" s="235">
        <v>44.5</v>
      </c>
      <c r="I906" s="235">
        <v>3.86</v>
      </c>
      <c r="J906" s="215">
        <f t="shared" si="520"/>
        <v>171.76999999999998</v>
      </c>
      <c r="K906" s="216" t="s">
        <v>559</v>
      </c>
      <c r="L906" s="237" t="s">
        <v>55</v>
      </c>
      <c r="M906" s="238" t="s">
        <v>55</v>
      </c>
      <c r="N906" s="215">
        <f t="shared" si="525"/>
        <v>360</v>
      </c>
      <c r="O906" s="220">
        <f t="shared" si="526"/>
        <v>360</v>
      </c>
      <c r="P906" s="356">
        <f t="shared" si="522"/>
        <v>2.0958258135879375</v>
      </c>
      <c r="Q906" s="356">
        <f t="shared" si="524"/>
        <v>2.0958258135879375</v>
      </c>
      <c r="R906" s="217" t="s">
        <v>55</v>
      </c>
      <c r="S906" s="608" t="s">
        <v>778</v>
      </c>
      <c r="T906" s="520" t="s">
        <v>329</v>
      </c>
    </row>
    <row r="907" spans="2:28" ht="31.5" customHeight="1" x14ac:dyDescent="0.25">
      <c r="B907" s="627">
        <v>20.45</v>
      </c>
      <c r="C907" s="518" t="s">
        <v>1030</v>
      </c>
      <c r="D907" s="233" t="s">
        <v>55</v>
      </c>
      <c r="E907" s="233" t="s">
        <v>55</v>
      </c>
      <c r="F907" s="214">
        <v>3</v>
      </c>
      <c r="G907" s="214"/>
      <c r="H907" s="235">
        <v>21.28</v>
      </c>
      <c r="I907" s="235">
        <v>3.86</v>
      </c>
      <c r="J907" s="215">
        <f t="shared" si="520"/>
        <v>82.140799999999999</v>
      </c>
      <c r="K907" s="216" t="s">
        <v>559</v>
      </c>
      <c r="L907" s="237" t="s">
        <v>55</v>
      </c>
      <c r="M907" s="238" t="s">
        <v>55</v>
      </c>
      <c r="N907" s="215">
        <f t="shared" si="525"/>
        <v>180</v>
      </c>
      <c r="O907" s="220">
        <f t="shared" si="526"/>
        <v>180</v>
      </c>
      <c r="P907" s="356">
        <f t="shared" si="522"/>
        <v>2.191359227083252</v>
      </c>
      <c r="Q907" s="356">
        <f t="shared" si="524"/>
        <v>2.191359227083252</v>
      </c>
      <c r="R907" s="217" t="s">
        <v>55</v>
      </c>
      <c r="S907" s="608" t="s">
        <v>778</v>
      </c>
      <c r="T907" s="520" t="s">
        <v>329</v>
      </c>
    </row>
    <row r="908" spans="2:28" ht="24.75" customHeight="1" x14ac:dyDescent="0.25">
      <c r="B908" s="627">
        <v>20.46</v>
      </c>
      <c r="C908" s="518" t="s">
        <v>136</v>
      </c>
      <c r="D908" s="233" t="s">
        <v>55</v>
      </c>
      <c r="E908" s="233" t="s">
        <v>55</v>
      </c>
      <c r="F908" s="214">
        <v>1</v>
      </c>
      <c r="G908" s="214"/>
      <c r="H908" s="235">
        <v>16.55</v>
      </c>
      <c r="I908" s="235">
        <v>3.86</v>
      </c>
      <c r="J908" s="215">
        <f t="shared" si="520"/>
        <v>63.883000000000003</v>
      </c>
      <c r="K908" s="216" t="s">
        <v>559</v>
      </c>
      <c r="L908" s="237" t="s">
        <v>55</v>
      </c>
      <c r="M908" s="238" t="s">
        <v>55</v>
      </c>
      <c r="N908" s="215">
        <f t="shared" si="525"/>
        <v>60</v>
      </c>
      <c r="O908" s="220">
        <f t="shared" si="526"/>
        <v>60</v>
      </c>
      <c r="P908" s="356">
        <f t="shared" si="522"/>
        <v>0.93921700608925685</v>
      </c>
      <c r="Q908" s="356">
        <f t="shared" si="524"/>
        <v>0.93921700608925685</v>
      </c>
      <c r="R908" s="217" t="s">
        <v>55</v>
      </c>
      <c r="S908" s="608" t="s">
        <v>778</v>
      </c>
      <c r="T908" s="520" t="s">
        <v>329</v>
      </c>
    </row>
    <row r="909" spans="2:28" ht="17.25" customHeight="1" x14ac:dyDescent="0.25">
      <c r="B909" s="627">
        <v>20.47</v>
      </c>
      <c r="C909" s="518" t="s">
        <v>553</v>
      </c>
      <c r="D909" s="233" t="s">
        <v>55</v>
      </c>
      <c r="E909" s="233" t="s">
        <v>55</v>
      </c>
      <c r="F909" s="214" t="s">
        <v>55</v>
      </c>
      <c r="G909" s="214" t="s">
        <v>55</v>
      </c>
      <c r="H909" s="235">
        <v>10.23</v>
      </c>
      <c r="I909" s="235">
        <v>3.86</v>
      </c>
      <c r="J909" s="215">
        <f t="shared" si="520"/>
        <v>39.4878</v>
      </c>
      <c r="K909" s="335">
        <v>1</v>
      </c>
      <c r="L909" s="237">
        <v>1</v>
      </c>
      <c r="M909" s="238" t="s">
        <v>55</v>
      </c>
      <c r="N909" s="215">
        <f>K909*J909</f>
        <v>39.4878</v>
      </c>
      <c r="O909" s="220">
        <f>L909*J909</f>
        <v>39.4878</v>
      </c>
      <c r="P909" s="356">
        <f t="shared" si="522"/>
        <v>1</v>
      </c>
      <c r="Q909" s="356">
        <f t="shared" si="524"/>
        <v>1</v>
      </c>
      <c r="R909" s="217" t="s">
        <v>55</v>
      </c>
      <c r="S909" s="608" t="s">
        <v>778</v>
      </c>
      <c r="T909" s="520" t="s">
        <v>329</v>
      </c>
      <c r="AA909" s="206"/>
      <c r="AB909" s="345"/>
    </row>
    <row r="910" spans="2:28" ht="24" customHeight="1" x14ac:dyDescent="0.25">
      <c r="B910" s="627">
        <v>20.48</v>
      </c>
      <c r="C910" s="518" t="s">
        <v>1030</v>
      </c>
      <c r="D910" s="233" t="s">
        <v>55</v>
      </c>
      <c r="E910" s="233" t="s">
        <v>55</v>
      </c>
      <c r="F910" s="214">
        <v>3</v>
      </c>
      <c r="G910" s="214"/>
      <c r="H910" s="235">
        <v>25.19</v>
      </c>
      <c r="I910" s="235">
        <v>3.86</v>
      </c>
      <c r="J910" s="215">
        <f t="shared" si="520"/>
        <v>97.233400000000003</v>
      </c>
      <c r="K910" s="216" t="s">
        <v>559</v>
      </c>
      <c r="L910" s="237" t="s">
        <v>55</v>
      </c>
      <c r="M910" s="238" t="s">
        <v>55</v>
      </c>
      <c r="N910" s="215">
        <f t="shared" si="525"/>
        <v>180</v>
      </c>
      <c r="O910" s="220">
        <f t="shared" si="526"/>
        <v>180</v>
      </c>
      <c r="P910" s="356">
        <f t="shared" si="522"/>
        <v>1.8512157345109808</v>
      </c>
      <c r="Q910" s="356">
        <f t="shared" si="524"/>
        <v>1.8512157345109808</v>
      </c>
      <c r="R910" s="217" t="s">
        <v>55</v>
      </c>
      <c r="S910" s="608" t="s">
        <v>778</v>
      </c>
      <c r="T910" s="520" t="s">
        <v>329</v>
      </c>
    </row>
    <row r="911" spans="2:28" ht="21.75" customHeight="1" x14ac:dyDescent="0.25">
      <c r="B911" s="627">
        <v>20.49</v>
      </c>
      <c r="C911" s="518" t="s">
        <v>136</v>
      </c>
      <c r="D911" s="233" t="s">
        <v>55</v>
      </c>
      <c r="E911" s="233" t="s">
        <v>55</v>
      </c>
      <c r="F911" s="214">
        <v>1</v>
      </c>
      <c r="G911" s="214"/>
      <c r="H911" s="235">
        <v>17.059999999999999</v>
      </c>
      <c r="I911" s="235">
        <v>3.86</v>
      </c>
      <c r="J911" s="215">
        <f t="shared" si="520"/>
        <v>65.851599999999991</v>
      </c>
      <c r="K911" s="216" t="s">
        <v>559</v>
      </c>
      <c r="L911" s="237" t="s">
        <v>55</v>
      </c>
      <c r="M911" s="238" t="s">
        <v>55</v>
      </c>
      <c r="N911" s="215">
        <f t="shared" si="525"/>
        <v>60</v>
      </c>
      <c r="O911" s="220">
        <f t="shared" si="526"/>
        <v>60</v>
      </c>
      <c r="P911" s="356">
        <f t="shared" si="522"/>
        <v>0.91113959265985955</v>
      </c>
      <c r="Q911" s="356">
        <f t="shared" si="524"/>
        <v>0.91113959265985955</v>
      </c>
      <c r="R911" s="217" t="s">
        <v>55</v>
      </c>
      <c r="S911" s="608" t="s">
        <v>778</v>
      </c>
      <c r="T911" s="520" t="s">
        <v>329</v>
      </c>
    </row>
    <row r="912" spans="2:28" ht="23.25" customHeight="1" x14ac:dyDescent="0.25">
      <c r="B912" s="627">
        <v>20.5</v>
      </c>
      <c r="C912" s="518" t="s">
        <v>655</v>
      </c>
      <c r="D912" s="233" t="s">
        <v>55</v>
      </c>
      <c r="E912" s="233" t="s">
        <v>55</v>
      </c>
      <c r="F912" s="214">
        <v>2</v>
      </c>
      <c r="G912" s="214"/>
      <c r="H912" s="235">
        <v>13.37</v>
      </c>
      <c r="I912" s="235">
        <v>3.86</v>
      </c>
      <c r="J912" s="215">
        <f t="shared" si="520"/>
        <v>51.608199999999997</v>
      </c>
      <c r="K912" s="216" t="s">
        <v>559</v>
      </c>
      <c r="L912" s="237" t="s">
        <v>55</v>
      </c>
      <c r="M912" s="238" t="s">
        <v>55</v>
      </c>
      <c r="N912" s="215">
        <f t="shared" si="525"/>
        <v>120</v>
      </c>
      <c r="O912" s="220">
        <f t="shared" si="526"/>
        <v>120</v>
      </c>
      <c r="P912" s="356">
        <f t="shared" si="522"/>
        <v>2.3252118849330148</v>
      </c>
      <c r="Q912" s="356">
        <f t="shared" si="524"/>
        <v>2.3252118849330148</v>
      </c>
      <c r="R912" s="217" t="s">
        <v>55</v>
      </c>
      <c r="S912" s="608" t="s">
        <v>778</v>
      </c>
      <c r="T912" s="520" t="s">
        <v>329</v>
      </c>
    </row>
    <row r="913" spans="2:46" ht="21.75" customHeight="1" x14ac:dyDescent="0.25">
      <c r="B913" s="627">
        <v>20.51</v>
      </c>
      <c r="C913" s="518" t="s">
        <v>1031</v>
      </c>
      <c r="D913" s="233" t="s">
        <v>55</v>
      </c>
      <c r="E913" s="233" t="s">
        <v>55</v>
      </c>
      <c r="F913" s="214">
        <v>1</v>
      </c>
      <c r="G913" s="214"/>
      <c r="H913" s="235">
        <v>12.75</v>
      </c>
      <c r="I913" s="235">
        <v>3.86</v>
      </c>
      <c r="J913" s="215">
        <f t="shared" si="520"/>
        <v>49.214999999999996</v>
      </c>
      <c r="K913" s="216" t="s">
        <v>559</v>
      </c>
      <c r="L913" s="237" t="s">
        <v>55</v>
      </c>
      <c r="M913" s="238" t="s">
        <v>55</v>
      </c>
      <c r="N913" s="215">
        <f t="shared" si="525"/>
        <v>60</v>
      </c>
      <c r="O913" s="220">
        <f t="shared" si="526"/>
        <v>60</v>
      </c>
      <c r="P913" s="356">
        <f t="shared" si="522"/>
        <v>1.21914050594331</v>
      </c>
      <c r="Q913" s="356">
        <f t="shared" si="524"/>
        <v>1.21914050594331</v>
      </c>
      <c r="R913" s="217" t="s">
        <v>55</v>
      </c>
      <c r="S913" s="519" t="s">
        <v>778</v>
      </c>
      <c r="T913" s="520" t="s">
        <v>329</v>
      </c>
    </row>
    <row r="914" spans="2:46" ht="21.75" customHeight="1" x14ac:dyDescent="0.25">
      <c r="B914" s="627">
        <v>20.52</v>
      </c>
      <c r="C914" s="518" t="s">
        <v>20</v>
      </c>
      <c r="D914" s="233" t="s">
        <v>55</v>
      </c>
      <c r="E914" s="233" t="s">
        <v>55</v>
      </c>
      <c r="F914" s="214"/>
      <c r="G914" s="214">
        <v>10</v>
      </c>
      <c r="H914" s="235">
        <v>18.02</v>
      </c>
      <c r="I914" s="235">
        <v>3.86</v>
      </c>
      <c r="J914" s="215">
        <f t="shared" si="520"/>
        <v>69.557199999999995</v>
      </c>
      <c r="K914" s="216" t="s">
        <v>558</v>
      </c>
      <c r="L914" s="237" t="s">
        <v>55</v>
      </c>
      <c r="M914" s="238" t="s">
        <v>55</v>
      </c>
      <c r="N914" s="215">
        <f>20*G914+F914*60</f>
        <v>200</v>
      </c>
      <c r="O914" s="220">
        <f t="shared" si="526"/>
        <v>200</v>
      </c>
      <c r="P914" s="356">
        <f t="shared" si="522"/>
        <v>2.875331381941769</v>
      </c>
      <c r="Q914" s="356">
        <f t="shared" si="524"/>
        <v>2.875331381941769</v>
      </c>
      <c r="R914" s="217" t="s">
        <v>55</v>
      </c>
      <c r="S914" s="519" t="s">
        <v>778</v>
      </c>
      <c r="T914" s="520" t="s">
        <v>329</v>
      </c>
    </row>
    <row r="915" spans="2:46" ht="21.75" customHeight="1" x14ac:dyDescent="0.25">
      <c r="B915" s="627">
        <v>20.53</v>
      </c>
      <c r="C915" s="518" t="s">
        <v>612</v>
      </c>
      <c r="D915" s="233" t="s">
        <v>55</v>
      </c>
      <c r="E915" s="233" t="s">
        <v>55</v>
      </c>
      <c r="F915" s="214">
        <v>11</v>
      </c>
      <c r="G915" s="214"/>
      <c r="H915" s="235">
        <v>77.98</v>
      </c>
      <c r="I915" s="235">
        <v>3.86</v>
      </c>
      <c r="J915" s="215">
        <f t="shared" si="520"/>
        <v>301.00279999999998</v>
      </c>
      <c r="K915" s="216" t="s">
        <v>559</v>
      </c>
      <c r="L915" s="237" t="s">
        <v>55</v>
      </c>
      <c r="M915" s="238" t="s">
        <v>55</v>
      </c>
      <c r="N915" s="215">
        <f t="shared" si="525"/>
        <v>660</v>
      </c>
      <c r="O915" s="220">
        <f t="shared" si="526"/>
        <v>660</v>
      </c>
      <c r="P915" s="356">
        <f t="shared" si="522"/>
        <v>2.1926706329642118</v>
      </c>
      <c r="Q915" s="356">
        <f t="shared" si="524"/>
        <v>2.1926706329642118</v>
      </c>
      <c r="R915" s="217" t="s">
        <v>55</v>
      </c>
      <c r="S915" s="519" t="s">
        <v>778</v>
      </c>
      <c r="T915" s="520" t="s">
        <v>329</v>
      </c>
    </row>
    <row r="916" spans="2:46" ht="17.25" customHeight="1" x14ac:dyDescent="0.25">
      <c r="B916" s="627">
        <v>20.54</v>
      </c>
      <c r="C916" s="518" t="s">
        <v>95</v>
      </c>
      <c r="D916" s="233" t="s">
        <v>55</v>
      </c>
      <c r="E916" s="233" t="s">
        <v>55</v>
      </c>
      <c r="F916" s="214" t="s">
        <v>55</v>
      </c>
      <c r="G916" s="214" t="s">
        <v>55</v>
      </c>
      <c r="H916" s="235">
        <v>12.48</v>
      </c>
      <c r="I916" s="235">
        <v>3.86</v>
      </c>
      <c r="J916" s="215">
        <f>H916*I916</f>
        <v>48.172800000000002</v>
      </c>
      <c r="K916" s="291" t="s">
        <v>55</v>
      </c>
      <c r="L916" s="214">
        <v>1</v>
      </c>
      <c r="M916" s="238" t="s">
        <v>55</v>
      </c>
      <c r="N916" s="215" t="s">
        <v>55</v>
      </c>
      <c r="O916" s="220">
        <f>L916*J916</f>
        <v>48.172800000000002</v>
      </c>
      <c r="P916" s="356" t="s">
        <v>55</v>
      </c>
      <c r="Q916" s="356">
        <f>O916/J916</f>
        <v>1</v>
      </c>
      <c r="R916" s="217" t="s">
        <v>55</v>
      </c>
      <c r="S916" s="519"/>
      <c r="T916" s="520" t="s">
        <v>329</v>
      </c>
    </row>
    <row r="917" spans="2:46" ht="17.25" customHeight="1" x14ac:dyDescent="0.2">
      <c r="B917" s="804"/>
      <c r="C917" s="518" t="s">
        <v>589</v>
      </c>
      <c r="D917" s="593"/>
      <c r="E917" s="593"/>
      <c r="F917" s="593"/>
      <c r="G917" s="593"/>
      <c r="H917" s="593"/>
      <c r="I917" s="593"/>
      <c r="J917" s="593"/>
      <c r="K917" s="593"/>
      <c r="L917" s="593"/>
      <c r="M917" s="593"/>
      <c r="N917" s="593"/>
      <c r="O917" s="220">
        <v>1015</v>
      </c>
      <c r="P917" s="593"/>
      <c r="Q917" s="593"/>
      <c r="R917" s="593"/>
      <c r="S917" s="593"/>
      <c r="T917" s="805" t="s">
        <v>590</v>
      </c>
      <c r="Z917" s="207" t="s">
        <v>1038</v>
      </c>
    </row>
    <row r="918" spans="2:46" ht="17.25" customHeight="1" thickBot="1" x14ac:dyDescent="0.3">
      <c r="B918" s="806"/>
      <c r="C918" s="786"/>
      <c r="D918" s="807" t="s">
        <v>508</v>
      </c>
      <c r="E918" s="808"/>
      <c r="F918" s="763">
        <f>SUM(F860:F891)</f>
        <v>150</v>
      </c>
      <c r="G918" s="763">
        <f>SUM(G860:G891)</f>
        <v>78</v>
      </c>
      <c r="H918" s="764"/>
      <c r="I918" s="763"/>
      <c r="J918" s="765"/>
      <c r="K918" s="766"/>
      <c r="L918" s="766"/>
      <c r="M918" s="767" t="s">
        <v>557</v>
      </c>
      <c r="N918" s="622">
        <f>SUM(N877:N917)</f>
        <v>9121.7161999999989</v>
      </c>
      <c r="O918" s="623">
        <f>SUM(O877:O917)</f>
        <v>8544.8191999999999</v>
      </c>
      <c r="P918" s="787"/>
      <c r="Q918" s="787"/>
      <c r="R918" s="787"/>
      <c r="S918" s="788"/>
      <c r="T918" s="789"/>
    </row>
    <row r="919" spans="2:46" ht="17.25" customHeight="1" thickBot="1" x14ac:dyDescent="0.3">
      <c r="B919" s="601" t="s">
        <v>1191</v>
      </c>
      <c r="C919" s="790"/>
      <c r="D919" s="790"/>
      <c r="E919" s="790"/>
      <c r="F919" s="790"/>
      <c r="G919" s="790"/>
      <c r="H919" s="790"/>
      <c r="I919" s="790"/>
      <c r="J919" s="790"/>
      <c r="K919" s="790"/>
      <c r="L919" s="790"/>
      <c r="M919" s="790"/>
      <c r="N919" s="790"/>
      <c r="O919" s="790"/>
      <c r="P919" s="790"/>
      <c r="Q919" s="790"/>
      <c r="R919" s="790"/>
      <c r="S919" s="790"/>
      <c r="T919" s="791"/>
    </row>
    <row r="920" spans="2:46" ht="17.25" customHeight="1" x14ac:dyDescent="0.25">
      <c r="B920" s="809">
        <v>21.01</v>
      </c>
      <c r="C920" s="509" t="s">
        <v>16</v>
      </c>
      <c r="D920" s="284" t="s">
        <v>55</v>
      </c>
      <c r="E920" s="284" t="s">
        <v>55</v>
      </c>
      <c r="F920" s="209" t="s">
        <v>55</v>
      </c>
      <c r="G920" s="209" t="s">
        <v>55</v>
      </c>
      <c r="H920" s="285">
        <v>100.17</v>
      </c>
      <c r="I920" s="285">
        <v>3.86</v>
      </c>
      <c r="J920" s="210">
        <f t="shared" ref="J920:J921" si="527">H920*I920</f>
        <v>386.65620000000001</v>
      </c>
      <c r="K920" s="214" t="s">
        <v>55</v>
      </c>
      <c r="L920" s="233" t="s">
        <v>55</v>
      </c>
      <c r="M920" s="233" t="s">
        <v>55</v>
      </c>
      <c r="N920" s="287">
        <v>550</v>
      </c>
      <c r="O920" s="287" t="s">
        <v>55</v>
      </c>
      <c r="P920" s="356">
        <f t="shared" ref="P920:P930" si="528">N920/J920</f>
        <v>1.4224522974156368</v>
      </c>
      <c r="Q920" s="356" t="s">
        <v>55</v>
      </c>
      <c r="R920" s="287" t="s">
        <v>55</v>
      </c>
      <c r="S920" s="708" t="s">
        <v>778</v>
      </c>
      <c r="T920" s="810" t="s">
        <v>55</v>
      </c>
    </row>
    <row r="921" spans="2:46" ht="17.25" customHeight="1" x14ac:dyDescent="0.25">
      <c r="B921" s="627">
        <v>21.02</v>
      </c>
      <c r="C921" s="518" t="s">
        <v>828</v>
      </c>
      <c r="D921" s="233" t="s">
        <v>55</v>
      </c>
      <c r="E921" s="233" t="s">
        <v>55</v>
      </c>
      <c r="F921" s="214" t="s">
        <v>55</v>
      </c>
      <c r="G921" s="214" t="s">
        <v>55</v>
      </c>
      <c r="H921" s="235">
        <v>11.32</v>
      </c>
      <c r="I921" s="235">
        <v>3.86</v>
      </c>
      <c r="J921" s="215">
        <f t="shared" si="527"/>
        <v>43.6952</v>
      </c>
      <c r="K921" s="650">
        <v>1</v>
      </c>
      <c r="L921" s="650">
        <v>1</v>
      </c>
      <c r="M921" s="650"/>
      <c r="N921" s="220">
        <v>45</v>
      </c>
      <c r="O921" s="220">
        <v>45</v>
      </c>
      <c r="P921" s="356">
        <f t="shared" si="528"/>
        <v>1.0298614035408924</v>
      </c>
      <c r="Q921" s="356">
        <f t="shared" ref="Q921:Q930" si="529">O921/J921</f>
        <v>1.0298614035408924</v>
      </c>
      <c r="R921" s="658" t="s">
        <v>55</v>
      </c>
      <c r="S921" s="519" t="s">
        <v>778</v>
      </c>
      <c r="T921" s="609" t="s">
        <v>329</v>
      </c>
    </row>
    <row r="922" spans="2:46" ht="24.75" customHeight="1" x14ac:dyDescent="0.25">
      <c r="B922" s="811"/>
      <c r="C922" s="518" t="s">
        <v>589</v>
      </c>
      <c r="D922" s="233" t="s">
        <v>55</v>
      </c>
      <c r="E922" s="233" t="s">
        <v>55</v>
      </c>
      <c r="F922" s="214" t="s">
        <v>55</v>
      </c>
      <c r="G922" s="214" t="s">
        <v>55</v>
      </c>
      <c r="H922" s="233" t="s">
        <v>55</v>
      </c>
      <c r="I922" s="233" t="s">
        <v>55</v>
      </c>
      <c r="J922" s="214" t="s">
        <v>55</v>
      </c>
      <c r="K922" s="214" t="s">
        <v>55</v>
      </c>
      <c r="L922" s="233" t="s">
        <v>55</v>
      </c>
      <c r="M922" s="233" t="s">
        <v>55</v>
      </c>
      <c r="N922" s="214" t="s">
        <v>55</v>
      </c>
      <c r="O922" s="220">
        <v>375</v>
      </c>
      <c r="P922" s="356" t="s">
        <v>55</v>
      </c>
      <c r="Q922" s="356" t="s">
        <v>55</v>
      </c>
      <c r="R922" s="658" t="s">
        <v>55</v>
      </c>
      <c r="S922" s="586" t="s">
        <v>55</v>
      </c>
      <c r="T922" s="805" t="s">
        <v>1192</v>
      </c>
      <c r="AB922" s="428">
        <v>21.03</v>
      </c>
      <c r="AC922" s="429" t="s">
        <v>1141</v>
      </c>
      <c r="AD922" s="430"/>
      <c r="AE922" s="431" t="s">
        <v>1133</v>
      </c>
      <c r="AF922" s="431" t="s">
        <v>1133</v>
      </c>
      <c r="AG922" s="430"/>
      <c r="AH922" s="432">
        <v>5.0199999999999996</v>
      </c>
      <c r="AI922" s="432">
        <v>3.86</v>
      </c>
      <c r="AJ922" s="418">
        <f t="shared" ref="AJ922:AJ927" si="530">AH922*AI922</f>
        <v>19.377199999999998</v>
      </c>
      <c r="AK922" s="433"/>
      <c r="AL922" s="433"/>
      <c r="AM922" s="434"/>
      <c r="AN922" s="436" t="s">
        <v>55</v>
      </c>
      <c r="AO922" s="436">
        <v>50</v>
      </c>
      <c r="AP922" s="436"/>
      <c r="AQ922" s="435"/>
      <c r="AR922" s="435"/>
      <c r="AS922" s="221" t="s">
        <v>55</v>
      </c>
      <c r="AT922" s="239" t="s">
        <v>1187</v>
      </c>
    </row>
    <row r="923" spans="2:46" ht="24.75" customHeight="1" x14ac:dyDescent="0.25">
      <c r="B923" s="627">
        <v>21.18</v>
      </c>
      <c r="C923" s="518" t="s">
        <v>136</v>
      </c>
      <c r="D923" s="233" t="s">
        <v>55</v>
      </c>
      <c r="E923" s="233" t="s">
        <v>55</v>
      </c>
      <c r="F923" s="214">
        <v>1</v>
      </c>
      <c r="G923" s="214" t="s">
        <v>55</v>
      </c>
      <c r="H923" s="235">
        <v>21.87</v>
      </c>
      <c r="I923" s="235">
        <v>3.86</v>
      </c>
      <c r="J923" s="215">
        <f t="shared" ref="J923:J930" si="531">H923*I923</f>
        <v>84.418199999999999</v>
      </c>
      <c r="K923" s="216" t="s">
        <v>559</v>
      </c>
      <c r="L923" s="233" t="s">
        <v>55</v>
      </c>
      <c r="M923" s="233" t="s">
        <v>55</v>
      </c>
      <c r="N923" s="220">
        <v>60</v>
      </c>
      <c r="O923" s="220">
        <v>60</v>
      </c>
      <c r="P923" s="356">
        <f t="shared" si="528"/>
        <v>0.71074720854033846</v>
      </c>
      <c r="Q923" s="356">
        <f t="shared" si="529"/>
        <v>0.71074720854033846</v>
      </c>
      <c r="R923" s="658" t="s">
        <v>55</v>
      </c>
      <c r="S923" s="519" t="s">
        <v>778</v>
      </c>
      <c r="T923" s="609" t="s">
        <v>329</v>
      </c>
      <c r="AB923" s="428">
        <v>21.04</v>
      </c>
      <c r="AC923" s="429" t="s">
        <v>1143</v>
      </c>
      <c r="AD923" s="430"/>
      <c r="AE923" s="431" t="s">
        <v>1133</v>
      </c>
      <c r="AF923" s="431" t="s">
        <v>1133</v>
      </c>
      <c r="AG923" s="430"/>
      <c r="AH923" s="432">
        <v>3.93</v>
      </c>
      <c r="AI923" s="432">
        <v>3.86</v>
      </c>
      <c r="AJ923" s="418">
        <f t="shared" si="530"/>
        <v>15.1698</v>
      </c>
      <c r="AK923" s="433"/>
      <c r="AL923" s="433"/>
      <c r="AM923" s="434"/>
      <c r="AN923" s="436" t="s">
        <v>55</v>
      </c>
      <c r="AO923" s="436">
        <v>15</v>
      </c>
      <c r="AP923" s="436"/>
      <c r="AQ923" s="435"/>
      <c r="AR923" s="435"/>
      <c r="AS923" s="221" t="s">
        <v>55</v>
      </c>
      <c r="AT923" s="239" t="s">
        <v>1188</v>
      </c>
    </row>
    <row r="924" spans="2:46" ht="28.5" customHeight="1" x14ac:dyDescent="0.25">
      <c r="B924" s="627">
        <v>21.19</v>
      </c>
      <c r="C924" s="518" t="s">
        <v>1029</v>
      </c>
      <c r="D924" s="233" t="s">
        <v>55</v>
      </c>
      <c r="E924" s="233" t="s">
        <v>55</v>
      </c>
      <c r="F924" s="214">
        <v>2</v>
      </c>
      <c r="G924" s="214" t="s">
        <v>55</v>
      </c>
      <c r="H924" s="235">
        <v>43.27</v>
      </c>
      <c r="I924" s="235">
        <v>3.86</v>
      </c>
      <c r="J924" s="215">
        <f t="shared" si="531"/>
        <v>167.0222</v>
      </c>
      <c r="K924" s="216" t="s">
        <v>558</v>
      </c>
      <c r="L924" s="233" t="s">
        <v>55</v>
      </c>
      <c r="M924" s="233" t="s">
        <v>55</v>
      </c>
      <c r="N924" s="220">
        <v>120</v>
      </c>
      <c r="O924" s="220">
        <v>100</v>
      </c>
      <c r="P924" s="356">
        <f t="shared" si="528"/>
        <v>0.71846736541609435</v>
      </c>
      <c r="Q924" s="356">
        <f t="shared" si="529"/>
        <v>0.59872280451341198</v>
      </c>
      <c r="R924" s="658" t="s">
        <v>55</v>
      </c>
      <c r="S924" s="519" t="s">
        <v>778</v>
      </c>
      <c r="T924" s="609" t="s">
        <v>329</v>
      </c>
      <c r="AB924" s="428">
        <v>21.05</v>
      </c>
      <c r="AC924" s="429" t="s">
        <v>1157</v>
      </c>
      <c r="AD924" s="430"/>
      <c r="AE924" s="431" t="s">
        <v>1133</v>
      </c>
      <c r="AF924" s="431" t="s">
        <v>1133</v>
      </c>
      <c r="AG924" s="430"/>
      <c r="AH924" s="432">
        <v>8.17</v>
      </c>
      <c r="AI924" s="432">
        <v>3.86</v>
      </c>
      <c r="AJ924" s="418">
        <f t="shared" si="530"/>
        <v>31.536199999999997</v>
      </c>
      <c r="AK924" s="433"/>
      <c r="AL924" s="433"/>
      <c r="AM924" s="434"/>
      <c r="AN924" s="436" t="s">
        <v>55</v>
      </c>
      <c r="AO924" s="436">
        <v>50</v>
      </c>
      <c r="AP924" s="436"/>
      <c r="AQ924" s="435"/>
      <c r="AR924" s="435"/>
      <c r="AS924" s="221" t="s">
        <v>55</v>
      </c>
      <c r="AT924" s="239" t="s">
        <v>1189</v>
      </c>
    </row>
    <row r="925" spans="2:46" ht="24" customHeight="1" x14ac:dyDescent="0.25">
      <c r="B925" s="627">
        <v>21.2</v>
      </c>
      <c r="C925" s="518" t="s">
        <v>136</v>
      </c>
      <c r="D925" s="233" t="s">
        <v>55</v>
      </c>
      <c r="E925" s="233" t="s">
        <v>55</v>
      </c>
      <c r="F925" s="214">
        <v>1</v>
      </c>
      <c r="G925" s="214" t="s">
        <v>55</v>
      </c>
      <c r="H925" s="235">
        <v>17.14</v>
      </c>
      <c r="I925" s="235">
        <v>3.86</v>
      </c>
      <c r="J925" s="215">
        <f t="shared" si="531"/>
        <v>66.160399999999996</v>
      </c>
      <c r="K925" s="216" t="s">
        <v>559</v>
      </c>
      <c r="L925" s="233" t="s">
        <v>55</v>
      </c>
      <c r="M925" s="233" t="s">
        <v>55</v>
      </c>
      <c r="N925" s="220">
        <v>60</v>
      </c>
      <c r="O925" s="220">
        <v>60</v>
      </c>
      <c r="P925" s="356">
        <f t="shared" si="528"/>
        <v>0.90688689911185549</v>
      </c>
      <c r="Q925" s="356">
        <f t="shared" si="529"/>
        <v>0.90688689911185549</v>
      </c>
      <c r="R925" s="658" t="s">
        <v>55</v>
      </c>
      <c r="S925" s="519" t="s">
        <v>778</v>
      </c>
      <c r="T925" s="609" t="s">
        <v>329</v>
      </c>
      <c r="AB925" s="428">
        <v>21.06</v>
      </c>
      <c r="AC925" s="429" t="s">
        <v>1144</v>
      </c>
      <c r="AD925" s="430"/>
      <c r="AE925" s="431" t="s">
        <v>1133</v>
      </c>
      <c r="AF925" s="431" t="s">
        <v>1133</v>
      </c>
      <c r="AG925" s="430"/>
      <c r="AH925" s="432">
        <v>5.0999999999999996</v>
      </c>
      <c r="AI925" s="432">
        <v>3.86</v>
      </c>
      <c r="AJ925" s="418">
        <f t="shared" si="530"/>
        <v>19.685999999999996</v>
      </c>
      <c r="AK925" s="433"/>
      <c r="AL925" s="433"/>
      <c r="AM925" s="434"/>
      <c r="AN925" s="436" t="s">
        <v>55</v>
      </c>
      <c r="AO925" s="436">
        <v>150</v>
      </c>
      <c r="AP925" s="436"/>
      <c r="AQ925" s="435"/>
      <c r="AR925" s="435"/>
      <c r="AS925" s="221" t="s">
        <v>55</v>
      </c>
      <c r="AT925" s="239" t="s">
        <v>1187</v>
      </c>
    </row>
    <row r="926" spans="2:46" ht="24" customHeight="1" x14ac:dyDescent="0.25">
      <c r="B926" s="627">
        <v>21.21</v>
      </c>
      <c r="C926" s="518" t="s">
        <v>20</v>
      </c>
      <c r="D926" s="233" t="s">
        <v>55</v>
      </c>
      <c r="E926" s="233" t="s">
        <v>55</v>
      </c>
      <c r="F926" s="214" t="s">
        <v>55</v>
      </c>
      <c r="G926" s="214">
        <v>17</v>
      </c>
      <c r="H926" s="235">
        <v>17.73</v>
      </c>
      <c r="I926" s="235">
        <v>3.86</v>
      </c>
      <c r="J926" s="215">
        <f t="shared" si="531"/>
        <v>68.437799999999996</v>
      </c>
      <c r="K926" s="216" t="s">
        <v>558</v>
      </c>
      <c r="L926" s="233" t="s">
        <v>55</v>
      </c>
      <c r="M926" s="233" t="s">
        <v>55</v>
      </c>
      <c r="N926" s="220">
        <v>340</v>
      </c>
      <c r="O926" s="220">
        <v>340</v>
      </c>
      <c r="P926" s="356">
        <f t="shared" si="528"/>
        <v>4.9680147520814524</v>
      </c>
      <c r="Q926" s="356">
        <f t="shared" si="529"/>
        <v>4.9680147520814524</v>
      </c>
      <c r="R926" s="658" t="s">
        <v>55</v>
      </c>
      <c r="S926" s="519" t="s">
        <v>778</v>
      </c>
      <c r="T926" s="609" t="s">
        <v>329</v>
      </c>
      <c r="AB926" s="428">
        <v>21.16</v>
      </c>
      <c r="AC926" s="429" t="s">
        <v>304</v>
      </c>
      <c r="AD926" s="430"/>
      <c r="AE926" s="431" t="s">
        <v>1133</v>
      </c>
      <c r="AF926" s="431" t="s">
        <v>1133</v>
      </c>
      <c r="AG926" s="430"/>
      <c r="AH926" s="432">
        <v>6.24</v>
      </c>
      <c r="AI926" s="432">
        <v>3.86</v>
      </c>
      <c r="AJ926" s="418">
        <f t="shared" si="530"/>
        <v>24.086400000000001</v>
      </c>
      <c r="AK926" s="433"/>
      <c r="AL926" s="433"/>
      <c r="AM926" s="434"/>
      <c r="AN926" s="436"/>
      <c r="AO926" s="436">
        <v>60</v>
      </c>
      <c r="AP926" s="436"/>
      <c r="AQ926" s="435"/>
      <c r="AR926" s="435"/>
      <c r="AS926" s="221"/>
      <c r="AT926" s="239" t="s">
        <v>1190</v>
      </c>
    </row>
    <row r="927" spans="2:46" ht="24.75" customHeight="1" x14ac:dyDescent="0.25">
      <c r="B927" s="627">
        <v>21.22</v>
      </c>
      <c r="C927" s="518" t="s">
        <v>136</v>
      </c>
      <c r="D927" s="233" t="s">
        <v>55</v>
      </c>
      <c r="E927" s="233" t="s">
        <v>55</v>
      </c>
      <c r="F927" s="214">
        <v>1</v>
      </c>
      <c r="G927" s="586" t="s">
        <v>55</v>
      </c>
      <c r="H927" s="235">
        <v>19.309999999999999</v>
      </c>
      <c r="I927" s="235">
        <v>3.86</v>
      </c>
      <c r="J927" s="215">
        <f t="shared" si="531"/>
        <v>74.536599999999993</v>
      </c>
      <c r="K927" s="216" t="s">
        <v>559</v>
      </c>
      <c r="L927" s="233" t="s">
        <v>55</v>
      </c>
      <c r="M927" s="233" t="s">
        <v>55</v>
      </c>
      <c r="N927" s="220">
        <v>60</v>
      </c>
      <c r="O927" s="220">
        <v>60</v>
      </c>
      <c r="P927" s="356">
        <f t="shared" si="528"/>
        <v>0.80497366394496139</v>
      </c>
      <c r="Q927" s="356">
        <f t="shared" si="529"/>
        <v>0.80497366394496139</v>
      </c>
      <c r="R927" s="658" t="s">
        <v>55</v>
      </c>
      <c r="S927" s="519" t="s">
        <v>778</v>
      </c>
      <c r="T927" s="609" t="s">
        <v>329</v>
      </c>
      <c r="AB927" s="428">
        <v>21.17</v>
      </c>
      <c r="AC927" s="429" t="s">
        <v>1142</v>
      </c>
      <c r="AD927" s="430"/>
      <c r="AE927" s="431" t="s">
        <v>1133</v>
      </c>
      <c r="AF927" s="431" t="s">
        <v>1133</v>
      </c>
      <c r="AG927" s="430"/>
      <c r="AH927" s="432">
        <v>6.35</v>
      </c>
      <c r="AI927" s="432">
        <v>3.86</v>
      </c>
      <c r="AJ927" s="418">
        <f t="shared" si="530"/>
        <v>24.510999999999999</v>
      </c>
      <c r="AK927" s="433"/>
      <c r="AL927" s="433"/>
      <c r="AM927" s="434"/>
      <c r="AN927" s="436"/>
      <c r="AO927" s="436">
        <v>50</v>
      </c>
      <c r="AP927" s="436"/>
      <c r="AQ927" s="435"/>
      <c r="AR927" s="435"/>
      <c r="AS927" s="221"/>
      <c r="AT927" s="239" t="s">
        <v>1187</v>
      </c>
    </row>
    <row r="928" spans="2:46" ht="24" customHeight="1" x14ac:dyDescent="0.25">
      <c r="B928" s="627">
        <v>21.23</v>
      </c>
      <c r="C928" s="518" t="s">
        <v>136</v>
      </c>
      <c r="D928" s="233" t="s">
        <v>55</v>
      </c>
      <c r="E928" s="233" t="s">
        <v>55</v>
      </c>
      <c r="F928" s="214">
        <v>2</v>
      </c>
      <c r="G928" s="586" t="s">
        <v>55</v>
      </c>
      <c r="H928" s="235">
        <v>24.8</v>
      </c>
      <c r="I928" s="235">
        <v>3.86</v>
      </c>
      <c r="J928" s="215">
        <f t="shared" si="531"/>
        <v>95.727999999999994</v>
      </c>
      <c r="K928" s="216" t="s">
        <v>559</v>
      </c>
      <c r="L928" s="233" t="s">
        <v>55</v>
      </c>
      <c r="M928" s="233" t="s">
        <v>55</v>
      </c>
      <c r="N928" s="220">
        <v>120</v>
      </c>
      <c r="O928" s="220">
        <v>100</v>
      </c>
      <c r="P928" s="356">
        <f t="shared" si="528"/>
        <v>1.2535517299013874</v>
      </c>
      <c r="Q928" s="356">
        <f t="shared" si="529"/>
        <v>1.0446264415844895</v>
      </c>
      <c r="R928" s="658" t="s">
        <v>55</v>
      </c>
      <c r="S928" s="519" t="s">
        <v>778</v>
      </c>
      <c r="T928" s="609" t="s">
        <v>329</v>
      </c>
      <c r="AO928" s="344">
        <f>SUM(AO922:AO927)</f>
        <v>375</v>
      </c>
    </row>
    <row r="929" spans="2:20" ht="25.5" customHeight="1" x14ac:dyDescent="0.25">
      <c r="B929" s="627">
        <v>21.24</v>
      </c>
      <c r="C929" s="518" t="s">
        <v>728</v>
      </c>
      <c r="D929" s="233" t="s">
        <v>55</v>
      </c>
      <c r="E929" s="233" t="s">
        <v>55</v>
      </c>
      <c r="F929" s="214">
        <v>12</v>
      </c>
      <c r="G929" s="586" t="s">
        <v>55</v>
      </c>
      <c r="H929" s="235">
        <v>73.92</v>
      </c>
      <c r="I929" s="235">
        <v>3.86</v>
      </c>
      <c r="J929" s="215">
        <f t="shared" si="531"/>
        <v>285.33120000000002</v>
      </c>
      <c r="K929" s="216" t="s">
        <v>559</v>
      </c>
      <c r="L929" s="233" t="s">
        <v>55</v>
      </c>
      <c r="M929" s="233" t="s">
        <v>55</v>
      </c>
      <c r="N929" s="220">
        <v>720</v>
      </c>
      <c r="O929" s="220">
        <v>600</v>
      </c>
      <c r="P929" s="356">
        <f t="shared" si="528"/>
        <v>2.5233833523988962</v>
      </c>
      <c r="Q929" s="356">
        <f t="shared" si="529"/>
        <v>2.1028194603324137</v>
      </c>
      <c r="R929" s="658" t="s">
        <v>55</v>
      </c>
      <c r="S929" s="519" t="s">
        <v>778</v>
      </c>
      <c r="T929" s="609" t="s">
        <v>329</v>
      </c>
    </row>
    <row r="930" spans="2:20" ht="27.75" customHeight="1" x14ac:dyDescent="0.25">
      <c r="B930" s="627">
        <v>21.25</v>
      </c>
      <c r="C930" s="518" t="s">
        <v>728</v>
      </c>
      <c r="D930" s="233" t="s">
        <v>55</v>
      </c>
      <c r="E930" s="233" t="s">
        <v>55</v>
      </c>
      <c r="F930" s="214">
        <v>12</v>
      </c>
      <c r="G930" s="586" t="s">
        <v>55</v>
      </c>
      <c r="H930" s="235">
        <v>79.45</v>
      </c>
      <c r="I930" s="235">
        <v>3.86</v>
      </c>
      <c r="J930" s="215">
        <f t="shared" si="531"/>
        <v>306.67700000000002</v>
      </c>
      <c r="K930" s="216" t="s">
        <v>559</v>
      </c>
      <c r="L930" s="233" t="s">
        <v>55</v>
      </c>
      <c r="M930" s="233" t="s">
        <v>55</v>
      </c>
      <c r="N930" s="220">
        <v>720</v>
      </c>
      <c r="O930" s="220">
        <v>600</v>
      </c>
      <c r="P930" s="356">
        <f t="shared" si="528"/>
        <v>2.3477469780909557</v>
      </c>
      <c r="Q930" s="356">
        <f t="shared" si="529"/>
        <v>1.9564558150757962</v>
      </c>
      <c r="R930" s="658" t="s">
        <v>55</v>
      </c>
      <c r="S930" s="519" t="s">
        <v>778</v>
      </c>
      <c r="T930" s="609" t="s">
        <v>329</v>
      </c>
    </row>
    <row r="931" spans="2:20" ht="17.25" customHeight="1" thickBot="1" x14ac:dyDescent="0.3">
      <c r="B931" s="806"/>
      <c r="C931" s="786"/>
      <c r="D931" s="812" t="s">
        <v>508</v>
      </c>
      <c r="E931" s="813"/>
      <c r="F931" s="767">
        <f>SUM(F920:F930)</f>
        <v>31</v>
      </c>
      <c r="G931" s="767">
        <f>SUM(G920:G930)</f>
        <v>17</v>
      </c>
      <c r="H931" s="764"/>
      <c r="I931" s="763"/>
      <c r="J931" s="763"/>
      <c r="K931" s="814"/>
      <c r="L931" s="812" t="s">
        <v>557</v>
      </c>
      <c r="M931" s="813"/>
      <c r="N931" s="360">
        <f>SUM(N920:N930)</f>
        <v>2795</v>
      </c>
      <c r="O931" s="363"/>
      <c r="P931" s="623"/>
      <c r="Q931" s="623"/>
      <c r="R931" s="623"/>
      <c r="S931" s="767"/>
      <c r="T931" s="815"/>
    </row>
    <row r="932" spans="2:20" ht="17.25" customHeight="1" thickBot="1" x14ac:dyDescent="0.3">
      <c r="B932" s="601" t="s">
        <v>775</v>
      </c>
      <c r="C932" s="790"/>
      <c r="D932" s="790"/>
      <c r="E932" s="790"/>
      <c r="F932" s="790"/>
      <c r="G932" s="790"/>
      <c r="H932" s="790"/>
      <c r="I932" s="790"/>
      <c r="J932" s="790"/>
      <c r="K932" s="790"/>
      <c r="L932" s="790"/>
      <c r="M932" s="790"/>
      <c r="N932" s="790"/>
      <c r="O932" s="790"/>
      <c r="P932" s="790"/>
      <c r="Q932" s="790"/>
      <c r="R932" s="790"/>
      <c r="S932" s="790"/>
      <c r="T932" s="791"/>
    </row>
    <row r="933" spans="2:20" ht="27.75" customHeight="1" x14ac:dyDescent="0.25">
      <c r="B933" s="679" t="s">
        <v>776</v>
      </c>
      <c r="C933" s="509" t="s">
        <v>16</v>
      </c>
      <c r="D933" s="284" t="s">
        <v>55</v>
      </c>
      <c r="E933" s="284" t="s">
        <v>55</v>
      </c>
      <c r="F933" s="209">
        <v>2</v>
      </c>
      <c r="G933" s="209">
        <v>31</v>
      </c>
      <c r="H933" s="294">
        <v>217.32</v>
      </c>
      <c r="I933" s="285">
        <v>3.855</v>
      </c>
      <c r="J933" s="210">
        <f t="shared" ref="J933:J946" si="532">H933*I933</f>
        <v>837.76859999999999</v>
      </c>
      <c r="K933" s="216" t="s">
        <v>777</v>
      </c>
      <c r="L933" s="286" t="s">
        <v>558</v>
      </c>
      <c r="M933" s="312" t="s">
        <v>55</v>
      </c>
      <c r="N933" s="215">
        <f>540+O933</f>
        <v>1280</v>
      </c>
      <c r="O933" s="220">
        <f>60*F933+20*G933</f>
        <v>740</v>
      </c>
      <c r="P933" s="388">
        <f>N933/J933</f>
        <v>1.5278681965401901</v>
      </c>
      <c r="Q933" s="388" t="s">
        <v>55</v>
      </c>
      <c r="R933" s="212" t="s">
        <v>55</v>
      </c>
      <c r="S933" s="605" t="s">
        <v>778</v>
      </c>
      <c r="T933" s="606" t="s">
        <v>55</v>
      </c>
    </row>
    <row r="934" spans="2:20" ht="27.75" customHeight="1" x14ac:dyDescent="0.2">
      <c r="B934" s="607"/>
      <c r="C934" s="515" t="s">
        <v>1039</v>
      </c>
      <c r="D934" s="223" t="s">
        <v>55</v>
      </c>
      <c r="E934" s="223" t="s">
        <v>55</v>
      </c>
      <c r="F934" s="224" t="s">
        <v>55</v>
      </c>
      <c r="G934" s="224" t="s">
        <v>55</v>
      </c>
      <c r="H934" s="224">
        <v>13.6</v>
      </c>
      <c r="I934" s="225">
        <v>3.855</v>
      </c>
      <c r="J934" s="226">
        <f t="shared" si="532"/>
        <v>52.427999999999997</v>
      </c>
      <c r="K934" s="216" t="s">
        <v>55</v>
      </c>
      <c r="L934" s="227" t="s">
        <v>55</v>
      </c>
      <c r="M934" s="228" t="s">
        <v>55</v>
      </c>
      <c r="N934" s="215"/>
      <c r="O934" s="220">
        <v>540</v>
      </c>
      <c r="P934" s="406" t="s">
        <v>55</v>
      </c>
      <c r="Q934" s="406" t="s">
        <v>55</v>
      </c>
      <c r="R934" s="240" t="s">
        <v>55</v>
      </c>
      <c r="S934" s="240" t="s">
        <v>55</v>
      </c>
      <c r="T934" s="803" t="s">
        <v>779</v>
      </c>
    </row>
    <row r="935" spans="2:20" ht="24.75" customHeight="1" x14ac:dyDescent="0.25">
      <c r="B935" s="607" t="s">
        <v>780</v>
      </c>
      <c r="C935" s="518" t="s">
        <v>553</v>
      </c>
      <c r="D935" s="233" t="s">
        <v>55</v>
      </c>
      <c r="E935" s="233" t="s">
        <v>55</v>
      </c>
      <c r="F935" s="214" t="s">
        <v>55</v>
      </c>
      <c r="G935" s="214">
        <v>5</v>
      </c>
      <c r="H935" s="234">
        <v>6.35</v>
      </c>
      <c r="I935" s="235">
        <v>3.855</v>
      </c>
      <c r="J935" s="215">
        <f t="shared" si="532"/>
        <v>24.479249999999997</v>
      </c>
      <c r="K935" s="216" t="s">
        <v>558</v>
      </c>
      <c r="L935" s="233" t="s">
        <v>55</v>
      </c>
      <c r="M935" s="233" t="s">
        <v>55</v>
      </c>
      <c r="N935" s="215">
        <f>20*G935</f>
        <v>100</v>
      </c>
      <c r="O935" s="220">
        <f>20*G935</f>
        <v>100</v>
      </c>
      <c r="P935" s="356">
        <f t="shared" ref="P935:P946" si="533">N935/J935</f>
        <v>4.0850924762809324</v>
      </c>
      <c r="Q935" s="356">
        <f t="shared" ref="Q935:Q946" si="534">O935/J935</f>
        <v>4.0850924762809324</v>
      </c>
      <c r="R935" s="218" t="s">
        <v>55</v>
      </c>
      <c r="S935" s="608" t="s">
        <v>778</v>
      </c>
      <c r="T935" s="609" t="s">
        <v>329</v>
      </c>
    </row>
    <row r="936" spans="2:20" ht="33" customHeight="1" x14ac:dyDescent="0.25">
      <c r="B936" s="607" t="s">
        <v>781</v>
      </c>
      <c r="C936" s="518" t="s">
        <v>136</v>
      </c>
      <c r="D936" s="233" t="s">
        <v>55</v>
      </c>
      <c r="E936" s="233" t="s">
        <v>55</v>
      </c>
      <c r="F936" s="214">
        <v>1</v>
      </c>
      <c r="G936" s="214">
        <v>2</v>
      </c>
      <c r="H936" s="234">
        <v>15.8</v>
      </c>
      <c r="I936" s="235">
        <v>3.855</v>
      </c>
      <c r="J936" s="215">
        <f t="shared" si="532"/>
        <v>60.908999999999999</v>
      </c>
      <c r="K936" s="216" t="s">
        <v>670</v>
      </c>
      <c r="L936" s="238" t="s">
        <v>55</v>
      </c>
      <c r="M936" s="238" t="s">
        <v>55</v>
      </c>
      <c r="N936" s="215">
        <f>60*F936+20*G936</f>
        <v>100</v>
      </c>
      <c r="O936" s="220">
        <f>60*F936+20*G936</f>
        <v>100</v>
      </c>
      <c r="P936" s="356">
        <f t="shared" si="533"/>
        <v>1.6417934952141719</v>
      </c>
      <c r="Q936" s="356">
        <f t="shared" si="534"/>
        <v>1.6417934952141719</v>
      </c>
      <c r="R936" s="217" t="s">
        <v>55</v>
      </c>
      <c r="S936" s="608" t="s">
        <v>778</v>
      </c>
      <c r="T936" s="609" t="s">
        <v>329</v>
      </c>
    </row>
    <row r="937" spans="2:20" ht="35.25" customHeight="1" x14ac:dyDescent="0.25">
      <c r="B937" s="607" t="s">
        <v>782</v>
      </c>
      <c r="C937" s="518" t="s">
        <v>136</v>
      </c>
      <c r="D937" s="233" t="s">
        <v>55</v>
      </c>
      <c r="E937" s="233" t="s">
        <v>55</v>
      </c>
      <c r="F937" s="214">
        <v>1</v>
      </c>
      <c r="G937" s="214">
        <v>2</v>
      </c>
      <c r="H937" s="234">
        <v>15.81</v>
      </c>
      <c r="I937" s="235">
        <v>3.855</v>
      </c>
      <c r="J937" s="215">
        <f t="shared" si="532"/>
        <v>60.94755</v>
      </c>
      <c r="K937" s="216" t="s">
        <v>670</v>
      </c>
      <c r="L937" s="238" t="s">
        <v>55</v>
      </c>
      <c r="M937" s="238" t="s">
        <v>55</v>
      </c>
      <c r="N937" s="215">
        <f>60*F937+20*G937</f>
        <v>100</v>
      </c>
      <c r="O937" s="220">
        <f>60*F937+20*G937</f>
        <v>100</v>
      </c>
      <c r="P937" s="356">
        <f t="shared" si="533"/>
        <v>1.6407550426555293</v>
      </c>
      <c r="Q937" s="356">
        <f t="shared" si="534"/>
        <v>1.6407550426555293</v>
      </c>
      <c r="R937" s="217" t="s">
        <v>55</v>
      </c>
      <c r="S937" s="608" t="s">
        <v>778</v>
      </c>
      <c r="T937" s="609" t="s">
        <v>329</v>
      </c>
    </row>
    <row r="938" spans="2:20" ht="35.25" customHeight="1" x14ac:dyDescent="0.25">
      <c r="B938" s="607" t="s">
        <v>783</v>
      </c>
      <c r="C938" s="518" t="s">
        <v>136</v>
      </c>
      <c r="D938" s="233" t="s">
        <v>55</v>
      </c>
      <c r="E938" s="233" t="s">
        <v>55</v>
      </c>
      <c r="F938" s="214">
        <v>1</v>
      </c>
      <c r="G938" s="218">
        <v>2</v>
      </c>
      <c r="H938" s="234">
        <v>15.37</v>
      </c>
      <c r="I938" s="235">
        <v>3.855</v>
      </c>
      <c r="J938" s="215">
        <f t="shared" si="532"/>
        <v>59.251349999999995</v>
      </c>
      <c r="K938" s="216" t="s">
        <v>670</v>
      </c>
      <c r="L938" s="238" t="s">
        <v>55</v>
      </c>
      <c r="M938" s="238" t="s">
        <v>55</v>
      </c>
      <c r="N938" s="215">
        <f>60*F938+20*G938</f>
        <v>100</v>
      </c>
      <c r="O938" s="220">
        <f>60*F938+20*G938</f>
        <v>100</v>
      </c>
      <c r="P938" s="356">
        <f t="shared" si="533"/>
        <v>1.6877252585806064</v>
      </c>
      <c r="Q938" s="356">
        <f t="shared" si="534"/>
        <v>1.6877252585806064</v>
      </c>
      <c r="R938" s="217" t="s">
        <v>55</v>
      </c>
      <c r="S938" s="608" t="s">
        <v>778</v>
      </c>
      <c r="T938" s="609" t="s">
        <v>329</v>
      </c>
    </row>
    <row r="939" spans="2:20" ht="27.75" customHeight="1" x14ac:dyDescent="0.25">
      <c r="B939" s="607" t="s">
        <v>784</v>
      </c>
      <c r="C939" s="518" t="s">
        <v>20</v>
      </c>
      <c r="D939" s="233" t="s">
        <v>55</v>
      </c>
      <c r="E939" s="233" t="s">
        <v>55</v>
      </c>
      <c r="F939" s="214" t="s">
        <v>55</v>
      </c>
      <c r="G939" s="218">
        <v>6</v>
      </c>
      <c r="H939" s="234">
        <v>13.4</v>
      </c>
      <c r="I939" s="235">
        <v>3.855</v>
      </c>
      <c r="J939" s="215">
        <f t="shared" si="532"/>
        <v>51.657000000000004</v>
      </c>
      <c r="K939" s="216" t="s">
        <v>558</v>
      </c>
      <c r="L939" s="233" t="s">
        <v>55</v>
      </c>
      <c r="M939" s="233" t="s">
        <v>55</v>
      </c>
      <c r="N939" s="215">
        <f>20*G939</f>
        <v>120</v>
      </c>
      <c r="O939" s="220">
        <f>20*G939</f>
        <v>120</v>
      </c>
      <c r="P939" s="356">
        <f t="shared" si="533"/>
        <v>2.3230152738254253</v>
      </c>
      <c r="Q939" s="356">
        <f t="shared" si="534"/>
        <v>2.3230152738254253</v>
      </c>
      <c r="R939" s="218" t="s">
        <v>55</v>
      </c>
      <c r="S939" s="608" t="s">
        <v>778</v>
      </c>
      <c r="T939" s="609" t="s">
        <v>329</v>
      </c>
    </row>
    <row r="940" spans="2:20" ht="33" customHeight="1" x14ac:dyDescent="0.25">
      <c r="B940" s="607" t="s">
        <v>785</v>
      </c>
      <c r="C940" s="518" t="s">
        <v>136</v>
      </c>
      <c r="D940" s="233" t="s">
        <v>55</v>
      </c>
      <c r="E940" s="233" t="s">
        <v>55</v>
      </c>
      <c r="F940" s="214">
        <v>1</v>
      </c>
      <c r="G940" s="218">
        <v>2</v>
      </c>
      <c r="H940" s="234">
        <v>15.06</v>
      </c>
      <c r="I940" s="235">
        <v>3.855</v>
      </c>
      <c r="J940" s="215">
        <f t="shared" si="532"/>
        <v>58.0563</v>
      </c>
      <c r="K940" s="216" t="s">
        <v>670</v>
      </c>
      <c r="L940" s="238" t="s">
        <v>55</v>
      </c>
      <c r="M940" s="238" t="s">
        <v>55</v>
      </c>
      <c r="N940" s="215">
        <f>60*F940+20*G940</f>
        <v>100</v>
      </c>
      <c r="O940" s="220">
        <f>60*F940+20*G940</f>
        <v>100</v>
      </c>
      <c r="P940" s="356">
        <f t="shared" si="533"/>
        <v>1.7224659511543106</v>
      </c>
      <c r="Q940" s="356">
        <f t="shared" si="534"/>
        <v>1.7224659511543106</v>
      </c>
      <c r="R940" s="217" t="s">
        <v>55</v>
      </c>
      <c r="S940" s="608" t="s">
        <v>778</v>
      </c>
      <c r="T940" s="609" t="s">
        <v>329</v>
      </c>
    </row>
    <row r="941" spans="2:20" ht="33" customHeight="1" x14ac:dyDescent="0.25">
      <c r="B941" s="607" t="s">
        <v>786</v>
      </c>
      <c r="C941" s="518" t="s">
        <v>20</v>
      </c>
      <c r="D941" s="233" t="s">
        <v>55</v>
      </c>
      <c r="E941" s="233" t="s">
        <v>55</v>
      </c>
      <c r="F941" s="214" t="s">
        <v>55</v>
      </c>
      <c r="G941" s="218">
        <f>8+4</f>
        <v>12</v>
      </c>
      <c r="H941" s="234">
        <v>34.369999999999997</v>
      </c>
      <c r="I941" s="235">
        <v>3.855</v>
      </c>
      <c r="J941" s="215">
        <f t="shared" si="532"/>
        <v>132.49634999999998</v>
      </c>
      <c r="K941" s="216" t="s">
        <v>558</v>
      </c>
      <c r="L941" s="233" t="s">
        <v>55</v>
      </c>
      <c r="M941" s="220" t="s">
        <v>55</v>
      </c>
      <c r="N941" s="215">
        <f>20*G941</f>
        <v>240</v>
      </c>
      <c r="O941" s="220">
        <f>20*G941</f>
        <v>240</v>
      </c>
      <c r="P941" s="356">
        <f t="shared" si="533"/>
        <v>1.8113706528519469</v>
      </c>
      <c r="Q941" s="356">
        <f t="shared" si="534"/>
        <v>1.8113706528519469</v>
      </c>
      <c r="R941" s="218" t="s">
        <v>55</v>
      </c>
      <c r="S941" s="608" t="s">
        <v>778</v>
      </c>
      <c r="T941" s="609" t="s">
        <v>329</v>
      </c>
    </row>
    <row r="942" spans="2:20" ht="35.25" customHeight="1" x14ac:dyDescent="0.25">
      <c r="B942" s="607" t="s">
        <v>787</v>
      </c>
      <c r="C942" s="518" t="s">
        <v>136</v>
      </c>
      <c r="D942" s="233" t="s">
        <v>55</v>
      </c>
      <c r="E942" s="233" t="s">
        <v>55</v>
      </c>
      <c r="F942" s="214">
        <v>1</v>
      </c>
      <c r="G942" s="218">
        <v>2</v>
      </c>
      <c r="H942" s="234">
        <v>15.06</v>
      </c>
      <c r="I942" s="235">
        <v>3.86</v>
      </c>
      <c r="J942" s="215">
        <f t="shared" si="532"/>
        <v>58.131599999999999</v>
      </c>
      <c r="K942" s="216" t="s">
        <v>670</v>
      </c>
      <c r="L942" s="238" t="s">
        <v>55</v>
      </c>
      <c r="M942" s="220" t="s">
        <v>55</v>
      </c>
      <c r="N942" s="215">
        <f>60*F942+20*G942</f>
        <v>100</v>
      </c>
      <c r="O942" s="220">
        <f>60*F942+20*G942</f>
        <v>100</v>
      </c>
      <c r="P942" s="356">
        <f t="shared" si="533"/>
        <v>1.7202347776424527</v>
      </c>
      <c r="Q942" s="356">
        <f t="shared" si="534"/>
        <v>1.7202347776424527</v>
      </c>
      <c r="R942" s="217" t="s">
        <v>55</v>
      </c>
      <c r="S942" s="608" t="s">
        <v>778</v>
      </c>
      <c r="T942" s="609" t="s">
        <v>329</v>
      </c>
    </row>
    <row r="943" spans="2:20" ht="34.5" customHeight="1" x14ac:dyDescent="0.25">
      <c r="B943" s="607" t="s">
        <v>788</v>
      </c>
      <c r="C943" s="518" t="s">
        <v>136</v>
      </c>
      <c r="D943" s="233" t="s">
        <v>55</v>
      </c>
      <c r="E943" s="233" t="s">
        <v>55</v>
      </c>
      <c r="F943" s="214">
        <v>1</v>
      </c>
      <c r="G943" s="218">
        <v>2</v>
      </c>
      <c r="H943" s="234">
        <v>15.2</v>
      </c>
      <c r="I943" s="235">
        <v>3.86</v>
      </c>
      <c r="J943" s="215">
        <f t="shared" si="532"/>
        <v>58.671999999999997</v>
      </c>
      <c r="K943" s="216" t="s">
        <v>670</v>
      </c>
      <c r="L943" s="238" t="s">
        <v>55</v>
      </c>
      <c r="M943" s="220" t="s">
        <v>55</v>
      </c>
      <c r="N943" s="215">
        <f>60*F943+20*G943</f>
        <v>100</v>
      </c>
      <c r="O943" s="220">
        <f>60*F943+20*G943</f>
        <v>100</v>
      </c>
      <c r="P943" s="356">
        <f t="shared" si="533"/>
        <v>1.7043905099536407</v>
      </c>
      <c r="Q943" s="356">
        <f t="shared" si="534"/>
        <v>1.7043905099536407</v>
      </c>
      <c r="R943" s="217" t="s">
        <v>55</v>
      </c>
      <c r="S943" s="608" t="s">
        <v>778</v>
      </c>
      <c r="T943" s="609" t="s">
        <v>329</v>
      </c>
    </row>
    <row r="944" spans="2:20" ht="31.5" customHeight="1" x14ac:dyDescent="0.25">
      <c r="B944" s="607" t="s">
        <v>1024</v>
      </c>
      <c r="C944" s="518" t="s">
        <v>1025</v>
      </c>
      <c r="D944" s="233" t="s">
        <v>55</v>
      </c>
      <c r="E944" s="233" t="s">
        <v>55</v>
      </c>
      <c r="F944" s="214" t="s">
        <v>55</v>
      </c>
      <c r="G944" s="218" t="s">
        <v>55</v>
      </c>
      <c r="H944" s="234">
        <v>15.2</v>
      </c>
      <c r="I944" s="235">
        <v>3.86</v>
      </c>
      <c r="J944" s="215">
        <f t="shared" si="532"/>
        <v>58.671999999999997</v>
      </c>
      <c r="K944" s="215">
        <v>1</v>
      </c>
      <c r="L944" s="215">
        <v>1</v>
      </c>
      <c r="M944" s="220" t="s">
        <v>55</v>
      </c>
      <c r="N944" s="215">
        <f>CEILING((J944*L944),10)</f>
        <v>60</v>
      </c>
      <c r="O944" s="220">
        <f>CEILING((J944*L944),10)</f>
        <v>60</v>
      </c>
      <c r="P944" s="356">
        <f t="shared" si="533"/>
        <v>1.0226343059721843</v>
      </c>
      <c r="Q944" s="356">
        <f t="shared" si="534"/>
        <v>1.0226343059721843</v>
      </c>
      <c r="R944" s="217" t="s">
        <v>55</v>
      </c>
      <c r="S944" s="608" t="s">
        <v>778</v>
      </c>
      <c r="T944" s="609" t="s">
        <v>329</v>
      </c>
    </row>
    <row r="945" spans="2:20" ht="35.25" customHeight="1" x14ac:dyDescent="0.25">
      <c r="B945" s="607" t="s">
        <v>789</v>
      </c>
      <c r="C945" s="518" t="s">
        <v>136</v>
      </c>
      <c r="D945" s="233" t="s">
        <v>55</v>
      </c>
      <c r="E945" s="233" t="s">
        <v>55</v>
      </c>
      <c r="F945" s="214">
        <v>1</v>
      </c>
      <c r="G945" s="218">
        <v>2</v>
      </c>
      <c r="H945" s="611">
        <v>15.18</v>
      </c>
      <c r="I945" s="235">
        <v>3.86</v>
      </c>
      <c r="J945" s="215">
        <f t="shared" si="532"/>
        <v>58.594799999999999</v>
      </c>
      <c r="K945" s="216" t="s">
        <v>670</v>
      </c>
      <c r="L945" s="238" t="s">
        <v>55</v>
      </c>
      <c r="M945" s="220" t="s">
        <v>55</v>
      </c>
      <c r="N945" s="215">
        <f>60*F945+20*G945</f>
        <v>100</v>
      </c>
      <c r="O945" s="220">
        <f>60*F945+20*G945</f>
        <v>100</v>
      </c>
      <c r="P945" s="356">
        <f t="shared" si="533"/>
        <v>1.7066360837480459</v>
      </c>
      <c r="Q945" s="356">
        <f t="shared" si="534"/>
        <v>1.7066360837480459</v>
      </c>
      <c r="R945" s="217" t="s">
        <v>55</v>
      </c>
      <c r="S945" s="608" t="s">
        <v>778</v>
      </c>
      <c r="T945" s="609" t="s">
        <v>329</v>
      </c>
    </row>
    <row r="946" spans="2:20" ht="27.75" customHeight="1" x14ac:dyDescent="0.25">
      <c r="B946" s="607" t="s">
        <v>790</v>
      </c>
      <c r="C946" s="518" t="s">
        <v>20</v>
      </c>
      <c r="D946" s="233" t="s">
        <v>55</v>
      </c>
      <c r="E946" s="233" t="s">
        <v>55</v>
      </c>
      <c r="F946" s="214" t="s">
        <v>55</v>
      </c>
      <c r="G946" s="218">
        <v>8</v>
      </c>
      <c r="H946" s="234">
        <v>20.8</v>
      </c>
      <c r="I946" s="235">
        <v>3.86</v>
      </c>
      <c r="J946" s="215">
        <f t="shared" si="532"/>
        <v>80.287999999999997</v>
      </c>
      <c r="K946" s="216" t="s">
        <v>558</v>
      </c>
      <c r="L946" s="233" t="s">
        <v>55</v>
      </c>
      <c r="M946" s="220" t="s">
        <v>55</v>
      </c>
      <c r="N946" s="215">
        <f>20*G946</f>
        <v>160</v>
      </c>
      <c r="O946" s="220">
        <f>20*G946</f>
        <v>160</v>
      </c>
      <c r="P946" s="356">
        <f t="shared" si="533"/>
        <v>1.9928258270227184</v>
      </c>
      <c r="Q946" s="356">
        <f t="shared" si="534"/>
        <v>1.9928258270227184</v>
      </c>
      <c r="R946" s="218" t="s">
        <v>55</v>
      </c>
      <c r="S946" s="608" t="s">
        <v>778</v>
      </c>
      <c r="T946" s="609" t="s">
        <v>329</v>
      </c>
    </row>
    <row r="947" spans="2:20" ht="17.25" customHeight="1" thickBot="1" x14ac:dyDescent="0.3">
      <c r="B947" s="816"/>
      <c r="C947" s="786"/>
      <c r="D947" s="812" t="s">
        <v>508</v>
      </c>
      <c r="E947" s="813"/>
      <c r="F947" s="767">
        <f>SUM(F933:F946)</f>
        <v>9</v>
      </c>
      <c r="G947" s="767">
        <f>SUM(G933:G946)</f>
        <v>76</v>
      </c>
      <c r="H947" s="764"/>
      <c r="I947" s="763"/>
      <c r="J947" s="763"/>
      <c r="K947" s="814"/>
      <c r="L947" s="812" t="s">
        <v>557</v>
      </c>
      <c r="M947" s="813"/>
      <c r="N947" s="360">
        <f>SUM(N933:N946)</f>
        <v>2660</v>
      </c>
      <c r="O947" s="363">
        <f>SUM(O933:O946)</f>
        <v>2660</v>
      </c>
      <c r="P947" s="623"/>
      <c r="Q947" s="623"/>
      <c r="R947" s="623"/>
      <c r="S947" s="767"/>
      <c r="T947" s="815"/>
    </row>
    <row r="948" spans="2:20" ht="17.25" customHeight="1" thickBot="1" x14ac:dyDescent="0.3">
      <c r="B948" s="505" t="s">
        <v>791</v>
      </c>
      <c r="C948" s="757"/>
      <c r="D948" s="757"/>
      <c r="E948" s="757"/>
      <c r="F948" s="757"/>
      <c r="G948" s="757"/>
      <c r="H948" s="757"/>
      <c r="I948" s="757"/>
      <c r="J948" s="757"/>
      <c r="K948" s="757"/>
      <c r="L948" s="757"/>
      <c r="M948" s="757"/>
      <c r="N948" s="757"/>
      <c r="O948" s="757"/>
      <c r="P948" s="757"/>
      <c r="Q948" s="757"/>
      <c r="R948" s="757"/>
      <c r="S948" s="757"/>
      <c r="T948" s="758"/>
    </row>
    <row r="949" spans="2:20" ht="21.75" customHeight="1" x14ac:dyDescent="0.25">
      <c r="B949" s="604" t="s">
        <v>794</v>
      </c>
      <c r="C949" s="509" t="s">
        <v>16</v>
      </c>
      <c r="D949" s="817" t="s">
        <v>55</v>
      </c>
      <c r="E949" s="817" t="s">
        <v>55</v>
      </c>
      <c r="F949" s="742" t="s">
        <v>55</v>
      </c>
      <c r="G949" s="742">
        <v>3</v>
      </c>
      <c r="H949" s="294" t="s">
        <v>808</v>
      </c>
      <c r="I949" s="285">
        <v>3.86</v>
      </c>
      <c r="J949" s="210">
        <f t="shared" ref="J949:J964" si="535">H949*I949</f>
        <v>296.13919999999996</v>
      </c>
      <c r="K949" s="211" t="s">
        <v>821</v>
      </c>
      <c r="L949" s="366" t="s">
        <v>55</v>
      </c>
      <c r="M949" s="366" t="s">
        <v>55</v>
      </c>
      <c r="N949" s="210">
        <v>300</v>
      </c>
      <c r="O949" s="213" t="s">
        <v>55</v>
      </c>
      <c r="P949" s="388">
        <f t="shared" ref="P949:P956" si="536">N949/J949</f>
        <v>1.0130371122769293</v>
      </c>
      <c r="Q949" s="401" t="s">
        <v>55</v>
      </c>
      <c r="R949" s="213" t="s">
        <v>55</v>
      </c>
      <c r="S949" s="605" t="s">
        <v>778</v>
      </c>
      <c r="T949" s="810" t="s">
        <v>55</v>
      </c>
    </row>
    <row r="950" spans="2:20" ht="34.5" customHeight="1" x14ac:dyDescent="0.25">
      <c r="B950" s="607" t="s">
        <v>795</v>
      </c>
      <c r="C950" s="518" t="s">
        <v>16</v>
      </c>
      <c r="D950" s="722" t="s">
        <v>55</v>
      </c>
      <c r="E950" s="722" t="s">
        <v>55</v>
      </c>
      <c r="F950" s="713">
        <v>2</v>
      </c>
      <c r="G950" s="713">
        <v>4</v>
      </c>
      <c r="H950" s="234" t="s">
        <v>809</v>
      </c>
      <c r="I950" s="235">
        <v>3.86</v>
      </c>
      <c r="J950" s="215">
        <f t="shared" si="535"/>
        <v>291.8546</v>
      </c>
      <c r="K950" s="216" t="s">
        <v>670</v>
      </c>
      <c r="L950" s="320" t="s">
        <v>55</v>
      </c>
      <c r="M950" s="320" t="s">
        <v>55</v>
      </c>
      <c r="N950" s="215">
        <v>240</v>
      </c>
      <c r="O950" s="220" t="s">
        <v>55</v>
      </c>
      <c r="P950" s="356">
        <f t="shared" si="536"/>
        <v>0.82232728214665796</v>
      </c>
      <c r="Q950" s="356" t="s">
        <v>55</v>
      </c>
      <c r="R950" s="218" t="s">
        <v>55</v>
      </c>
      <c r="S950" s="608" t="s">
        <v>778</v>
      </c>
      <c r="T950" s="609" t="s">
        <v>55</v>
      </c>
    </row>
    <row r="951" spans="2:20" ht="21.75" customHeight="1" x14ac:dyDescent="0.25">
      <c r="B951" s="607" t="s">
        <v>796</v>
      </c>
      <c r="C951" s="518" t="s">
        <v>20</v>
      </c>
      <c r="D951" s="722" t="s">
        <v>55</v>
      </c>
      <c r="E951" s="722" t="s">
        <v>55</v>
      </c>
      <c r="F951" s="713" t="s">
        <v>55</v>
      </c>
      <c r="G951" s="218">
        <v>4</v>
      </c>
      <c r="H951" s="234" t="s">
        <v>757</v>
      </c>
      <c r="I951" s="235">
        <v>3.86</v>
      </c>
      <c r="J951" s="215">
        <f t="shared" si="535"/>
        <v>56.317399999999999</v>
      </c>
      <c r="K951" s="216" t="s">
        <v>558</v>
      </c>
      <c r="L951" s="320" t="s">
        <v>55</v>
      </c>
      <c r="M951" s="320" t="s">
        <v>55</v>
      </c>
      <c r="N951" s="215">
        <f t="shared" ref="N951:N956" si="537">20*G951</f>
        <v>80</v>
      </c>
      <c r="O951" s="220">
        <f t="shared" ref="O951:O956" si="538">20*G951</f>
        <v>80</v>
      </c>
      <c r="P951" s="356">
        <f t="shared" si="536"/>
        <v>1.4205201234431988</v>
      </c>
      <c r="Q951" s="356">
        <f t="shared" ref="Q951:Q957" si="539">O951/J951</f>
        <v>1.4205201234431988</v>
      </c>
      <c r="R951" s="218" t="s">
        <v>55</v>
      </c>
      <c r="S951" s="608" t="s">
        <v>778</v>
      </c>
      <c r="T951" s="609" t="s">
        <v>329</v>
      </c>
    </row>
    <row r="952" spans="2:20" ht="21.75" customHeight="1" x14ac:dyDescent="0.25">
      <c r="B952" s="607" t="s">
        <v>797</v>
      </c>
      <c r="C952" s="518" t="s">
        <v>792</v>
      </c>
      <c r="D952" s="722" t="s">
        <v>55</v>
      </c>
      <c r="E952" s="722" t="s">
        <v>55</v>
      </c>
      <c r="F952" s="713" t="s">
        <v>55</v>
      </c>
      <c r="G952" s="218">
        <v>36</v>
      </c>
      <c r="H952" s="234" t="s">
        <v>810</v>
      </c>
      <c r="I952" s="235">
        <v>3.86</v>
      </c>
      <c r="J952" s="215">
        <f t="shared" si="535"/>
        <v>362.64699999999999</v>
      </c>
      <c r="K952" s="216" t="s">
        <v>558</v>
      </c>
      <c r="L952" s="320" t="s">
        <v>55</v>
      </c>
      <c r="M952" s="320" t="s">
        <v>55</v>
      </c>
      <c r="N952" s="215">
        <f t="shared" si="537"/>
        <v>720</v>
      </c>
      <c r="O952" s="220">
        <f t="shared" si="538"/>
        <v>720</v>
      </c>
      <c r="P952" s="356">
        <f t="shared" si="536"/>
        <v>1.9854017818980993</v>
      </c>
      <c r="Q952" s="356">
        <f t="shared" si="539"/>
        <v>1.9854017818980993</v>
      </c>
      <c r="R952" s="218" t="s">
        <v>55</v>
      </c>
      <c r="S952" s="608" t="s">
        <v>778</v>
      </c>
      <c r="T952" s="609" t="s">
        <v>329</v>
      </c>
    </row>
    <row r="953" spans="2:20" ht="21.75" customHeight="1" x14ac:dyDescent="0.25">
      <c r="B953" s="607" t="s">
        <v>798</v>
      </c>
      <c r="C953" s="518" t="s">
        <v>20</v>
      </c>
      <c r="D953" s="722" t="s">
        <v>55</v>
      </c>
      <c r="E953" s="722" t="s">
        <v>55</v>
      </c>
      <c r="F953" s="713" t="s">
        <v>55</v>
      </c>
      <c r="G953" s="218">
        <v>8</v>
      </c>
      <c r="H953" s="234" t="s">
        <v>811</v>
      </c>
      <c r="I953" s="235">
        <v>3.86</v>
      </c>
      <c r="J953" s="215">
        <f t="shared" si="535"/>
        <v>70.0976</v>
      </c>
      <c r="K953" s="216" t="s">
        <v>558</v>
      </c>
      <c r="L953" s="320" t="s">
        <v>55</v>
      </c>
      <c r="M953" s="320" t="s">
        <v>55</v>
      </c>
      <c r="N953" s="215">
        <f t="shared" si="537"/>
        <v>160</v>
      </c>
      <c r="O953" s="220">
        <f t="shared" si="538"/>
        <v>160</v>
      </c>
      <c r="P953" s="356">
        <f t="shared" si="536"/>
        <v>2.2825317842550956</v>
      </c>
      <c r="Q953" s="356">
        <f t="shared" si="539"/>
        <v>2.2825317842550956</v>
      </c>
      <c r="R953" s="218" t="s">
        <v>55</v>
      </c>
      <c r="S953" s="608" t="s">
        <v>778</v>
      </c>
      <c r="T953" s="609" t="s">
        <v>329</v>
      </c>
    </row>
    <row r="954" spans="2:20" ht="24" customHeight="1" x14ac:dyDescent="0.25">
      <c r="B954" s="607" t="s">
        <v>799</v>
      </c>
      <c r="C954" s="518" t="s">
        <v>20</v>
      </c>
      <c r="D954" s="722" t="s">
        <v>55</v>
      </c>
      <c r="E954" s="722" t="s">
        <v>55</v>
      </c>
      <c r="F954" s="713" t="s">
        <v>55</v>
      </c>
      <c r="G954" s="218">
        <v>5</v>
      </c>
      <c r="H954" s="234" t="s">
        <v>812</v>
      </c>
      <c r="I954" s="235">
        <v>3.86</v>
      </c>
      <c r="J954" s="215">
        <f t="shared" si="535"/>
        <v>57.861399999999996</v>
      </c>
      <c r="K954" s="216" t="s">
        <v>558</v>
      </c>
      <c r="L954" s="320" t="s">
        <v>55</v>
      </c>
      <c r="M954" s="320" t="s">
        <v>55</v>
      </c>
      <c r="N954" s="215">
        <f t="shared" si="537"/>
        <v>100</v>
      </c>
      <c r="O954" s="220">
        <f t="shared" si="538"/>
        <v>100</v>
      </c>
      <c r="P954" s="356">
        <f t="shared" si="536"/>
        <v>1.7282678953499224</v>
      </c>
      <c r="Q954" s="356">
        <f t="shared" si="539"/>
        <v>1.7282678953499224</v>
      </c>
      <c r="R954" s="218" t="s">
        <v>55</v>
      </c>
      <c r="S954" s="608" t="s">
        <v>778</v>
      </c>
      <c r="T954" s="609" t="s">
        <v>329</v>
      </c>
    </row>
    <row r="955" spans="2:20" ht="21.75" customHeight="1" x14ac:dyDescent="0.25">
      <c r="B955" s="607" t="s">
        <v>800</v>
      </c>
      <c r="C955" s="518" t="s">
        <v>20</v>
      </c>
      <c r="D955" s="722" t="s">
        <v>55</v>
      </c>
      <c r="E955" s="722" t="s">
        <v>55</v>
      </c>
      <c r="F955" s="713" t="s">
        <v>55</v>
      </c>
      <c r="G955" s="218">
        <v>5</v>
      </c>
      <c r="H955" s="234" t="s">
        <v>813</v>
      </c>
      <c r="I955" s="235">
        <v>3.86</v>
      </c>
      <c r="J955" s="215">
        <f t="shared" si="535"/>
        <v>57.9</v>
      </c>
      <c r="K955" s="216" t="s">
        <v>558</v>
      </c>
      <c r="L955" s="320" t="s">
        <v>55</v>
      </c>
      <c r="M955" s="320" t="s">
        <v>55</v>
      </c>
      <c r="N955" s="215">
        <f t="shared" si="537"/>
        <v>100</v>
      </c>
      <c r="O955" s="220">
        <f t="shared" si="538"/>
        <v>100</v>
      </c>
      <c r="P955" s="356">
        <f t="shared" si="536"/>
        <v>1.7271157167530224</v>
      </c>
      <c r="Q955" s="356">
        <f t="shared" si="539"/>
        <v>1.7271157167530224</v>
      </c>
      <c r="R955" s="218" t="s">
        <v>55</v>
      </c>
      <c r="S955" s="608" t="s">
        <v>778</v>
      </c>
      <c r="T955" s="609" t="s">
        <v>329</v>
      </c>
    </row>
    <row r="956" spans="2:20" ht="21" customHeight="1" x14ac:dyDescent="0.25">
      <c r="B956" s="607" t="s">
        <v>801</v>
      </c>
      <c r="C956" s="518" t="s">
        <v>20</v>
      </c>
      <c r="D956" s="722" t="s">
        <v>55</v>
      </c>
      <c r="E956" s="722" t="s">
        <v>55</v>
      </c>
      <c r="F956" s="713" t="s">
        <v>55</v>
      </c>
      <c r="G956" s="218">
        <v>8</v>
      </c>
      <c r="H956" s="234" t="s">
        <v>814</v>
      </c>
      <c r="I956" s="235">
        <v>3.86</v>
      </c>
      <c r="J956" s="215">
        <f t="shared" si="535"/>
        <v>65.967399999999998</v>
      </c>
      <c r="K956" s="216" t="s">
        <v>558</v>
      </c>
      <c r="L956" s="320" t="s">
        <v>55</v>
      </c>
      <c r="M956" s="320" t="s">
        <v>55</v>
      </c>
      <c r="N956" s="215">
        <f t="shared" si="537"/>
        <v>160</v>
      </c>
      <c r="O956" s="220">
        <f t="shared" si="538"/>
        <v>160</v>
      </c>
      <c r="P956" s="356">
        <f t="shared" si="536"/>
        <v>2.4254404448257776</v>
      </c>
      <c r="Q956" s="356">
        <f t="shared" si="539"/>
        <v>2.4254404448257776</v>
      </c>
      <c r="R956" s="218" t="s">
        <v>55</v>
      </c>
      <c r="S956" s="608" t="s">
        <v>778</v>
      </c>
      <c r="T956" s="609" t="s">
        <v>329</v>
      </c>
    </row>
    <row r="957" spans="2:20" ht="35.25" customHeight="1" x14ac:dyDescent="0.25">
      <c r="B957" s="607" t="s">
        <v>802</v>
      </c>
      <c r="C957" s="518" t="s">
        <v>552</v>
      </c>
      <c r="D957" s="722" t="s">
        <v>55</v>
      </c>
      <c r="E957" s="722" t="s">
        <v>55</v>
      </c>
      <c r="F957" s="713" t="s">
        <v>55</v>
      </c>
      <c r="G957" s="713" t="s">
        <v>55</v>
      </c>
      <c r="H957" s="234" t="s">
        <v>815</v>
      </c>
      <c r="I957" s="235">
        <v>3.86</v>
      </c>
      <c r="J957" s="215">
        <f t="shared" si="535"/>
        <v>25.630399999999998</v>
      </c>
      <c r="K957" s="216" t="s">
        <v>820</v>
      </c>
      <c r="L957" s="320" t="s">
        <v>55</v>
      </c>
      <c r="M957" s="320" t="s">
        <v>55</v>
      </c>
      <c r="N957" s="673" t="s">
        <v>55</v>
      </c>
      <c r="O957" s="220">
        <v>75</v>
      </c>
      <c r="P957" s="356" t="s">
        <v>55</v>
      </c>
      <c r="Q957" s="356">
        <f t="shared" si="539"/>
        <v>2.9262126225107687</v>
      </c>
      <c r="R957" s="218" t="s">
        <v>55</v>
      </c>
      <c r="S957" s="608" t="s">
        <v>778</v>
      </c>
      <c r="T957" s="609" t="s">
        <v>329</v>
      </c>
    </row>
    <row r="958" spans="2:20" ht="36" customHeight="1" x14ac:dyDescent="0.25">
      <c r="B958" s="607" t="s">
        <v>803</v>
      </c>
      <c r="C958" s="518" t="s">
        <v>793</v>
      </c>
      <c r="D958" s="722" t="s">
        <v>55</v>
      </c>
      <c r="E958" s="722" t="s">
        <v>55</v>
      </c>
      <c r="F958" s="713" t="s">
        <v>55</v>
      </c>
      <c r="G958" s="713" t="s">
        <v>55</v>
      </c>
      <c r="H958" s="234">
        <v>7.28</v>
      </c>
      <c r="I958" s="235">
        <v>3.86</v>
      </c>
      <c r="J958" s="215">
        <f t="shared" si="535"/>
        <v>28.1008</v>
      </c>
      <c r="K958" s="216">
        <v>1</v>
      </c>
      <c r="L958" s="579" t="s">
        <v>55</v>
      </c>
      <c r="M958" s="320" t="s">
        <v>55</v>
      </c>
      <c r="N958" s="215">
        <f>CEILING((J958*K958),10)</f>
        <v>30</v>
      </c>
      <c r="O958" s="220">
        <v>40</v>
      </c>
      <c r="P958" s="356">
        <f>N958/J958</f>
        <v>1.0675852644764563</v>
      </c>
      <c r="Q958" s="356" t="s">
        <v>55</v>
      </c>
      <c r="R958" s="218" t="s">
        <v>55</v>
      </c>
      <c r="S958" s="608" t="s">
        <v>778</v>
      </c>
      <c r="T958" s="818" t="s">
        <v>1192</v>
      </c>
    </row>
    <row r="959" spans="2:20" ht="36.75" customHeight="1" x14ac:dyDescent="0.25">
      <c r="B959" s="607" t="s">
        <v>804</v>
      </c>
      <c r="C959" s="518" t="s">
        <v>136</v>
      </c>
      <c r="D959" s="722" t="s">
        <v>55</v>
      </c>
      <c r="E959" s="722" t="s">
        <v>55</v>
      </c>
      <c r="F959" s="713">
        <v>1</v>
      </c>
      <c r="G959" s="713">
        <v>4</v>
      </c>
      <c r="H959" s="234" t="s">
        <v>816</v>
      </c>
      <c r="I959" s="235">
        <v>3.86</v>
      </c>
      <c r="J959" s="215">
        <f t="shared" si="535"/>
        <v>134.59819999999999</v>
      </c>
      <c r="K959" s="216" t="s">
        <v>670</v>
      </c>
      <c r="L959" s="357" t="s">
        <v>55</v>
      </c>
      <c r="M959" s="357" t="s">
        <v>55</v>
      </c>
      <c r="N959" s="215">
        <f>60*F959+20*G959+O961</f>
        <v>160</v>
      </c>
      <c r="O959" s="220">
        <f>60*F959+20*G959-O957</f>
        <v>65</v>
      </c>
      <c r="P959" s="356">
        <f>N959/J959</f>
        <v>1.1887231775759262</v>
      </c>
      <c r="Q959" s="356">
        <f>O959/J959</f>
        <v>0.48291879089021994</v>
      </c>
      <c r="R959" s="217" t="s">
        <v>55</v>
      </c>
      <c r="S959" s="608" t="s">
        <v>778</v>
      </c>
      <c r="T959" s="609" t="s">
        <v>329</v>
      </c>
    </row>
    <row r="960" spans="2:20" ht="21.75" customHeight="1" x14ac:dyDescent="0.25">
      <c r="B960" s="607" t="s">
        <v>805</v>
      </c>
      <c r="C960" s="518" t="s">
        <v>136</v>
      </c>
      <c r="D960" s="722" t="s">
        <v>55</v>
      </c>
      <c r="E960" s="722" t="s">
        <v>55</v>
      </c>
      <c r="F960" s="713" t="s">
        <v>55</v>
      </c>
      <c r="G960" s="713">
        <v>8</v>
      </c>
      <c r="H960" s="234" t="s">
        <v>817</v>
      </c>
      <c r="I960" s="235">
        <v>3.86</v>
      </c>
      <c r="J960" s="215">
        <f t="shared" si="535"/>
        <v>155.32640000000001</v>
      </c>
      <c r="K960" s="216" t="s">
        <v>558</v>
      </c>
      <c r="L960" s="320" t="s">
        <v>55</v>
      </c>
      <c r="M960" s="320" t="s">
        <v>55</v>
      </c>
      <c r="N960" s="215">
        <f>20*G960</f>
        <v>160</v>
      </c>
      <c r="O960" s="220">
        <f>20*G960-O962</f>
        <v>85</v>
      </c>
      <c r="P960" s="356">
        <f>N960/J960</f>
        <v>1.0300888966717827</v>
      </c>
      <c r="Q960" s="356">
        <f>O960/J960</f>
        <v>0.54723472635688453</v>
      </c>
      <c r="R960" s="218" t="s">
        <v>55</v>
      </c>
      <c r="S960" s="608" t="s">
        <v>778</v>
      </c>
      <c r="T960" s="609" t="s">
        <v>329</v>
      </c>
    </row>
    <row r="961" spans="2:20" ht="23.25" customHeight="1" x14ac:dyDescent="0.25">
      <c r="B961" s="607" t="s">
        <v>806</v>
      </c>
      <c r="C961" s="518" t="s">
        <v>831</v>
      </c>
      <c r="D961" s="722" t="s">
        <v>55</v>
      </c>
      <c r="E961" s="722" t="s">
        <v>55</v>
      </c>
      <c r="F961" s="713"/>
      <c r="G961" s="713">
        <v>1</v>
      </c>
      <c r="H961" s="234" t="s">
        <v>818</v>
      </c>
      <c r="I961" s="235">
        <v>3.86</v>
      </c>
      <c r="J961" s="215">
        <f t="shared" si="535"/>
        <v>46.049799999999998</v>
      </c>
      <c r="K961" s="216" t="s">
        <v>558</v>
      </c>
      <c r="L961" s="320" t="s">
        <v>55</v>
      </c>
      <c r="M961" s="320" t="s">
        <v>55</v>
      </c>
      <c r="N961" s="215" t="s">
        <v>55</v>
      </c>
      <c r="O961" s="220">
        <f>20*G961</f>
        <v>20</v>
      </c>
      <c r="P961" s="356" t="s">
        <v>55</v>
      </c>
      <c r="Q961" s="356">
        <f>O961/J961</f>
        <v>0.43431241829497635</v>
      </c>
      <c r="R961" s="819"/>
      <c r="S961" s="608" t="s">
        <v>778</v>
      </c>
      <c r="T961" s="609" t="s">
        <v>329</v>
      </c>
    </row>
    <row r="962" spans="2:20" ht="36.75" customHeight="1" x14ac:dyDescent="0.25">
      <c r="B962" s="607" t="s">
        <v>807</v>
      </c>
      <c r="C962" s="518" t="s">
        <v>552</v>
      </c>
      <c r="D962" s="722" t="s">
        <v>55</v>
      </c>
      <c r="E962" s="722" t="s">
        <v>55</v>
      </c>
      <c r="F962" s="722" t="s">
        <v>55</v>
      </c>
      <c r="G962" s="722" t="s">
        <v>55</v>
      </c>
      <c r="H962" s="234" t="s">
        <v>819</v>
      </c>
      <c r="I962" s="235">
        <v>3.86</v>
      </c>
      <c r="J962" s="215">
        <f t="shared" si="535"/>
        <v>25.669</v>
      </c>
      <c r="K962" s="216" t="s">
        <v>820</v>
      </c>
      <c r="L962" s="320" t="s">
        <v>55</v>
      </c>
      <c r="M962" s="320" t="s">
        <v>55</v>
      </c>
      <c r="N962" s="673" t="s">
        <v>55</v>
      </c>
      <c r="O962" s="220">
        <v>75</v>
      </c>
      <c r="P962" s="356" t="s">
        <v>55</v>
      </c>
      <c r="Q962" s="356">
        <f>O962/J962</f>
        <v>2.9218123027776697</v>
      </c>
      <c r="R962" s="218" t="s">
        <v>55</v>
      </c>
      <c r="S962" s="608" t="s">
        <v>778</v>
      </c>
      <c r="T962" s="609" t="s">
        <v>329</v>
      </c>
    </row>
    <row r="963" spans="2:20" ht="36.75" customHeight="1" x14ac:dyDescent="0.25">
      <c r="B963" s="607" t="s">
        <v>780</v>
      </c>
      <c r="C963" s="518" t="s">
        <v>553</v>
      </c>
      <c r="D963" s="233" t="s">
        <v>55</v>
      </c>
      <c r="E963" s="233" t="s">
        <v>55</v>
      </c>
      <c r="F963" s="214" t="s">
        <v>55</v>
      </c>
      <c r="G963" s="214">
        <v>5</v>
      </c>
      <c r="H963" s="234">
        <v>6.35</v>
      </c>
      <c r="I963" s="235">
        <v>3.855</v>
      </c>
      <c r="J963" s="215">
        <f t="shared" si="535"/>
        <v>24.479249999999997</v>
      </c>
      <c r="K963" s="215">
        <v>1</v>
      </c>
      <c r="L963" s="215">
        <v>1</v>
      </c>
      <c r="M963" s="233" t="s">
        <v>55</v>
      </c>
      <c r="N963" s="215">
        <f>CEILING((J963*L963),10)</f>
        <v>30</v>
      </c>
      <c r="O963" s="220">
        <f>CEILING((J963*L963),10)</f>
        <v>30</v>
      </c>
      <c r="P963" s="356">
        <f>N963/J963</f>
        <v>1.2255277428842797</v>
      </c>
      <c r="Q963" s="356">
        <f>O963/J963</f>
        <v>1.2255277428842797</v>
      </c>
      <c r="R963" s="218" t="s">
        <v>55</v>
      </c>
      <c r="S963" s="608" t="s">
        <v>778</v>
      </c>
      <c r="T963" s="609" t="s">
        <v>329</v>
      </c>
    </row>
    <row r="964" spans="2:20" ht="24.75" customHeight="1" x14ac:dyDescent="0.2">
      <c r="B964" s="820"/>
      <c r="C964" s="518" t="s">
        <v>1040</v>
      </c>
      <c r="D964" s="233" t="s">
        <v>55</v>
      </c>
      <c r="E964" s="233" t="s">
        <v>55</v>
      </c>
      <c r="F964" s="214" t="s">
        <v>55</v>
      </c>
      <c r="G964" s="214" t="s">
        <v>55</v>
      </c>
      <c r="H964" s="214">
        <v>13.6</v>
      </c>
      <c r="I964" s="235">
        <v>3.855</v>
      </c>
      <c r="J964" s="215">
        <f t="shared" si="535"/>
        <v>52.427999999999997</v>
      </c>
      <c r="K964" s="214" t="s">
        <v>55</v>
      </c>
      <c r="L964" s="214" t="s">
        <v>55</v>
      </c>
      <c r="M964" s="357" t="s">
        <v>55</v>
      </c>
      <c r="N964" s="215"/>
      <c r="O964" s="220">
        <v>540</v>
      </c>
      <c r="P964" s="356" t="s">
        <v>55</v>
      </c>
      <c r="Q964" s="356" t="s">
        <v>55</v>
      </c>
      <c r="R964" s="217" t="s">
        <v>55</v>
      </c>
      <c r="S964" s="608" t="s">
        <v>778</v>
      </c>
      <c r="T964" s="805" t="s">
        <v>779</v>
      </c>
    </row>
    <row r="965" spans="2:20" ht="17.25" customHeight="1" thickBot="1" x14ac:dyDescent="0.3">
      <c r="B965" s="676"/>
      <c r="C965" s="821"/>
      <c r="D965" s="822" t="s">
        <v>508</v>
      </c>
      <c r="E965" s="822"/>
      <c r="F965" s="767">
        <f>SUM(F950:F962)</f>
        <v>3</v>
      </c>
      <c r="G965" s="767">
        <f>SUM(G950:G962)</f>
        <v>83</v>
      </c>
      <c r="H965" s="764"/>
      <c r="I965" s="763"/>
      <c r="J965" s="763"/>
      <c r="K965" s="814"/>
      <c r="L965" s="447" t="s">
        <v>557</v>
      </c>
      <c r="M965" s="823"/>
      <c r="N965" s="622">
        <f>SUM(N949:N962)</f>
        <v>2210</v>
      </c>
      <c r="O965" s="363">
        <f>SUM(O949:O964)</f>
        <v>2250</v>
      </c>
      <c r="P965" s="756"/>
      <c r="Q965" s="756"/>
      <c r="R965" s="756"/>
      <c r="S965" s="727"/>
      <c r="T965" s="728"/>
    </row>
    <row r="65913" spans="12:12" ht="17.25" customHeight="1" x14ac:dyDescent="0.25">
      <c r="L65913" s="247"/>
    </row>
  </sheetData>
  <sheetProtection formatCells="0" formatColumns="0" formatRows="0" insertColumns="0" insertRows="0" insertHyperlinks="0" deleteColumns="0" deleteRows="0" sort="0" autoFilter="0" pivotTables="0"/>
  <autoFilter ref="B4:V252" xr:uid="{2D04A5D2-65BF-4759-AD05-19B7B60899F9}">
    <filterColumn colId="19" showButton="0"/>
  </autoFilter>
  <mergeCells count="92">
    <mergeCell ref="B159:T159"/>
    <mergeCell ref="D216:E216"/>
    <mergeCell ref="L216:M216"/>
    <mergeCell ref="B511:T511"/>
    <mergeCell ref="L582:M582"/>
    <mergeCell ref="D582:E582"/>
    <mergeCell ref="AA8:AB8"/>
    <mergeCell ref="U252:V252"/>
    <mergeCell ref="Y249:Z249"/>
    <mergeCell ref="U250:V250"/>
    <mergeCell ref="B932:T932"/>
    <mergeCell ref="U231:V231"/>
    <mergeCell ref="U232:V232"/>
    <mergeCell ref="U233:V233"/>
    <mergeCell ref="U234:V234"/>
    <mergeCell ref="U235:V235"/>
    <mergeCell ref="U242:V242"/>
    <mergeCell ref="U249:V249"/>
    <mergeCell ref="Y242:Z242"/>
    <mergeCell ref="U246:V246"/>
    <mergeCell ref="Y246:Z246"/>
    <mergeCell ref="U247:V247"/>
    <mergeCell ref="Y250:Z250"/>
    <mergeCell ref="U251:V251"/>
    <mergeCell ref="B696:T696"/>
    <mergeCell ref="B737:T737"/>
    <mergeCell ref="B794:T794"/>
    <mergeCell ref="B448:T448"/>
    <mergeCell ref="D510:E510"/>
    <mergeCell ref="B583:T583"/>
    <mergeCell ref="L510:M510"/>
    <mergeCell ref="D447:E447"/>
    <mergeCell ref="Y247:Z247"/>
    <mergeCell ref="U248:V248"/>
    <mergeCell ref="Y248:Z248"/>
    <mergeCell ref="U230:V230"/>
    <mergeCell ref="U223:V223"/>
    <mergeCell ref="Y223:Z223"/>
    <mergeCell ref="U224:V224"/>
    <mergeCell ref="Y224:Z224"/>
    <mergeCell ref="U225:V225"/>
    <mergeCell ref="U226:V226"/>
    <mergeCell ref="U227:V227"/>
    <mergeCell ref="U228:V228"/>
    <mergeCell ref="U229:V229"/>
    <mergeCell ref="U4:V4"/>
    <mergeCell ref="H2:H3"/>
    <mergeCell ref="I2:I3"/>
    <mergeCell ref="J2:J3"/>
    <mergeCell ref="K2:L2"/>
    <mergeCell ref="M2:M3"/>
    <mergeCell ref="B1:T1"/>
    <mergeCell ref="N2:N3"/>
    <mergeCell ref="O2:O3"/>
    <mergeCell ref="P2:Q2"/>
    <mergeCell ref="R2:T2"/>
    <mergeCell ref="F2:G2"/>
    <mergeCell ref="B2:B3"/>
    <mergeCell ref="C2:C3"/>
    <mergeCell ref="D2:D3"/>
    <mergeCell ref="E2:E3"/>
    <mergeCell ref="B5:T5"/>
    <mergeCell ref="B276:T276"/>
    <mergeCell ref="B369:T369"/>
    <mergeCell ref="B407:T407"/>
    <mergeCell ref="D275:E275"/>
    <mergeCell ref="D337:E337"/>
    <mergeCell ref="B338:T338"/>
    <mergeCell ref="D368:E368"/>
    <mergeCell ref="D406:E406"/>
    <mergeCell ref="B6:T6"/>
    <mergeCell ref="L22:M22"/>
    <mergeCell ref="B217:T217"/>
    <mergeCell ref="D22:E22"/>
    <mergeCell ref="B23:T23"/>
    <mergeCell ref="D158:E158"/>
    <mergeCell ref="L158:M158"/>
    <mergeCell ref="B948:T948"/>
    <mergeCell ref="D965:E965"/>
    <mergeCell ref="L965:M965"/>
    <mergeCell ref="L695:M695"/>
    <mergeCell ref="B876:T876"/>
    <mergeCell ref="D736:E736"/>
    <mergeCell ref="D918:E918"/>
    <mergeCell ref="D875:E875"/>
    <mergeCell ref="D793:E793"/>
    <mergeCell ref="D695:E695"/>
    <mergeCell ref="D947:E947"/>
    <mergeCell ref="L947:M947"/>
    <mergeCell ref="D931:E931"/>
    <mergeCell ref="L931:M931"/>
    <mergeCell ref="B919:T919"/>
  </mergeCells>
  <phoneticPr fontId="29" type="noConversion"/>
  <conditionalFormatting sqref="E469:E470">
    <cfRule type="uniqueValues" dxfId="1" priority="3"/>
  </conditionalFormatting>
  <conditionalFormatting sqref="E479:E483">
    <cfRule type="uniqueValues" dxfId="0" priority="2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1" fitToHeight="0" orientation="landscape" blackAndWhite="1" useFirstPageNumber="1" errors="dash" r:id="rId1"/>
  <headerFooter scaleWithDoc="0" alignWithMargins="0"/>
  <ignoredErrors>
    <ignoredError sqref="F275 G158" unlockedFormula="1"/>
    <ignoredError sqref="N909:O909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A2EE0-EF70-47F1-B813-0E71A77894D5}">
  <dimension ref="A1"/>
  <sheetViews>
    <sheetView workbookViewId="0">
      <selection activeCell="L28" sqref="L2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B3521-C089-40A7-B89A-6906DDF4245B}">
  <sheetPr>
    <tabColor rgb="FF92D050"/>
  </sheetPr>
  <dimension ref="A1:AT186"/>
  <sheetViews>
    <sheetView view="pageBreakPreview" zoomScale="60" zoomScaleNormal="85" workbookViewId="0">
      <selection activeCell="G7" sqref="G7"/>
    </sheetView>
  </sheetViews>
  <sheetFormatPr defaultColWidth="8.85546875" defaultRowHeight="24" customHeight="1" x14ac:dyDescent="0.25"/>
  <cols>
    <col min="1" max="1" width="7.140625" style="5" customWidth="1"/>
    <col min="2" max="2" width="9.140625" style="165" customWidth="1"/>
    <col min="3" max="3" width="4.42578125" style="166" customWidth="1"/>
    <col min="4" max="4" width="17.5703125" style="165" customWidth="1"/>
    <col min="5" max="5" width="14.5703125" style="165" customWidth="1"/>
    <col min="6" max="6" width="11.5703125" style="165" customWidth="1"/>
    <col min="7" max="7" width="17.42578125" style="165" customWidth="1"/>
    <col min="8" max="8" width="6.5703125" style="166" customWidth="1"/>
    <col min="9" max="9" width="8.28515625" style="5" customWidth="1"/>
    <col min="10" max="10" width="9.5703125" style="5" customWidth="1"/>
    <col min="11" max="11" width="7.5703125" style="5" customWidth="1"/>
    <col min="12" max="12" width="8.140625" style="5" customWidth="1"/>
    <col min="13" max="13" width="9.5703125" style="5" customWidth="1"/>
    <col min="14" max="14" width="7.140625" style="5" customWidth="1"/>
    <col min="15" max="15" width="5.85546875" style="5" customWidth="1"/>
    <col min="16" max="16" width="6.85546875" style="5" customWidth="1"/>
    <col min="17" max="17" width="5.85546875" style="5" customWidth="1"/>
    <col min="18" max="18" width="6.85546875" style="5" customWidth="1"/>
    <col min="19" max="19" width="8.42578125" style="5" customWidth="1"/>
    <col min="20" max="20" width="9.140625" style="5" customWidth="1"/>
    <col min="21" max="22" width="5.85546875" style="5" customWidth="1"/>
    <col min="23" max="23" width="6.42578125" style="5" customWidth="1"/>
    <col min="24" max="24" width="16.42578125" style="5" customWidth="1"/>
    <col min="25" max="25" width="11.42578125" style="5" hidden="1" customWidth="1"/>
    <col min="26" max="35" width="10.7109375" style="5" hidden="1" customWidth="1"/>
    <col min="36" max="36" width="27.5703125" style="5" hidden="1" customWidth="1"/>
    <col min="37" max="37" width="10.7109375" style="5" hidden="1" customWidth="1"/>
    <col min="38" max="38" width="9.7109375" style="5" hidden="1" customWidth="1"/>
    <col min="39" max="39" width="12.5703125" style="5" hidden="1" customWidth="1"/>
    <col min="40" max="42" width="8.85546875" style="5" hidden="1" customWidth="1"/>
    <col min="43" max="43" width="15.5703125" style="5" hidden="1" customWidth="1"/>
    <col min="44" max="44" width="50.28515625" style="5" customWidth="1"/>
    <col min="45" max="256" width="8.85546875" style="5"/>
    <col min="257" max="257" width="7.140625" style="5" customWidth="1"/>
    <col min="258" max="258" width="9.140625" style="5" customWidth="1"/>
    <col min="259" max="259" width="4.42578125" style="5" customWidth="1"/>
    <col min="260" max="260" width="17.5703125" style="5" customWidth="1"/>
    <col min="261" max="261" width="14.5703125" style="5" customWidth="1"/>
    <col min="262" max="262" width="11.5703125" style="5" customWidth="1"/>
    <col min="263" max="263" width="10" style="5" customWidth="1"/>
    <col min="264" max="264" width="6.5703125" style="5" customWidth="1"/>
    <col min="265" max="265" width="8.28515625" style="5" customWidth="1"/>
    <col min="266" max="266" width="9.5703125" style="5" customWidth="1"/>
    <col min="267" max="267" width="7.5703125" style="5" customWidth="1"/>
    <col min="268" max="268" width="8.140625" style="5" customWidth="1"/>
    <col min="269" max="269" width="9.5703125" style="5" customWidth="1"/>
    <col min="270" max="270" width="6.140625" style="5" customWidth="1"/>
    <col min="271" max="271" width="5.85546875" style="5" customWidth="1"/>
    <col min="272" max="272" width="6.85546875" style="5" customWidth="1"/>
    <col min="273" max="273" width="5.85546875" style="5" customWidth="1"/>
    <col min="274" max="274" width="6.85546875" style="5" customWidth="1"/>
    <col min="275" max="275" width="7" style="5" customWidth="1"/>
    <col min="276" max="276" width="9.140625" style="5" customWidth="1"/>
    <col min="277" max="278" width="5.85546875" style="5" customWidth="1"/>
    <col min="279" max="279" width="6.42578125" style="5" customWidth="1"/>
    <col min="280" max="280" width="16.42578125" style="5" customWidth="1"/>
    <col min="281" max="299" width="0" style="5" hidden="1" customWidth="1"/>
    <col min="300" max="300" width="50.28515625" style="5" customWidth="1"/>
    <col min="301" max="512" width="8.85546875" style="5"/>
    <col min="513" max="513" width="7.140625" style="5" customWidth="1"/>
    <col min="514" max="514" width="9.140625" style="5" customWidth="1"/>
    <col min="515" max="515" width="4.42578125" style="5" customWidth="1"/>
    <col min="516" max="516" width="17.5703125" style="5" customWidth="1"/>
    <col min="517" max="517" width="14.5703125" style="5" customWidth="1"/>
    <col min="518" max="518" width="11.5703125" style="5" customWidth="1"/>
    <col min="519" max="519" width="10" style="5" customWidth="1"/>
    <col min="520" max="520" width="6.5703125" style="5" customWidth="1"/>
    <col min="521" max="521" width="8.28515625" style="5" customWidth="1"/>
    <col min="522" max="522" width="9.5703125" style="5" customWidth="1"/>
    <col min="523" max="523" width="7.5703125" style="5" customWidth="1"/>
    <col min="524" max="524" width="8.140625" style="5" customWidth="1"/>
    <col min="525" max="525" width="9.5703125" style="5" customWidth="1"/>
    <col min="526" max="526" width="6.140625" style="5" customWidth="1"/>
    <col min="527" max="527" width="5.85546875" style="5" customWidth="1"/>
    <col min="528" max="528" width="6.85546875" style="5" customWidth="1"/>
    <col min="529" max="529" width="5.85546875" style="5" customWidth="1"/>
    <col min="530" max="530" width="6.85546875" style="5" customWidth="1"/>
    <col min="531" max="531" width="7" style="5" customWidth="1"/>
    <col min="532" max="532" width="9.140625" style="5" customWidth="1"/>
    <col min="533" max="534" width="5.85546875" style="5" customWidth="1"/>
    <col min="535" max="535" width="6.42578125" style="5" customWidth="1"/>
    <col min="536" max="536" width="16.42578125" style="5" customWidth="1"/>
    <col min="537" max="555" width="0" style="5" hidden="1" customWidth="1"/>
    <col min="556" max="556" width="50.28515625" style="5" customWidth="1"/>
    <col min="557" max="768" width="8.85546875" style="5"/>
    <col min="769" max="769" width="7.140625" style="5" customWidth="1"/>
    <col min="770" max="770" width="9.140625" style="5" customWidth="1"/>
    <col min="771" max="771" width="4.42578125" style="5" customWidth="1"/>
    <col min="772" max="772" width="17.5703125" style="5" customWidth="1"/>
    <col min="773" max="773" width="14.5703125" style="5" customWidth="1"/>
    <col min="774" max="774" width="11.5703125" style="5" customWidth="1"/>
    <col min="775" max="775" width="10" style="5" customWidth="1"/>
    <col min="776" max="776" width="6.5703125" style="5" customWidth="1"/>
    <col min="777" max="777" width="8.28515625" style="5" customWidth="1"/>
    <col min="778" max="778" width="9.5703125" style="5" customWidth="1"/>
    <col min="779" max="779" width="7.5703125" style="5" customWidth="1"/>
    <col min="780" max="780" width="8.140625" style="5" customWidth="1"/>
    <col min="781" max="781" width="9.5703125" style="5" customWidth="1"/>
    <col min="782" max="782" width="6.140625" style="5" customWidth="1"/>
    <col min="783" max="783" width="5.85546875" style="5" customWidth="1"/>
    <col min="784" max="784" width="6.85546875" style="5" customWidth="1"/>
    <col min="785" max="785" width="5.85546875" style="5" customWidth="1"/>
    <col min="786" max="786" width="6.85546875" style="5" customWidth="1"/>
    <col min="787" max="787" width="7" style="5" customWidth="1"/>
    <col min="788" max="788" width="9.140625" style="5" customWidth="1"/>
    <col min="789" max="790" width="5.85546875" style="5" customWidth="1"/>
    <col min="791" max="791" width="6.42578125" style="5" customWidth="1"/>
    <col min="792" max="792" width="16.42578125" style="5" customWidth="1"/>
    <col min="793" max="811" width="0" style="5" hidden="1" customWidth="1"/>
    <col min="812" max="812" width="50.28515625" style="5" customWidth="1"/>
    <col min="813" max="1024" width="8.85546875" style="5"/>
    <col min="1025" max="1025" width="7.140625" style="5" customWidth="1"/>
    <col min="1026" max="1026" width="9.140625" style="5" customWidth="1"/>
    <col min="1027" max="1027" width="4.42578125" style="5" customWidth="1"/>
    <col min="1028" max="1028" width="17.5703125" style="5" customWidth="1"/>
    <col min="1029" max="1029" width="14.5703125" style="5" customWidth="1"/>
    <col min="1030" max="1030" width="11.5703125" style="5" customWidth="1"/>
    <col min="1031" max="1031" width="10" style="5" customWidth="1"/>
    <col min="1032" max="1032" width="6.5703125" style="5" customWidth="1"/>
    <col min="1033" max="1033" width="8.28515625" style="5" customWidth="1"/>
    <col min="1034" max="1034" width="9.5703125" style="5" customWidth="1"/>
    <col min="1035" max="1035" width="7.5703125" style="5" customWidth="1"/>
    <col min="1036" max="1036" width="8.140625" style="5" customWidth="1"/>
    <col min="1037" max="1037" width="9.5703125" style="5" customWidth="1"/>
    <col min="1038" max="1038" width="6.140625" style="5" customWidth="1"/>
    <col min="1039" max="1039" width="5.85546875" style="5" customWidth="1"/>
    <col min="1040" max="1040" width="6.85546875" style="5" customWidth="1"/>
    <col min="1041" max="1041" width="5.85546875" style="5" customWidth="1"/>
    <col min="1042" max="1042" width="6.85546875" style="5" customWidth="1"/>
    <col min="1043" max="1043" width="7" style="5" customWidth="1"/>
    <col min="1044" max="1044" width="9.140625" style="5" customWidth="1"/>
    <col min="1045" max="1046" width="5.85546875" style="5" customWidth="1"/>
    <col min="1047" max="1047" width="6.42578125" style="5" customWidth="1"/>
    <col min="1048" max="1048" width="16.42578125" style="5" customWidth="1"/>
    <col min="1049" max="1067" width="0" style="5" hidden="1" customWidth="1"/>
    <col min="1068" max="1068" width="50.28515625" style="5" customWidth="1"/>
    <col min="1069" max="1280" width="8.85546875" style="5"/>
    <col min="1281" max="1281" width="7.140625" style="5" customWidth="1"/>
    <col min="1282" max="1282" width="9.140625" style="5" customWidth="1"/>
    <col min="1283" max="1283" width="4.42578125" style="5" customWidth="1"/>
    <col min="1284" max="1284" width="17.5703125" style="5" customWidth="1"/>
    <col min="1285" max="1285" width="14.5703125" style="5" customWidth="1"/>
    <col min="1286" max="1286" width="11.5703125" style="5" customWidth="1"/>
    <col min="1287" max="1287" width="10" style="5" customWidth="1"/>
    <col min="1288" max="1288" width="6.5703125" style="5" customWidth="1"/>
    <col min="1289" max="1289" width="8.28515625" style="5" customWidth="1"/>
    <col min="1290" max="1290" width="9.5703125" style="5" customWidth="1"/>
    <col min="1291" max="1291" width="7.5703125" style="5" customWidth="1"/>
    <col min="1292" max="1292" width="8.140625" style="5" customWidth="1"/>
    <col min="1293" max="1293" width="9.5703125" style="5" customWidth="1"/>
    <col min="1294" max="1294" width="6.140625" style="5" customWidth="1"/>
    <col min="1295" max="1295" width="5.85546875" style="5" customWidth="1"/>
    <col min="1296" max="1296" width="6.85546875" style="5" customWidth="1"/>
    <col min="1297" max="1297" width="5.85546875" style="5" customWidth="1"/>
    <col min="1298" max="1298" width="6.85546875" style="5" customWidth="1"/>
    <col min="1299" max="1299" width="7" style="5" customWidth="1"/>
    <col min="1300" max="1300" width="9.140625" style="5" customWidth="1"/>
    <col min="1301" max="1302" width="5.85546875" style="5" customWidth="1"/>
    <col min="1303" max="1303" width="6.42578125" style="5" customWidth="1"/>
    <col min="1304" max="1304" width="16.42578125" style="5" customWidth="1"/>
    <col min="1305" max="1323" width="0" style="5" hidden="1" customWidth="1"/>
    <col min="1324" max="1324" width="50.28515625" style="5" customWidth="1"/>
    <col min="1325" max="1536" width="8.85546875" style="5"/>
    <col min="1537" max="1537" width="7.140625" style="5" customWidth="1"/>
    <col min="1538" max="1538" width="9.140625" style="5" customWidth="1"/>
    <col min="1539" max="1539" width="4.42578125" style="5" customWidth="1"/>
    <col min="1540" max="1540" width="17.5703125" style="5" customWidth="1"/>
    <col min="1541" max="1541" width="14.5703125" style="5" customWidth="1"/>
    <col min="1542" max="1542" width="11.5703125" style="5" customWidth="1"/>
    <col min="1543" max="1543" width="10" style="5" customWidth="1"/>
    <col min="1544" max="1544" width="6.5703125" style="5" customWidth="1"/>
    <col min="1545" max="1545" width="8.28515625" style="5" customWidth="1"/>
    <col min="1546" max="1546" width="9.5703125" style="5" customWidth="1"/>
    <col min="1547" max="1547" width="7.5703125" style="5" customWidth="1"/>
    <col min="1548" max="1548" width="8.140625" style="5" customWidth="1"/>
    <col min="1549" max="1549" width="9.5703125" style="5" customWidth="1"/>
    <col min="1550" max="1550" width="6.140625" style="5" customWidth="1"/>
    <col min="1551" max="1551" width="5.85546875" style="5" customWidth="1"/>
    <col min="1552" max="1552" width="6.85546875" style="5" customWidth="1"/>
    <col min="1553" max="1553" width="5.85546875" style="5" customWidth="1"/>
    <col min="1554" max="1554" width="6.85546875" style="5" customWidth="1"/>
    <col min="1555" max="1555" width="7" style="5" customWidth="1"/>
    <col min="1556" max="1556" width="9.140625" style="5" customWidth="1"/>
    <col min="1557" max="1558" width="5.85546875" style="5" customWidth="1"/>
    <col min="1559" max="1559" width="6.42578125" style="5" customWidth="1"/>
    <col min="1560" max="1560" width="16.42578125" style="5" customWidth="1"/>
    <col min="1561" max="1579" width="0" style="5" hidden="1" customWidth="1"/>
    <col min="1580" max="1580" width="50.28515625" style="5" customWidth="1"/>
    <col min="1581" max="1792" width="8.85546875" style="5"/>
    <col min="1793" max="1793" width="7.140625" style="5" customWidth="1"/>
    <col min="1794" max="1794" width="9.140625" style="5" customWidth="1"/>
    <col min="1795" max="1795" width="4.42578125" style="5" customWidth="1"/>
    <col min="1796" max="1796" width="17.5703125" style="5" customWidth="1"/>
    <col min="1797" max="1797" width="14.5703125" style="5" customWidth="1"/>
    <col min="1798" max="1798" width="11.5703125" style="5" customWidth="1"/>
    <col min="1799" max="1799" width="10" style="5" customWidth="1"/>
    <col min="1800" max="1800" width="6.5703125" style="5" customWidth="1"/>
    <col min="1801" max="1801" width="8.28515625" style="5" customWidth="1"/>
    <col min="1802" max="1802" width="9.5703125" style="5" customWidth="1"/>
    <col min="1803" max="1803" width="7.5703125" style="5" customWidth="1"/>
    <col min="1804" max="1804" width="8.140625" style="5" customWidth="1"/>
    <col min="1805" max="1805" width="9.5703125" style="5" customWidth="1"/>
    <col min="1806" max="1806" width="6.140625" style="5" customWidth="1"/>
    <col min="1807" max="1807" width="5.85546875" style="5" customWidth="1"/>
    <col min="1808" max="1808" width="6.85546875" style="5" customWidth="1"/>
    <col min="1809" max="1809" width="5.85546875" style="5" customWidth="1"/>
    <col min="1810" max="1810" width="6.85546875" style="5" customWidth="1"/>
    <col min="1811" max="1811" width="7" style="5" customWidth="1"/>
    <col min="1812" max="1812" width="9.140625" style="5" customWidth="1"/>
    <col min="1813" max="1814" width="5.85546875" style="5" customWidth="1"/>
    <col min="1815" max="1815" width="6.42578125" style="5" customWidth="1"/>
    <col min="1816" max="1816" width="16.42578125" style="5" customWidth="1"/>
    <col min="1817" max="1835" width="0" style="5" hidden="1" customWidth="1"/>
    <col min="1836" max="1836" width="50.28515625" style="5" customWidth="1"/>
    <col min="1837" max="2048" width="8.85546875" style="5"/>
    <col min="2049" max="2049" width="7.140625" style="5" customWidth="1"/>
    <col min="2050" max="2050" width="9.140625" style="5" customWidth="1"/>
    <col min="2051" max="2051" width="4.42578125" style="5" customWidth="1"/>
    <col min="2052" max="2052" width="17.5703125" style="5" customWidth="1"/>
    <col min="2053" max="2053" width="14.5703125" style="5" customWidth="1"/>
    <col min="2054" max="2054" width="11.5703125" style="5" customWidth="1"/>
    <col min="2055" max="2055" width="10" style="5" customWidth="1"/>
    <col min="2056" max="2056" width="6.5703125" style="5" customWidth="1"/>
    <col min="2057" max="2057" width="8.28515625" style="5" customWidth="1"/>
    <col min="2058" max="2058" width="9.5703125" style="5" customWidth="1"/>
    <col min="2059" max="2059" width="7.5703125" style="5" customWidth="1"/>
    <col min="2060" max="2060" width="8.140625" style="5" customWidth="1"/>
    <col min="2061" max="2061" width="9.5703125" style="5" customWidth="1"/>
    <col min="2062" max="2062" width="6.140625" style="5" customWidth="1"/>
    <col min="2063" max="2063" width="5.85546875" style="5" customWidth="1"/>
    <col min="2064" max="2064" width="6.85546875" style="5" customWidth="1"/>
    <col min="2065" max="2065" width="5.85546875" style="5" customWidth="1"/>
    <col min="2066" max="2066" width="6.85546875" style="5" customWidth="1"/>
    <col min="2067" max="2067" width="7" style="5" customWidth="1"/>
    <col min="2068" max="2068" width="9.140625" style="5" customWidth="1"/>
    <col min="2069" max="2070" width="5.85546875" style="5" customWidth="1"/>
    <col min="2071" max="2071" width="6.42578125" style="5" customWidth="1"/>
    <col min="2072" max="2072" width="16.42578125" style="5" customWidth="1"/>
    <col min="2073" max="2091" width="0" style="5" hidden="1" customWidth="1"/>
    <col min="2092" max="2092" width="50.28515625" style="5" customWidth="1"/>
    <col min="2093" max="2304" width="8.85546875" style="5"/>
    <col min="2305" max="2305" width="7.140625" style="5" customWidth="1"/>
    <col min="2306" max="2306" width="9.140625" style="5" customWidth="1"/>
    <col min="2307" max="2307" width="4.42578125" style="5" customWidth="1"/>
    <col min="2308" max="2308" width="17.5703125" style="5" customWidth="1"/>
    <col min="2309" max="2309" width="14.5703125" style="5" customWidth="1"/>
    <col min="2310" max="2310" width="11.5703125" style="5" customWidth="1"/>
    <col min="2311" max="2311" width="10" style="5" customWidth="1"/>
    <col min="2312" max="2312" width="6.5703125" style="5" customWidth="1"/>
    <col min="2313" max="2313" width="8.28515625" style="5" customWidth="1"/>
    <col min="2314" max="2314" width="9.5703125" style="5" customWidth="1"/>
    <col min="2315" max="2315" width="7.5703125" style="5" customWidth="1"/>
    <col min="2316" max="2316" width="8.140625" style="5" customWidth="1"/>
    <col min="2317" max="2317" width="9.5703125" style="5" customWidth="1"/>
    <col min="2318" max="2318" width="6.140625" style="5" customWidth="1"/>
    <col min="2319" max="2319" width="5.85546875" style="5" customWidth="1"/>
    <col min="2320" max="2320" width="6.85546875" style="5" customWidth="1"/>
    <col min="2321" max="2321" width="5.85546875" style="5" customWidth="1"/>
    <col min="2322" max="2322" width="6.85546875" style="5" customWidth="1"/>
    <col min="2323" max="2323" width="7" style="5" customWidth="1"/>
    <col min="2324" max="2324" width="9.140625" style="5" customWidth="1"/>
    <col min="2325" max="2326" width="5.85546875" style="5" customWidth="1"/>
    <col min="2327" max="2327" width="6.42578125" style="5" customWidth="1"/>
    <col min="2328" max="2328" width="16.42578125" style="5" customWidth="1"/>
    <col min="2329" max="2347" width="0" style="5" hidden="1" customWidth="1"/>
    <col min="2348" max="2348" width="50.28515625" style="5" customWidth="1"/>
    <col min="2349" max="2560" width="8.85546875" style="5"/>
    <col min="2561" max="2561" width="7.140625" style="5" customWidth="1"/>
    <col min="2562" max="2562" width="9.140625" style="5" customWidth="1"/>
    <col min="2563" max="2563" width="4.42578125" style="5" customWidth="1"/>
    <col min="2564" max="2564" width="17.5703125" style="5" customWidth="1"/>
    <col min="2565" max="2565" width="14.5703125" style="5" customWidth="1"/>
    <col min="2566" max="2566" width="11.5703125" style="5" customWidth="1"/>
    <col min="2567" max="2567" width="10" style="5" customWidth="1"/>
    <col min="2568" max="2568" width="6.5703125" style="5" customWidth="1"/>
    <col min="2569" max="2569" width="8.28515625" style="5" customWidth="1"/>
    <col min="2570" max="2570" width="9.5703125" style="5" customWidth="1"/>
    <col min="2571" max="2571" width="7.5703125" style="5" customWidth="1"/>
    <col min="2572" max="2572" width="8.140625" style="5" customWidth="1"/>
    <col min="2573" max="2573" width="9.5703125" style="5" customWidth="1"/>
    <col min="2574" max="2574" width="6.140625" style="5" customWidth="1"/>
    <col min="2575" max="2575" width="5.85546875" style="5" customWidth="1"/>
    <col min="2576" max="2576" width="6.85546875" style="5" customWidth="1"/>
    <col min="2577" max="2577" width="5.85546875" style="5" customWidth="1"/>
    <col min="2578" max="2578" width="6.85546875" style="5" customWidth="1"/>
    <col min="2579" max="2579" width="7" style="5" customWidth="1"/>
    <col min="2580" max="2580" width="9.140625" style="5" customWidth="1"/>
    <col min="2581" max="2582" width="5.85546875" style="5" customWidth="1"/>
    <col min="2583" max="2583" width="6.42578125" style="5" customWidth="1"/>
    <col min="2584" max="2584" width="16.42578125" style="5" customWidth="1"/>
    <col min="2585" max="2603" width="0" style="5" hidden="1" customWidth="1"/>
    <col min="2604" max="2604" width="50.28515625" style="5" customWidth="1"/>
    <col min="2605" max="2816" width="8.85546875" style="5"/>
    <col min="2817" max="2817" width="7.140625" style="5" customWidth="1"/>
    <col min="2818" max="2818" width="9.140625" style="5" customWidth="1"/>
    <col min="2819" max="2819" width="4.42578125" style="5" customWidth="1"/>
    <col min="2820" max="2820" width="17.5703125" style="5" customWidth="1"/>
    <col min="2821" max="2821" width="14.5703125" style="5" customWidth="1"/>
    <col min="2822" max="2822" width="11.5703125" style="5" customWidth="1"/>
    <col min="2823" max="2823" width="10" style="5" customWidth="1"/>
    <col min="2824" max="2824" width="6.5703125" style="5" customWidth="1"/>
    <col min="2825" max="2825" width="8.28515625" style="5" customWidth="1"/>
    <col min="2826" max="2826" width="9.5703125" style="5" customWidth="1"/>
    <col min="2827" max="2827" width="7.5703125" style="5" customWidth="1"/>
    <col min="2828" max="2828" width="8.140625" style="5" customWidth="1"/>
    <col min="2829" max="2829" width="9.5703125" style="5" customWidth="1"/>
    <col min="2830" max="2830" width="6.140625" style="5" customWidth="1"/>
    <col min="2831" max="2831" width="5.85546875" style="5" customWidth="1"/>
    <col min="2832" max="2832" width="6.85546875" style="5" customWidth="1"/>
    <col min="2833" max="2833" width="5.85546875" style="5" customWidth="1"/>
    <col min="2834" max="2834" width="6.85546875" style="5" customWidth="1"/>
    <col min="2835" max="2835" width="7" style="5" customWidth="1"/>
    <col min="2836" max="2836" width="9.140625" style="5" customWidth="1"/>
    <col min="2837" max="2838" width="5.85546875" style="5" customWidth="1"/>
    <col min="2839" max="2839" width="6.42578125" style="5" customWidth="1"/>
    <col min="2840" max="2840" width="16.42578125" style="5" customWidth="1"/>
    <col min="2841" max="2859" width="0" style="5" hidden="1" customWidth="1"/>
    <col min="2860" max="2860" width="50.28515625" style="5" customWidth="1"/>
    <col min="2861" max="3072" width="8.85546875" style="5"/>
    <col min="3073" max="3073" width="7.140625" style="5" customWidth="1"/>
    <col min="3074" max="3074" width="9.140625" style="5" customWidth="1"/>
    <col min="3075" max="3075" width="4.42578125" style="5" customWidth="1"/>
    <col min="3076" max="3076" width="17.5703125" style="5" customWidth="1"/>
    <col min="3077" max="3077" width="14.5703125" style="5" customWidth="1"/>
    <col min="3078" max="3078" width="11.5703125" style="5" customWidth="1"/>
    <col min="3079" max="3079" width="10" style="5" customWidth="1"/>
    <col min="3080" max="3080" width="6.5703125" style="5" customWidth="1"/>
    <col min="3081" max="3081" width="8.28515625" style="5" customWidth="1"/>
    <col min="3082" max="3082" width="9.5703125" style="5" customWidth="1"/>
    <col min="3083" max="3083" width="7.5703125" style="5" customWidth="1"/>
    <col min="3084" max="3084" width="8.140625" style="5" customWidth="1"/>
    <col min="3085" max="3085" width="9.5703125" style="5" customWidth="1"/>
    <col min="3086" max="3086" width="6.140625" style="5" customWidth="1"/>
    <col min="3087" max="3087" width="5.85546875" style="5" customWidth="1"/>
    <col min="3088" max="3088" width="6.85546875" style="5" customWidth="1"/>
    <col min="3089" max="3089" width="5.85546875" style="5" customWidth="1"/>
    <col min="3090" max="3090" width="6.85546875" style="5" customWidth="1"/>
    <col min="3091" max="3091" width="7" style="5" customWidth="1"/>
    <col min="3092" max="3092" width="9.140625" style="5" customWidth="1"/>
    <col min="3093" max="3094" width="5.85546875" style="5" customWidth="1"/>
    <col min="3095" max="3095" width="6.42578125" style="5" customWidth="1"/>
    <col min="3096" max="3096" width="16.42578125" style="5" customWidth="1"/>
    <col min="3097" max="3115" width="0" style="5" hidden="1" customWidth="1"/>
    <col min="3116" max="3116" width="50.28515625" style="5" customWidth="1"/>
    <col min="3117" max="3328" width="8.85546875" style="5"/>
    <col min="3329" max="3329" width="7.140625" style="5" customWidth="1"/>
    <col min="3330" max="3330" width="9.140625" style="5" customWidth="1"/>
    <col min="3331" max="3331" width="4.42578125" style="5" customWidth="1"/>
    <col min="3332" max="3332" width="17.5703125" style="5" customWidth="1"/>
    <col min="3333" max="3333" width="14.5703125" style="5" customWidth="1"/>
    <col min="3334" max="3334" width="11.5703125" style="5" customWidth="1"/>
    <col min="3335" max="3335" width="10" style="5" customWidth="1"/>
    <col min="3336" max="3336" width="6.5703125" style="5" customWidth="1"/>
    <col min="3337" max="3337" width="8.28515625" style="5" customWidth="1"/>
    <col min="3338" max="3338" width="9.5703125" style="5" customWidth="1"/>
    <col min="3339" max="3339" width="7.5703125" style="5" customWidth="1"/>
    <col min="3340" max="3340" width="8.140625" style="5" customWidth="1"/>
    <col min="3341" max="3341" width="9.5703125" style="5" customWidth="1"/>
    <col min="3342" max="3342" width="6.140625" style="5" customWidth="1"/>
    <col min="3343" max="3343" width="5.85546875" style="5" customWidth="1"/>
    <col min="3344" max="3344" width="6.85546875" style="5" customWidth="1"/>
    <col min="3345" max="3345" width="5.85546875" style="5" customWidth="1"/>
    <col min="3346" max="3346" width="6.85546875" style="5" customWidth="1"/>
    <col min="3347" max="3347" width="7" style="5" customWidth="1"/>
    <col min="3348" max="3348" width="9.140625" style="5" customWidth="1"/>
    <col min="3349" max="3350" width="5.85546875" style="5" customWidth="1"/>
    <col min="3351" max="3351" width="6.42578125" style="5" customWidth="1"/>
    <col min="3352" max="3352" width="16.42578125" style="5" customWidth="1"/>
    <col min="3353" max="3371" width="0" style="5" hidden="1" customWidth="1"/>
    <col min="3372" max="3372" width="50.28515625" style="5" customWidth="1"/>
    <col min="3373" max="3584" width="8.85546875" style="5"/>
    <col min="3585" max="3585" width="7.140625" style="5" customWidth="1"/>
    <col min="3586" max="3586" width="9.140625" style="5" customWidth="1"/>
    <col min="3587" max="3587" width="4.42578125" style="5" customWidth="1"/>
    <col min="3588" max="3588" width="17.5703125" style="5" customWidth="1"/>
    <col min="3589" max="3589" width="14.5703125" style="5" customWidth="1"/>
    <col min="3590" max="3590" width="11.5703125" style="5" customWidth="1"/>
    <col min="3591" max="3591" width="10" style="5" customWidth="1"/>
    <col min="3592" max="3592" width="6.5703125" style="5" customWidth="1"/>
    <col min="3593" max="3593" width="8.28515625" style="5" customWidth="1"/>
    <col min="3594" max="3594" width="9.5703125" style="5" customWidth="1"/>
    <col min="3595" max="3595" width="7.5703125" style="5" customWidth="1"/>
    <col min="3596" max="3596" width="8.140625" style="5" customWidth="1"/>
    <col min="3597" max="3597" width="9.5703125" style="5" customWidth="1"/>
    <col min="3598" max="3598" width="6.140625" style="5" customWidth="1"/>
    <col min="3599" max="3599" width="5.85546875" style="5" customWidth="1"/>
    <col min="3600" max="3600" width="6.85546875" style="5" customWidth="1"/>
    <col min="3601" max="3601" width="5.85546875" style="5" customWidth="1"/>
    <col min="3602" max="3602" width="6.85546875" style="5" customWidth="1"/>
    <col min="3603" max="3603" width="7" style="5" customWidth="1"/>
    <col min="3604" max="3604" width="9.140625" style="5" customWidth="1"/>
    <col min="3605" max="3606" width="5.85546875" style="5" customWidth="1"/>
    <col min="3607" max="3607" width="6.42578125" style="5" customWidth="1"/>
    <col min="3608" max="3608" width="16.42578125" style="5" customWidth="1"/>
    <col min="3609" max="3627" width="0" style="5" hidden="1" customWidth="1"/>
    <col min="3628" max="3628" width="50.28515625" style="5" customWidth="1"/>
    <col min="3629" max="3840" width="8.85546875" style="5"/>
    <col min="3841" max="3841" width="7.140625" style="5" customWidth="1"/>
    <col min="3842" max="3842" width="9.140625" style="5" customWidth="1"/>
    <col min="3843" max="3843" width="4.42578125" style="5" customWidth="1"/>
    <col min="3844" max="3844" width="17.5703125" style="5" customWidth="1"/>
    <col min="3845" max="3845" width="14.5703125" style="5" customWidth="1"/>
    <col min="3846" max="3846" width="11.5703125" style="5" customWidth="1"/>
    <col min="3847" max="3847" width="10" style="5" customWidth="1"/>
    <col min="3848" max="3848" width="6.5703125" style="5" customWidth="1"/>
    <col min="3849" max="3849" width="8.28515625" style="5" customWidth="1"/>
    <col min="3850" max="3850" width="9.5703125" style="5" customWidth="1"/>
    <col min="3851" max="3851" width="7.5703125" style="5" customWidth="1"/>
    <col min="3852" max="3852" width="8.140625" style="5" customWidth="1"/>
    <col min="3853" max="3853" width="9.5703125" style="5" customWidth="1"/>
    <col min="3854" max="3854" width="6.140625" style="5" customWidth="1"/>
    <col min="3855" max="3855" width="5.85546875" style="5" customWidth="1"/>
    <col min="3856" max="3856" width="6.85546875" style="5" customWidth="1"/>
    <col min="3857" max="3857" width="5.85546875" style="5" customWidth="1"/>
    <col min="3858" max="3858" width="6.85546875" style="5" customWidth="1"/>
    <col min="3859" max="3859" width="7" style="5" customWidth="1"/>
    <col min="3860" max="3860" width="9.140625" style="5" customWidth="1"/>
    <col min="3861" max="3862" width="5.85546875" style="5" customWidth="1"/>
    <col min="3863" max="3863" width="6.42578125" style="5" customWidth="1"/>
    <col min="3864" max="3864" width="16.42578125" style="5" customWidth="1"/>
    <col min="3865" max="3883" width="0" style="5" hidden="1" customWidth="1"/>
    <col min="3884" max="3884" width="50.28515625" style="5" customWidth="1"/>
    <col min="3885" max="4096" width="8.85546875" style="5"/>
    <col min="4097" max="4097" width="7.140625" style="5" customWidth="1"/>
    <col min="4098" max="4098" width="9.140625" style="5" customWidth="1"/>
    <col min="4099" max="4099" width="4.42578125" style="5" customWidth="1"/>
    <col min="4100" max="4100" width="17.5703125" style="5" customWidth="1"/>
    <col min="4101" max="4101" width="14.5703125" style="5" customWidth="1"/>
    <col min="4102" max="4102" width="11.5703125" style="5" customWidth="1"/>
    <col min="4103" max="4103" width="10" style="5" customWidth="1"/>
    <col min="4104" max="4104" width="6.5703125" style="5" customWidth="1"/>
    <col min="4105" max="4105" width="8.28515625" style="5" customWidth="1"/>
    <col min="4106" max="4106" width="9.5703125" style="5" customWidth="1"/>
    <col min="4107" max="4107" width="7.5703125" style="5" customWidth="1"/>
    <col min="4108" max="4108" width="8.140625" style="5" customWidth="1"/>
    <col min="4109" max="4109" width="9.5703125" style="5" customWidth="1"/>
    <col min="4110" max="4110" width="6.140625" style="5" customWidth="1"/>
    <col min="4111" max="4111" width="5.85546875" style="5" customWidth="1"/>
    <col min="4112" max="4112" width="6.85546875" style="5" customWidth="1"/>
    <col min="4113" max="4113" width="5.85546875" style="5" customWidth="1"/>
    <col min="4114" max="4114" width="6.85546875" style="5" customWidth="1"/>
    <col min="4115" max="4115" width="7" style="5" customWidth="1"/>
    <col min="4116" max="4116" width="9.140625" style="5" customWidth="1"/>
    <col min="4117" max="4118" width="5.85546875" style="5" customWidth="1"/>
    <col min="4119" max="4119" width="6.42578125" style="5" customWidth="1"/>
    <col min="4120" max="4120" width="16.42578125" style="5" customWidth="1"/>
    <col min="4121" max="4139" width="0" style="5" hidden="1" customWidth="1"/>
    <col min="4140" max="4140" width="50.28515625" style="5" customWidth="1"/>
    <col min="4141" max="4352" width="8.85546875" style="5"/>
    <col min="4353" max="4353" width="7.140625" style="5" customWidth="1"/>
    <col min="4354" max="4354" width="9.140625" style="5" customWidth="1"/>
    <col min="4355" max="4355" width="4.42578125" style="5" customWidth="1"/>
    <col min="4356" max="4356" width="17.5703125" style="5" customWidth="1"/>
    <col min="4357" max="4357" width="14.5703125" style="5" customWidth="1"/>
    <col min="4358" max="4358" width="11.5703125" style="5" customWidth="1"/>
    <col min="4359" max="4359" width="10" style="5" customWidth="1"/>
    <col min="4360" max="4360" width="6.5703125" style="5" customWidth="1"/>
    <col min="4361" max="4361" width="8.28515625" style="5" customWidth="1"/>
    <col min="4362" max="4362" width="9.5703125" style="5" customWidth="1"/>
    <col min="4363" max="4363" width="7.5703125" style="5" customWidth="1"/>
    <col min="4364" max="4364" width="8.140625" style="5" customWidth="1"/>
    <col min="4365" max="4365" width="9.5703125" style="5" customWidth="1"/>
    <col min="4366" max="4366" width="6.140625" style="5" customWidth="1"/>
    <col min="4367" max="4367" width="5.85546875" style="5" customWidth="1"/>
    <col min="4368" max="4368" width="6.85546875" style="5" customWidth="1"/>
    <col min="4369" max="4369" width="5.85546875" style="5" customWidth="1"/>
    <col min="4370" max="4370" width="6.85546875" style="5" customWidth="1"/>
    <col min="4371" max="4371" width="7" style="5" customWidth="1"/>
    <col min="4372" max="4372" width="9.140625" style="5" customWidth="1"/>
    <col min="4373" max="4374" width="5.85546875" style="5" customWidth="1"/>
    <col min="4375" max="4375" width="6.42578125" style="5" customWidth="1"/>
    <col min="4376" max="4376" width="16.42578125" style="5" customWidth="1"/>
    <col min="4377" max="4395" width="0" style="5" hidden="1" customWidth="1"/>
    <col min="4396" max="4396" width="50.28515625" style="5" customWidth="1"/>
    <col min="4397" max="4608" width="8.85546875" style="5"/>
    <col min="4609" max="4609" width="7.140625" style="5" customWidth="1"/>
    <col min="4610" max="4610" width="9.140625" style="5" customWidth="1"/>
    <col min="4611" max="4611" width="4.42578125" style="5" customWidth="1"/>
    <col min="4612" max="4612" width="17.5703125" style="5" customWidth="1"/>
    <col min="4613" max="4613" width="14.5703125" style="5" customWidth="1"/>
    <col min="4614" max="4614" width="11.5703125" style="5" customWidth="1"/>
    <col min="4615" max="4615" width="10" style="5" customWidth="1"/>
    <col min="4616" max="4616" width="6.5703125" style="5" customWidth="1"/>
    <col min="4617" max="4617" width="8.28515625" style="5" customWidth="1"/>
    <col min="4618" max="4618" width="9.5703125" style="5" customWidth="1"/>
    <col min="4619" max="4619" width="7.5703125" style="5" customWidth="1"/>
    <col min="4620" max="4620" width="8.140625" style="5" customWidth="1"/>
    <col min="4621" max="4621" width="9.5703125" style="5" customWidth="1"/>
    <col min="4622" max="4622" width="6.140625" style="5" customWidth="1"/>
    <col min="4623" max="4623" width="5.85546875" style="5" customWidth="1"/>
    <col min="4624" max="4624" width="6.85546875" style="5" customWidth="1"/>
    <col min="4625" max="4625" width="5.85546875" style="5" customWidth="1"/>
    <col min="4626" max="4626" width="6.85546875" style="5" customWidth="1"/>
    <col min="4627" max="4627" width="7" style="5" customWidth="1"/>
    <col min="4628" max="4628" width="9.140625" style="5" customWidth="1"/>
    <col min="4629" max="4630" width="5.85546875" style="5" customWidth="1"/>
    <col min="4631" max="4631" width="6.42578125" style="5" customWidth="1"/>
    <col min="4632" max="4632" width="16.42578125" style="5" customWidth="1"/>
    <col min="4633" max="4651" width="0" style="5" hidden="1" customWidth="1"/>
    <col min="4652" max="4652" width="50.28515625" style="5" customWidth="1"/>
    <col min="4653" max="4864" width="8.85546875" style="5"/>
    <col min="4865" max="4865" width="7.140625" style="5" customWidth="1"/>
    <col min="4866" max="4866" width="9.140625" style="5" customWidth="1"/>
    <col min="4867" max="4867" width="4.42578125" style="5" customWidth="1"/>
    <col min="4868" max="4868" width="17.5703125" style="5" customWidth="1"/>
    <col min="4869" max="4869" width="14.5703125" style="5" customWidth="1"/>
    <col min="4870" max="4870" width="11.5703125" style="5" customWidth="1"/>
    <col min="4871" max="4871" width="10" style="5" customWidth="1"/>
    <col min="4872" max="4872" width="6.5703125" style="5" customWidth="1"/>
    <col min="4873" max="4873" width="8.28515625" style="5" customWidth="1"/>
    <col min="4874" max="4874" width="9.5703125" style="5" customWidth="1"/>
    <col min="4875" max="4875" width="7.5703125" style="5" customWidth="1"/>
    <col min="4876" max="4876" width="8.140625" style="5" customWidth="1"/>
    <col min="4877" max="4877" width="9.5703125" style="5" customWidth="1"/>
    <col min="4878" max="4878" width="6.140625" style="5" customWidth="1"/>
    <col min="4879" max="4879" width="5.85546875" style="5" customWidth="1"/>
    <col min="4880" max="4880" width="6.85546875" style="5" customWidth="1"/>
    <col min="4881" max="4881" width="5.85546875" style="5" customWidth="1"/>
    <col min="4882" max="4882" width="6.85546875" style="5" customWidth="1"/>
    <col min="4883" max="4883" width="7" style="5" customWidth="1"/>
    <col min="4884" max="4884" width="9.140625" style="5" customWidth="1"/>
    <col min="4885" max="4886" width="5.85546875" style="5" customWidth="1"/>
    <col min="4887" max="4887" width="6.42578125" style="5" customWidth="1"/>
    <col min="4888" max="4888" width="16.42578125" style="5" customWidth="1"/>
    <col min="4889" max="4907" width="0" style="5" hidden="1" customWidth="1"/>
    <col min="4908" max="4908" width="50.28515625" style="5" customWidth="1"/>
    <col min="4909" max="5120" width="8.85546875" style="5"/>
    <col min="5121" max="5121" width="7.140625" style="5" customWidth="1"/>
    <col min="5122" max="5122" width="9.140625" style="5" customWidth="1"/>
    <col min="5123" max="5123" width="4.42578125" style="5" customWidth="1"/>
    <col min="5124" max="5124" width="17.5703125" style="5" customWidth="1"/>
    <col min="5125" max="5125" width="14.5703125" style="5" customWidth="1"/>
    <col min="5126" max="5126" width="11.5703125" style="5" customWidth="1"/>
    <col min="5127" max="5127" width="10" style="5" customWidth="1"/>
    <col min="5128" max="5128" width="6.5703125" style="5" customWidth="1"/>
    <col min="5129" max="5129" width="8.28515625" style="5" customWidth="1"/>
    <col min="5130" max="5130" width="9.5703125" style="5" customWidth="1"/>
    <col min="5131" max="5131" width="7.5703125" style="5" customWidth="1"/>
    <col min="5132" max="5132" width="8.140625" style="5" customWidth="1"/>
    <col min="5133" max="5133" width="9.5703125" style="5" customWidth="1"/>
    <col min="5134" max="5134" width="6.140625" style="5" customWidth="1"/>
    <col min="5135" max="5135" width="5.85546875" style="5" customWidth="1"/>
    <col min="5136" max="5136" width="6.85546875" style="5" customWidth="1"/>
    <col min="5137" max="5137" width="5.85546875" style="5" customWidth="1"/>
    <col min="5138" max="5138" width="6.85546875" style="5" customWidth="1"/>
    <col min="5139" max="5139" width="7" style="5" customWidth="1"/>
    <col min="5140" max="5140" width="9.140625" style="5" customWidth="1"/>
    <col min="5141" max="5142" width="5.85546875" style="5" customWidth="1"/>
    <col min="5143" max="5143" width="6.42578125" style="5" customWidth="1"/>
    <col min="5144" max="5144" width="16.42578125" style="5" customWidth="1"/>
    <col min="5145" max="5163" width="0" style="5" hidden="1" customWidth="1"/>
    <col min="5164" max="5164" width="50.28515625" style="5" customWidth="1"/>
    <col min="5165" max="5376" width="8.85546875" style="5"/>
    <col min="5377" max="5377" width="7.140625" style="5" customWidth="1"/>
    <col min="5378" max="5378" width="9.140625" style="5" customWidth="1"/>
    <col min="5379" max="5379" width="4.42578125" style="5" customWidth="1"/>
    <col min="5380" max="5380" width="17.5703125" style="5" customWidth="1"/>
    <col min="5381" max="5381" width="14.5703125" style="5" customWidth="1"/>
    <col min="5382" max="5382" width="11.5703125" style="5" customWidth="1"/>
    <col min="5383" max="5383" width="10" style="5" customWidth="1"/>
    <col min="5384" max="5384" width="6.5703125" style="5" customWidth="1"/>
    <col min="5385" max="5385" width="8.28515625" style="5" customWidth="1"/>
    <col min="5386" max="5386" width="9.5703125" style="5" customWidth="1"/>
    <col min="5387" max="5387" width="7.5703125" style="5" customWidth="1"/>
    <col min="5388" max="5388" width="8.140625" style="5" customWidth="1"/>
    <col min="5389" max="5389" width="9.5703125" style="5" customWidth="1"/>
    <col min="5390" max="5390" width="6.140625" style="5" customWidth="1"/>
    <col min="5391" max="5391" width="5.85546875" style="5" customWidth="1"/>
    <col min="5392" max="5392" width="6.85546875" style="5" customWidth="1"/>
    <col min="5393" max="5393" width="5.85546875" style="5" customWidth="1"/>
    <col min="5394" max="5394" width="6.85546875" style="5" customWidth="1"/>
    <col min="5395" max="5395" width="7" style="5" customWidth="1"/>
    <col min="5396" max="5396" width="9.140625" style="5" customWidth="1"/>
    <col min="5397" max="5398" width="5.85546875" style="5" customWidth="1"/>
    <col min="5399" max="5399" width="6.42578125" style="5" customWidth="1"/>
    <col min="5400" max="5400" width="16.42578125" style="5" customWidth="1"/>
    <col min="5401" max="5419" width="0" style="5" hidden="1" customWidth="1"/>
    <col min="5420" max="5420" width="50.28515625" style="5" customWidth="1"/>
    <col min="5421" max="5632" width="8.85546875" style="5"/>
    <col min="5633" max="5633" width="7.140625" style="5" customWidth="1"/>
    <col min="5634" max="5634" width="9.140625" style="5" customWidth="1"/>
    <col min="5635" max="5635" width="4.42578125" style="5" customWidth="1"/>
    <col min="5636" max="5636" width="17.5703125" style="5" customWidth="1"/>
    <col min="5637" max="5637" width="14.5703125" style="5" customWidth="1"/>
    <col min="5638" max="5638" width="11.5703125" style="5" customWidth="1"/>
    <col min="5639" max="5639" width="10" style="5" customWidth="1"/>
    <col min="5640" max="5640" width="6.5703125" style="5" customWidth="1"/>
    <col min="5641" max="5641" width="8.28515625" style="5" customWidth="1"/>
    <col min="5642" max="5642" width="9.5703125" style="5" customWidth="1"/>
    <col min="5643" max="5643" width="7.5703125" style="5" customWidth="1"/>
    <col min="5644" max="5644" width="8.140625" style="5" customWidth="1"/>
    <col min="5645" max="5645" width="9.5703125" style="5" customWidth="1"/>
    <col min="5646" max="5646" width="6.140625" style="5" customWidth="1"/>
    <col min="5647" max="5647" width="5.85546875" style="5" customWidth="1"/>
    <col min="5648" max="5648" width="6.85546875" style="5" customWidth="1"/>
    <col min="5649" max="5649" width="5.85546875" style="5" customWidth="1"/>
    <col min="5650" max="5650" width="6.85546875" style="5" customWidth="1"/>
    <col min="5651" max="5651" width="7" style="5" customWidth="1"/>
    <col min="5652" max="5652" width="9.140625" style="5" customWidth="1"/>
    <col min="5653" max="5654" width="5.85546875" style="5" customWidth="1"/>
    <col min="5655" max="5655" width="6.42578125" style="5" customWidth="1"/>
    <col min="5656" max="5656" width="16.42578125" style="5" customWidth="1"/>
    <col min="5657" max="5675" width="0" style="5" hidden="1" customWidth="1"/>
    <col min="5676" max="5676" width="50.28515625" style="5" customWidth="1"/>
    <col min="5677" max="5888" width="8.85546875" style="5"/>
    <col min="5889" max="5889" width="7.140625" style="5" customWidth="1"/>
    <col min="5890" max="5890" width="9.140625" style="5" customWidth="1"/>
    <col min="5891" max="5891" width="4.42578125" style="5" customWidth="1"/>
    <col min="5892" max="5892" width="17.5703125" style="5" customWidth="1"/>
    <col min="5893" max="5893" width="14.5703125" style="5" customWidth="1"/>
    <col min="5894" max="5894" width="11.5703125" style="5" customWidth="1"/>
    <col min="5895" max="5895" width="10" style="5" customWidth="1"/>
    <col min="5896" max="5896" width="6.5703125" style="5" customWidth="1"/>
    <col min="5897" max="5897" width="8.28515625" style="5" customWidth="1"/>
    <col min="5898" max="5898" width="9.5703125" style="5" customWidth="1"/>
    <col min="5899" max="5899" width="7.5703125" style="5" customWidth="1"/>
    <col min="5900" max="5900" width="8.140625" style="5" customWidth="1"/>
    <col min="5901" max="5901" width="9.5703125" style="5" customWidth="1"/>
    <col min="5902" max="5902" width="6.140625" style="5" customWidth="1"/>
    <col min="5903" max="5903" width="5.85546875" style="5" customWidth="1"/>
    <col min="5904" max="5904" width="6.85546875" style="5" customWidth="1"/>
    <col min="5905" max="5905" width="5.85546875" style="5" customWidth="1"/>
    <col min="5906" max="5906" width="6.85546875" style="5" customWidth="1"/>
    <col min="5907" max="5907" width="7" style="5" customWidth="1"/>
    <col min="5908" max="5908" width="9.140625" style="5" customWidth="1"/>
    <col min="5909" max="5910" width="5.85546875" style="5" customWidth="1"/>
    <col min="5911" max="5911" width="6.42578125" style="5" customWidth="1"/>
    <col min="5912" max="5912" width="16.42578125" style="5" customWidth="1"/>
    <col min="5913" max="5931" width="0" style="5" hidden="1" customWidth="1"/>
    <col min="5932" max="5932" width="50.28515625" style="5" customWidth="1"/>
    <col min="5933" max="6144" width="8.85546875" style="5"/>
    <col min="6145" max="6145" width="7.140625" style="5" customWidth="1"/>
    <col min="6146" max="6146" width="9.140625" style="5" customWidth="1"/>
    <col min="6147" max="6147" width="4.42578125" style="5" customWidth="1"/>
    <col min="6148" max="6148" width="17.5703125" style="5" customWidth="1"/>
    <col min="6149" max="6149" width="14.5703125" style="5" customWidth="1"/>
    <col min="6150" max="6150" width="11.5703125" style="5" customWidth="1"/>
    <col min="6151" max="6151" width="10" style="5" customWidth="1"/>
    <col min="6152" max="6152" width="6.5703125" style="5" customWidth="1"/>
    <col min="6153" max="6153" width="8.28515625" style="5" customWidth="1"/>
    <col min="6154" max="6154" width="9.5703125" style="5" customWidth="1"/>
    <col min="6155" max="6155" width="7.5703125" style="5" customWidth="1"/>
    <col min="6156" max="6156" width="8.140625" style="5" customWidth="1"/>
    <col min="6157" max="6157" width="9.5703125" style="5" customWidth="1"/>
    <col min="6158" max="6158" width="6.140625" style="5" customWidth="1"/>
    <col min="6159" max="6159" width="5.85546875" style="5" customWidth="1"/>
    <col min="6160" max="6160" width="6.85546875" style="5" customWidth="1"/>
    <col min="6161" max="6161" width="5.85546875" style="5" customWidth="1"/>
    <col min="6162" max="6162" width="6.85546875" style="5" customWidth="1"/>
    <col min="6163" max="6163" width="7" style="5" customWidth="1"/>
    <col min="6164" max="6164" width="9.140625" style="5" customWidth="1"/>
    <col min="6165" max="6166" width="5.85546875" style="5" customWidth="1"/>
    <col min="6167" max="6167" width="6.42578125" style="5" customWidth="1"/>
    <col min="6168" max="6168" width="16.42578125" style="5" customWidth="1"/>
    <col min="6169" max="6187" width="0" style="5" hidden="1" customWidth="1"/>
    <col min="6188" max="6188" width="50.28515625" style="5" customWidth="1"/>
    <col min="6189" max="6400" width="8.85546875" style="5"/>
    <col min="6401" max="6401" width="7.140625" style="5" customWidth="1"/>
    <col min="6402" max="6402" width="9.140625" style="5" customWidth="1"/>
    <col min="6403" max="6403" width="4.42578125" style="5" customWidth="1"/>
    <col min="6404" max="6404" width="17.5703125" style="5" customWidth="1"/>
    <col min="6405" max="6405" width="14.5703125" style="5" customWidth="1"/>
    <col min="6406" max="6406" width="11.5703125" style="5" customWidth="1"/>
    <col min="6407" max="6407" width="10" style="5" customWidth="1"/>
    <col min="6408" max="6408" width="6.5703125" style="5" customWidth="1"/>
    <col min="6409" max="6409" width="8.28515625" style="5" customWidth="1"/>
    <col min="6410" max="6410" width="9.5703125" style="5" customWidth="1"/>
    <col min="6411" max="6411" width="7.5703125" style="5" customWidth="1"/>
    <col min="6412" max="6412" width="8.140625" style="5" customWidth="1"/>
    <col min="6413" max="6413" width="9.5703125" style="5" customWidth="1"/>
    <col min="6414" max="6414" width="6.140625" style="5" customWidth="1"/>
    <col min="6415" max="6415" width="5.85546875" style="5" customWidth="1"/>
    <col min="6416" max="6416" width="6.85546875" style="5" customWidth="1"/>
    <col min="6417" max="6417" width="5.85546875" style="5" customWidth="1"/>
    <col min="6418" max="6418" width="6.85546875" style="5" customWidth="1"/>
    <col min="6419" max="6419" width="7" style="5" customWidth="1"/>
    <col min="6420" max="6420" width="9.140625" style="5" customWidth="1"/>
    <col min="6421" max="6422" width="5.85546875" style="5" customWidth="1"/>
    <col min="6423" max="6423" width="6.42578125" style="5" customWidth="1"/>
    <col min="6424" max="6424" width="16.42578125" style="5" customWidth="1"/>
    <col min="6425" max="6443" width="0" style="5" hidden="1" customWidth="1"/>
    <col min="6444" max="6444" width="50.28515625" style="5" customWidth="1"/>
    <col min="6445" max="6656" width="8.85546875" style="5"/>
    <col min="6657" max="6657" width="7.140625" style="5" customWidth="1"/>
    <col min="6658" max="6658" width="9.140625" style="5" customWidth="1"/>
    <col min="6659" max="6659" width="4.42578125" style="5" customWidth="1"/>
    <col min="6660" max="6660" width="17.5703125" style="5" customWidth="1"/>
    <col min="6661" max="6661" width="14.5703125" style="5" customWidth="1"/>
    <col min="6662" max="6662" width="11.5703125" style="5" customWidth="1"/>
    <col min="6663" max="6663" width="10" style="5" customWidth="1"/>
    <col min="6664" max="6664" width="6.5703125" style="5" customWidth="1"/>
    <col min="6665" max="6665" width="8.28515625" style="5" customWidth="1"/>
    <col min="6666" max="6666" width="9.5703125" style="5" customWidth="1"/>
    <col min="6667" max="6667" width="7.5703125" style="5" customWidth="1"/>
    <col min="6668" max="6668" width="8.140625" style="5" customWidth="1"/>
    <col min="6669" max="6669" width="9.5703125" style="5" customWidth="1"/>
    <col min="6670" max="6670" width="6.140625" style="5" customWidth="1"/>
    <col min="6671" max="6671" width="5.85546875" style="5" customWidth="1"/>
    <col min="6672" max="6672" width="6.85546875" style="5" customWidth="1"/>
    <col min="6673" max="6673" width="5.85546875" style="5" customWidth="1"/>
    <col min="6674" max="6674" width="6.85546875" style="5" customWidth="1"/>
    <col min="6675" max="6675" width="7" style="5" customWidth="1"/>
    <col min="6676" max="6676" width="9.140625" style="5" customWidth="1"/>
    <col min="6677" max="6678" width="5.85546875" style="5" customWidth="1"/>
    <col min="6679" max="6679" width="6.42578125" style="5" customWidth="1"/>
    <col min="6680" max="6680" width="16.42578125" style="5" customWidth="1"/>
    <col min="6681" max="6699" width="0" style="5" hidden="1" customWidth="1"/>
    <col min="6700" max="6700" width="50.28515625" style="5" customWidth="1"/>
    <col min="6701" max="6912" width="8.85546875" style="5"/>
    <col min="6913" max="6913" width="7.140625" style="5" customWidth="1"/>
    <col min="6914" max="6914" width="9.140625" style="5" customWidth="1"/>
    <col min="6915" max="6915" width="4.42578125" style="5" customWidth="1"/>
    <col min="6916" max="6916" width="17.5703125" style="5" customWidth="1"/>
    <col min="6917" max="6917" width="14.5703125" style="5" customWidth="1"/>
    <col min="6918" max="6918" width="11.5703125" style="5" customWidth="1"/>
    <col min="6919" max="6919" width="10" style="5" customWidth="1"/>
    <col min="6920" max="6920" width="6.5703125" style="5" customWidth="1"/>
    <col min="6921" max="6921" width="8.28515625" style="5" customWidth="1"/>
    <col min="6922" max="6922" width="9.5703125" style="5" customWidth="1"/>
    <col min="6923" max="6923" width="7.5703125" style="5" customWidth="1"/>
    <col min="6924" max="6924" width="8.140625" style="5" customWidth="1"/>
    <col min="6925" max="6925" width="9.5703125" style="5" customWidth="1"/>
    <col min="6926" max="6926" width="6.140625" style="5" customWidth="1"/>
    <col min="6927" max="6927" width="5.85546875" style="5" customWidth="1"/>
    <col min="6928" max="6928" width="6.85546875" style="5" customWidth="1"/>
    <col min="6929" max="6929" width="5.85546875" style="5" customWidth="1"/>
    <col min="6930" max="6930" width="6.85546875" style="5" customWidth="1"/>
    <col min="6931" max="6931" width="7" style="5" customWidth="1"/>
    <col min="6932" max="6932" width="9.140625" style="5" customWidth="1"/>
    <col min="6933" max="6934" width="5.85546875" style="5" customWidth="1"/>
    <col min="6935" max="6935" width="6.42578125" style="5" customWidth="1"/>
    <col min="6936" max="6936" width="16.42578125" style="5" customWidth="1"/>
    <col min="6937" max="6955" width="0" style="5" hidden="1" customWidth="1"/>
    <col min="6956" max="6956" width="50.28515625" style="5" customWidth="1"/>
    <col min="6957" max="7168" width="8.85546875" style="5"/>
    <col min="7169" max="7169" width="7.140625" style="5" customWidth="1"/>
    <col min="7170" max="7170" width="9.140625" style="5" customWidth="1"/>
    <col min="7171" max="7171" width="4.42578125" style="5" customWidth="1"/>
    <col min="7172" max="7172" width="17.5703125" style="5" customWidth="1"/>
    <col min="7173" max="7173" width="14.5703125" style="5" customWidth="1"/>
    <col min="7174" max="7174" width="11.5703125" style="5" customWidth="1"/>
    <col min="7175" max="7175" width="10" style="5" customWidth="1"/>
    <col min="7176" max="7176" width="6.5703125" style="5" customWidth="1"/>
    <col min="7177" max="7177" width="8.28515625" style="5" customWidth="1"/>
    <col min="7178" max="7178" width="9.5703125" style="5" customWidth="1"/>
    <col min="7179" max="7179" width="7.5703125" style="5" customWidth="1"/>
    <col min="7180" max="7180" width="8.140625" style="5" customWidth="1"/>
    <col min="7181" max="7181" width="9.5703125" style="5" customWidth="1"/>
    <col min="7182" max="7182" width="6.140625" style="5" customWidth="1"/>
    <col min="7183" max="7183" width="5.85546875" style="5" customWidth="1"/>
    <col min="7184" max="7184" width="6.85546875" style="5" customWidth="1"/>
    <col min="7185" max="7185" width="5.85546875" style="5" customWidth="1"/>
    <col min="7186" max="7186" width="6.85546875" style="5" customWidth="1"/>
    <col min="7187" max="7187" width="7" style="5" customWidth="1"/>
    <col min="7188" max="7188" width="9.140625" style="5" customWidth="1"/>
    <col min="7189" max="7190" width="5.85546875" style="5" customWidth="1"/>
    <col min="7191" max="7191" width="6.42578125" style="5" customWidth="1"/>
    <col min="7192" max="7192" width="16.42578125" style="5" customWidth="1"/>
    <col min="7193" max="7211" width="0" style="5" hidden="1" customWidth="1"/>
    <col min="7212" max="7212" width="50.28515625" style="5" customWidth="1"/>
    <col min="7213" max="7424" width="8.85546875" style="5"/>
    <col min="7425" max="7425" width="7.140625" style="5" customWidth="1"/>
    <col min="7426" max="7426" width="9.140625" style="5" customWidth="1"/>
    <col min="7427" max="7427" width="4.42578125" style="5" customWidth="1"/>
    <col min="7428" max="7428" width="17.5703125" style="5" customWidth="1"/>
    <col min="7429" max="7429" width="14.5703125" style="5" customWidth="1"/>
    <col min="7430" max="7430" width="11.5703125" style="5" customWidth="1"/>
    <col min="7431" max="7431" width="10" style="5" customWidth="1"/>
    <col min="7432" max="7432" width="6.5703125" style="5" customWidth="1"/>
    <col min="7433" max="7433" width="8.28515625" style="5" customWidth="1"/>
    <col min="7434" max="7434" width="9.5703125" style="5" customWidth="1"/>
    <col min="7435" max="7435" width="7.5703125" style="5" customWidth="1"/>
    <col min="7436" max="7436" width="8.140625" style="5" customWidth="1"/>
    <col min="7437" max="7437" width="9.5703125" style="5" customWidth="1"/>
    <col min="7438" max="7438" width="6.140625" style="5" customWidth="1"/>
    <col min="7439" max="7439" width="5.85546875" style="5" customWidth="1"/>
    <col min="7440" max="7440" width="6.85546875" style="5" customWidth="1"/>
    <col min="7441" max="7441" width="5.85546875" style="5" customWidth="1"/>
    <col min="7442" max="7442" width="6.85546875" style="5" customWidth="1"/>
    <col min="7443" max="7443" width="7" style="5" customWidth="1"/>
    <col min="7444" max="7444" width="9.140625" style="5" customWidth="1"/>
    <col min="7445" max="7446" width="5.85546875" style="5" customWidth="1"/>
    <col min="7447" max="7447" width="6.42578125" style="5" customWidth="1"/>
    <col min="7448" max="7448" width="16.42578125" style="5" customWidth="1"/>
    <col min="7449" max="7467" width="0" style="5" hidden="1" customWidth="1"/>
    <col min="7468" max="7468" width="50.28515625" style="5" customWidth="1"/>
    <col min="7469" max="7680" width="8.85546875" style="5"/>
    <col min="7681" max="7681" width="7.140625" style="5" customWidth="1"/>
    <col min="7682" max="7682" width="9.140625" style="5" customWidth="1"/>
    <col min="7683" max="7683" width="4.42578125" style="5" customWidth="1"/>
    <col min="7684" max="7684" width="17.5703125" style="5" customWidth="1"/>
    <col min="7685" max="7685" width="14.5703125" style="5" customWidth="1"/>
    <col min="7686" max="7686" width="11.5703125" style="5" customWidth="1"/>
    <col min="7687" max="7687" width="10" style="5" customWidth="1"/>
    <col min="7688" max="7688" width="6.5703125" style="5" customWidth="1"/>
    <col min="7689" max="7689" width="8.28515625" style="5" customWidth="1"/>
    <col min="7690" max="7690" width="9.5703125" style="5" customWidth="1"/>
    <col min="7691" max="7691" width="7.5703125" style="5" customWidth="1"/>
    <col min="7692" max="7692" width="8.140625" style="5" customWidth="1"/>
    <col min="7693" max="7693" width="9.5703125" style="5" customWidth="1"/>
    <col min="7694" max="7694" width="6.140625" style="5" customWidth="1"/>
    <col min="7695" max="7695" width="5.85546875" style="5" customWidth="1"/>
    <col min="7696" max="7696" width="6.85546875" style="5" customWidth="1"/>
    <col min="7697" max="7697" width="5.85546875" style="5" customWidth="1"/>
    <col min="7698" max="7698" width="6.85546875" style="5" customWidth="1"/>
    <col min="7699" max="7699" width="7" style="5" customWidth="1"/>
    <col min="7700" max="7700" width="9.140625" style="5" customWidth="1"/>
    <col min="7701" max="7702" width="5.85546875" style="5" customWidth="1"/>
    <col min="7703" max="7703" width="6.42578125" style="5" customWidth="1"/>
    <col min="7704" max="7704" width="16.42578125" style="5" customWidth="1"/>
    <col min="7705" max="7723" width="0" style="5" hidden="1" customWidth="1"/>
    <col min="7724" max="7724" width="50.28515625" style="5" customWidth="1"/>
    <col min="7725" max="7936" width="8.85546875" style="5"/>
    <col min="7937" max="7937" width="7.140625" style="5" customWidth="1"/>
    <col min="7938" max="7938" width="9.140625" style="5" customWidth="1"/>
    <col min="7939" max="7939" width="4.42578125" style="5" customWidth="1"/>
    <col min="7940" max="7940" width="17.5703125" style="5" customWidth="1"/>
    <col min="7941" max="7941" width="14.5703125" style="5" customWidth="1"/>
    <col min="7942" max="7942" width="11.5703125" style="5" customWidth="1"/>
    <col min="7943" max="7943" width="10" style="5" customWidth="1"/>
    <col min="7944" max="7944" width="6.5703125" style="5" customWidth="1"/>
    <col min="7945" max="7945" width="8.28515625" style="5" customWidth="1"/>
    <col min="7946" max="7946" width="9.5703125" style="5" customWidth="1"/>
    <col min="7947" max="7947" width="7.5703125" style="5" customWidth="1"/>
    <col min="7948" max="7948" width="8.140625" style="5" customWidth="1"/>
    <col min="7949" max="7949" width="9.5703125" style="5" customWidth="1"/>
    <col min="7950" max="7950" width="6.140625" style="5" customWidth="1"/>
    <col min="7951" max="7951" width="5.85546875" style="5" customWidth="1"/>
    <col min="7952" max="7952" width="6.85546875" style="5" customWidth="1"/>
    <col min="7953" max="7953" width="5.85546875" style="5" customWidth="1"/>
    <col min="7954" max="7954" width="6.85546875" style="5" customWidth="1"/>
    <col min="7955" max="7955" width="7" style="5" customWidth="1"/>
    <col min="7956" max="7956" width="9.140625" style="5" customWidth="1"/>
    <col min="7957" max="7958" width="5.85546875" style="5" customWidth="1"/>
    <col min="7959" max="7959" width="6.42578125" style="5" customWidth="1"/>
    <col min="7960" max="7960" width="16.42578125" style="5" customWidth="1"/>
    <col min="7961" max="7979" width="0" style="5" hidden="1" customWidth="1"/>
    <col min="7980" max="7980" width="50.28515625" style="5" customWidth="1"/>
    <col min="7981" max="8192" width="8.85546875" style="5"/>
    <col min="8193" max="8193" width="7.140625" style="5" customWidth="1"/>
    <col min="8194" max="8194" width="9.140625" style="5" customWidth="1"/>
    <col min="8195" max="8195" width="4.42578125" style="5" customWidth="1"/>
    <col min="8196" max="8196" width="17.5703125" style="5" customWidth="1"/>
    <col min="8197" max="8197" width="14.5703125" style="5" customWidth="1"/>
    <col min="8198" max="8198" width="11.5703125" style="5" customWidth="1"/>
    <col min="8199" max="8199" width="10" style="5" customWidth="1"/>
    <col min="8200" max="8200" width="6.5703125" style="5" customWidth="1"/>
    <col min="8201" max="8201" width="8.28515625" style="5" customWidth="1"/>
    <col min="8202" max="8202" width="9.5703125" style="5" customWidth="1"/>
    <col min="8203" max="8203" width="7.5703125" style="5" customWidth="1"/>
    <col min="8204" max="8204" width="8.140625" style="5" customWidth="1"/>
    <col min="8205" max="8205" width="9.5703125" style="5" customWidth="1"/>
    <col min="8206" max="8206" width="6.140625" style="5" customWidth="1"/>
    <col min="8207" max="8207" width="5.85546875" style="5" customWidth="1"/>
    <col min="8208" max="8208" width="6.85546875" style="5" customWidth="1"/>
    <col min="8209" max="8209" width="5.85546875" style="5" customWidth="1"/>
    <col min="8210" max="8210" width="6.85546875" style="5" customWidth="1"/>
    <col min="8211" max="8211" width="7" style="5" customWidth="1"/>
    <col min="8212" max="8212" width="9.140625" style="5" customWidth="1"/>
    <col min="8213" max="8214" width="5.85546875" style="5" customWidth="1"/>
    <col min="8215" max="8215" width="6.42578125" style="5" customWidth="1"/>
    <col min="8216" max="8216" width="16.42578125" style="5" customWidth="1"/>
    <col min="8217" max="8235" width="0" style="5" hidden="1" customWidth="1"/>
    <col min="8236" max="8236" width="50.28515625" style="5" customWidth="1"/>
    <col min="8237" max="8448" width="8.85546875" style="5"/>
    <col min="8449" max="8449" width="7.140625" style="5" customWidth="1"/>
    <col min="8450" max="8450" width="9.140625" style="5" customWidth="1"/>
    <col min="8451" max="8451" width="4.42578125" style="5" customWidth="1"/>
    <col min="8452" max="8452" width="17.5703125" style="5" customWidth="1"/>
    <col min="8453" max="8453" width="14.5703125" style="5" customWidth="1"/>
    <col min="8454" max="8454" width="11.5703125" style="5" customWidth="1"/>
    <col min="8455" max="8455" width="10" style="5" customWidth="1"/>
    <col min="8456" max="8456" width="6.5703125" style="5" customWidth="1"/>
    <col min="8457" max="8457" width="8.28515625" style="5" customWidth="1"/>
    <col min="8458" max="8458" width="9.5703125" style="5" customWidth="1"/>
    <col min="8459" max="8459" width="7.5703125" style="5" customWidth="1"/>
    <col min="8460" max="8460" width="8.140625" style="5" customWidth="1"/>
    <col min="8461" max="8461" width="9.5703125" style="5" customWidth="1"/>
    <col min="8462" max="8462" width="6.140625" style="5" customWidth="1"/>
    <col min="8463" max="8463" width="5.85546875" style="5" customWidth="1"/>
    <col min="8464" max="8464" width="6.85546875" style="5" customWidth="1"/>
    <col min="8465" max="8465" width="5.85546875" style="5" customWidth="1"/>
    <col min="8466" max="8466" width="6.85546875" style="5" customWidth="1"/>
    <col min="8467" max="8467" width="7" style="5" customWidth="1"/>
    <col min="8468" max="8468" width="9.140625" style="5" customWidth="1"/>
    <col min="8469" max="8470" width="5.85546875" style="5" customWidth="1"/>
    <col min="8471" max="8471" width="6.42578125" style="5" customWidth="1"/>
    <col min="8472" max="8472" width="16.42578125" style="5" customWidth="1"/>
    <col min="8473" max="8491" width="0" style="5" hidden="1" customWidth="1"/>
    <col min="8492" max="8492" width="50.28515625" style="5" customWidth="1"/>
    <col min="8493" max="8704" width="8.85546875" style="5"/>
    <col min="8705" max="8705" width="7.140625" style="5" customWidth="1"/>
    <col min="8706" max="8706" width="9.140625" style="5" customWidth="1"/>
    <col min="8707" max="8707" width="4.42578125" style="5" customWidth="1"/>
    <col min="8708" max="8708" width="17.5703125" style="5" customWidth="1"/>
    <col min="8709" max="8709" width="14.5703125" style="5" customWidth="1"/>
    <col min="8710" max="8710" width="11.5703125" style="5" customWidth="1"/>
    <col min="8711" max="8711" width="10" style="5" customWidth="1"/>
    <col min="8712" max="8712" width="6.5703125" style="5" customWidth="1"/>
    <col min="8713" max="8713" width="8.28515625" style="5" customWidth="1"/>
    <col min="8714" max="8714" width="9.5703125" style="5" customWidth="1"/>
    <col min="8715" max="8715" width="7.5703125" style="5" customWidth="1"/>
    <col min="8716" max="8716" width="8.140625" style="5" customWidth="1"/>
    <col min="8717" max="8717" width="9.5703125" style="5" customWidth="1"/>
    <col min="8718" max="8718" width="6.140625" style="5" customWidth="1"/>
    <col min="8719" max="8719" width="5.85546875" style="5" customWidth="1"/>
    <col min="8720" max="8720" width="6.85546875" style="5" customWidth="1"/>
    <col min="8721" max="8721" width="5.85546875" style="5" customWidth="1"/>
    <col min="8722" max="8722" width="6.85546875" style="5" customWidth="1"/>
    <col min="8723" max="8723" width="7" style="5" customWidth="1"/>
    <col min="8724" max="8724" width="9.140625" style="5" customWidth="1"/>
    <col min="8725" max="8726" width="5.85546875" style="5" customWidth="1"/>
    <col min="8727" max="8727" width="6.42578125" style="5" customWidth="1"/>
    <col min="8728" max="8728" width="16.42578125" style="5" customWidth="1"/>
    <col min="8729" max="8747" width="0" style="5" hidden="1" customWidth="1"/>
    <col min="8748" max="8748" width="50.28515625" style="5" customWidth="1"/>
    <col min="8749" max="8960" width="8.85546875" style="5"/>
    <col min="8961" max="8961" width="7.140625" style="5" customWidth="1"/>
    <col min="8962" max="8962" width="9.140625" style="5" customWidth="1"/>
    <col min="8963" max="8963" width="4.42578125" style="5" customWidth="1"/>
    <col min="8964" max="8964" width="17.5703125" style="5" customWidth="1"/>
    <col min="8965" max="8965" width="14.5703125" style="5" customWidth="1"/>
    <col min="8966" max="8966" width="11.5703125" style="5" customWidth="1"/>
    <col min="8967" max="8967" width="10" style="5" customWidth="1"/>
    <col min="8968" max="8968" width="6.5703125" style="5" customWidth="1"/>
    <col min="8969" max="8969" width="8.28515625" style="5" customWidth="1"/>
    <col min="8970" max="8970" width="9.5703125" style="5" customWidth="1"/>
    <col min="8971" max="8971" width="7.5703125" style="5" customWidth="1"/>
    <col min="8972" max="8972" width="8.140625" style="5" customWidth="1"/>
    <col min="8973" max="8973" width="9.5703125" style="5" customWidth="1"/>
    <col min="8974" max="8974" width="6.140625" style="5" customWidth="1"/>
    <col min="8975" max="8975" width="5.85546875" style="5" customWidth="1"/>
    <col min="8976" max="8976" width="6.85546875" style="5" customWidth="1"/>
    <col min="8977" max="8977" width="5.85546875" style="5" customWidth="1"/>
    <col min="8978" max="8978" width="6.85546875" style="5" customWidth="1"/>
    <col min="8979" max="8979" width="7" style="5" customWidth="1"/>
    <col min="8980" max="8980" width="9.140625" style="5" customWidth="1"/>
    <col min="8981" max="8982" width="5.85546875" style="5" customWidth="1"/>
    <col min="8983" max="8983" width="6.42578125" style="5" customWidth="1"/>
    <col min="8984" max="8984" width="16.42578125" style="5" customWidth="1"/>
    <col min="8985" max="9003" width="0" style="5" hidden="1" customWidth="1"/>
    <col min="9004" max="9004" width="50.28515625" style="5" customWidth="1"/>
    <col min="9005" max="9216" width="8.85546875" style="5"/>
    <col min="9217" max="9217" width="7.140625" style="5" customWidth="1"/>
    <col min="9218" max="9218" width="9.140625" style="5" customWidth="1"/>
    <col min="9219" max="9219" width="4.42578125" style="5" customWidth="1"/>
    <col min="9220" max="9220" width="17.5703125" style="5" customWidth="1"/>
    <col min="9221" max="9221" width="14.5703125" style="5" customWidth="1"/>
    <col min="9222" max="9222" width="11.5703125" style="5" customWidth="1"/>
    <col min="9223" max="9223" width="10" style="5" customWidth="1"/>
    <col min="9224" max="9224" width="6.5703125" style="5" customWidth="1"/>
    <col min="9225" max="9225" width="8.28515625" style="5" customWidth="1"/>
    <col min="9226" max="9226" width="9.5703125" style="5" customWidth="1"/>
    <col min="9227" max="9227" width="7.5703125" style="5" customWidth="1"/>
    <col min="9228" max="9228" width="8.140625" style="5" customWidth="1"/>
    <col min="9229" max="9229" width="9.5703125" style="5" customWidth="1"/>
    <col min="9230" max="9230" width="6.140625" style="5" customWidth="1"/>
    <col min="9231" max="9231" width="5.85546875" style="5" customWidth="1"/>
    <col min="9232" max="9232" width="6.85546875" style="5" customWidth="1"/>
    <col min="9233" max="9233" width="5.85546875" style="5" customWidth="1"/>
    <col min="9234" max="9234" width="6.85546875" style="5" customWidth="1"/>
    <col min="9235" max="9235" width="7" style="5" customWidth="1"/>
    <col min="9236" max="9236" width="9.140625" style="5" customWidth="1"/>
    <col min="9237" max="9238" width="5.85546875" style="5" customWidth="1"/>
    <col min="9239" max="9239" width="6.42578125" style="5" customWidth="1"/>
    <col min="9240" max="9240" width="16.42578125" style="5" customWidth="1"/>
    <col min="9241" max="9259" width="0" style="5" hidden="1" customWidth="1"/>
    <col min="9260" max="9260" width="50.28515625" style="5" customWidth="1"/>
    <col min="9261" max="9472" width="8.85546875" style="5"/>
    <col min="9473" max="9473" width="7.140625" style="5" customWidth="1"/>
    <col min="9474" max="9474" width="9.140625" style="5" customWidth="1"/>
    <col min="9475" max="9475" width="4.42578125" style="5" customWidth="1"/>
    <col min="9476" max="9476" width="17.5703125" style="5" customWidth="1"/>
    <col min="9477" max="9477" width="14.5703125" style="5" customWidth="1"/>
    <col min="9478" max="9478" width="11.5703125" style="5" customWidth="1"/>
    <col min="9479" max="9479" width="10" style="5" customWidth="1"/>
    <col min="9480" max="9480" width="6.5703125" style="5" customWidth="1"/>
    <col min="9481" max="9481" width="8.28515625" style="5" customWidth="1"/>
    <col min="9482" max="9482" width="9.5703125" style="5" customWidth="1"/>
    <col min="9483" max="9483" width="7.5703125" style="5" customWidth="1"/>
    <col min="9484" max="9484" width="8.140625" style="5" customWidth="1"/>
    <col min="9485" max="9485" width="9.5703125" style="5" customWidth="1"/>
    <col min="9486" max="9486" width="6.140625" style="5" customWidth="1"/>
    <col min="9487" max="9487" width="5.85546875" style="5" customWidth="1"/>
    <col min="9488" max="9488" width="6.85546875" style="5" customWidth="1"/>
    <col min="9489" max="9489" width="5.85546875" style="5" customWidth="1"/>
    <col min="9490" max="9490" width="6.85546875" style="5" customWidth="1"/>
    <col min="9491" max="9491" width="7" style="5" customWidth="1"/>
    <col min="9492" max="9492" width="9.140625" style="5" customWidth="1"/>
    <col min="9493" max="9494" width="5.85546875" style="5" customWidth="1"/>
    <col min="9495" max="9495" width="6.42578125" style="5" customWidth="1"/>
    <col min="9496" max="9496" width="16.42578125" style="5" customWidth="1"/>
    <col min="9497" max="9515" width="0" style="5" hidden="1" customWidth="1"/>
    <col min="9516" max="9516" width="50.28515625" style="5" customWidth="1"/>
    <col min="9517" max="9728" width="8.85546875" style="5"/>
    <col min="9729" max="9729" width="7.140625" style="5" customWidth="1"/>
    <col min="9730" max="9730" width="9.140625" style="5" customWidth="1"/>
    <col min="9731" max="9731" width="4.42578125" style="5" customWidth="1"/>
    <col min="9732" max="9732" width="17.5703125" style="5" customWidth="1"/>
    <col min="9733" max="9733" width="14.5703125" style="5" customWidth="1"/>
    <col min="9734" max="9734" width="11.5703125" style="5" customWidth="1"/>
    <col min="9735" max="9735" width="10" style="5" customWidth="1"/>
    <col min="9736" max="9736" width="6.5703125" style="5" customWidth="1"/>
    <col min="9737" max="9737" width="8.28515625" style="5" customWidth="1"/>
    <col min="9738" max="9738" width="9.5703125" style="5" customWidth="1"/>
    <col min="9739" max="9739" width="7.5703125" style="5" customWidth="1"/>
    <col min="9740" max="9740" width="8.140625" style="5" customWidth="1"/>
    <col min="9741" max="9741" width="9.5703125" style="5" customWidth="1"/>
    <col min="9742" max="9742" width="6.140625" style="5" customWidth="1"/>
    <col min="9743" max="9743" width="5.85546875" style="5" customWidth="1"/>
    <col min="9744" max="9744" width="6.85546875" style="5" customWidth="1"/>
    <col min="9745" max="9745" width="5.85546875" style="5" customWidth="1"/>
    <col min="9746" max="9746" width="6.85546875" style="5" customWidth="1"/>
    <col min="9747" max="9747" width="7" style="5" customWidth="1"/>
    <col min="9748" max="9748" width="9.140625" style="5" customWidth="1"/>
    <col min="9749" max="9750" width="5.85546875" style="5" customWidth="1"/>
    <col min="9751" max="9751" width="6.42578125" style="5" customWidth="1"/>
    <col min="9752" max="9752" width="16.42578125" style="5" customWidth="1"/>
    <col min="9753" max="9771" width="0" style="5" hidden="1" customWidth="1"/>
    <col min="9772" max="9772" width="50.28515625" style="5" customWidth="1"/>
    <col min="9773" max="9984" width="8.85546875" style="5"/>
    <col min="9985" max="9985" width="7.140625" style="5" customWidth="1"/>
    <col min="9986" max="9986" width="9.140625" style="5" customWidth="1"/>
    <col min="9987" max="9987" width="4.42578125" style="5" customWidth="1"/>
    <col min="9988" max="9988" width="17.5703125" style="5" customWidth="1"/>
    <col min="9989" max="9989" width="14.5703125" style="5" customWidth="1"/>
    <col min="9990" max="9990" width="11.5703125" style="5" customWidth="1"/>
    <col min="9991" max="9991" width="10" style="5" customWidth="1"/>
    <col min="9992" max="9992" width="6.5703125" style="5" customWidth="1"/>
    <col min="9993" max="9993" width="8.28515625" style="5" customWidth="1"/>
    <col min="9994" max="9994" width="9.5703125" style="5" customWidth="1"/>
    <col min="9995" max="9995" width="7.5703125" style="5" customWidth="1"/>
    <col min="9996" max="9996" width="8.140625" style="5" customWidth="1"/>
    <col min="9997" max="9997" width="9.5703125" style="5" customWidth="1"/>
    <col min="9998" max="9998" width="6.140625" style="5" customWidth="1"/>
    <col min="9999" max="9999" width="5.85546875" style="5" customWidth="1"/>
    <col min="10000" max="10000" width="6.85546875" style="5" customWidth="1"/>
    <col min="10001" max="10001" width="5.85546875" style="5" customWidth="1"/>
    <col min="10002" max="10002" width="6.85546875" style="5" customWidth="1"/>
    <col min="10003" max="10003" width="7" style="5" customWidth="1"/>
    <col min="10004" max="10004" width="9.140625" style="5" customWidth="1"/>
    <col min="10005" max="10006" width="5.85546875" style="5" customWidth="1"/>
    <col min="10007" max="10007" width="6.42578125" style="5" customWidth="1"/>
    <col min="10008" max="10008" width="16.42578125" style="5" customWidth="1"/>
    <col min="10009" max="10027" width="0" style="5" hidden="1" customWidth="1"/>
    <col min="10028" max="10028" width="50.28515625" style="5" customWidth="1"/>
    <col min="10029" max="10240" width="8.85546875" style="5"/>
    <col min="10241" max="10241" width="7.140625" style="5" customWidth="1"/>
    <col min="10242" max="10242" width="9.140625" style="5" customWidth="1"/>
    <col min="10243" max="10243" width="4.42578125" style="5" customWidth="1"/>
    <col min="10244" max="10244" width="17.5703125" style="5" customWidth="1"/>
    <col min="10245" max="10245" width="14.5703125" style="5" customWidth="1"/>
    <col min="10246" max="10246" width="11.5703125" style="5" customWidth="1"/>
    <col min="10247" max="10247" width="10" style="5" customWidth="1"/>
    <col min="10248" max="10248" width="6.5703125" style="5" customWidth="1"/>
    <col min="10249" max="10249" width="8.28515625" style="5" customWidth="1"/>
    <col min="10250" max="10250" width="9.5703125" style="5" customWidth="1"/>
    <col min="10251" max="10251" width="7.5703125" style="5" customWidth="1"/>
    <col min="10252" max="10252" width="8.140625" style="5" customWidth="1"/>
    <col min="10253" max="10253" width="9.5703125" style="5" customWidth="1"/>
    <col min="10254" max="10254" width="6.140625" style="5" customWidth="1"/>
    <col min="10255" max="10255" width="5.85546875" style="5" customWidth="1"/>
    <col min="10256" max="10256" width="6.85546875" style="5" customWidth="1"/>
    <col min="10257" max="10257" width="5.85546875" style="5" customWidth="1"/>
    <col min="10258" max="10258" width="6.85546875" style="5" customWidth="1"/>
    <col min="10259" max="10259" width="7" style="5" customWidth="1"/>
    <col min="10260" max="10260" width="9.140625" style="5" customWidth="1"/>
    <col min="10261" max="10262" width="5.85546875" style="5" customWidth="1"/>
    <col min="10263" max="10263" width="6.42578125" style="5" customWidth="1"/>
    <col min="10264" max="10264" width="16.42578125" style="5" customWidth="1"/>
    <col min="10265" max="10283" width="0" style="5" hidden="1" customWidth="1"/>
    <col min="10284" max="10284" width="50.28515625" style="5" customWidth="1"/>
    <col min="10285" max="10496" width="8.85546875" style="5"/>
    <col min="10497" max="10497" width="7.140625" style="5" customWidth="1"/>
    <col min="10498" max="10498" width="9.140625" style="5" customWidth="1"/>
    <col min="10499" max="10499" width="4.42578125" style="5" customWidth="1"/>
    <col min="10500" max="10500" width="17.5703125" style="5" customWidth="1"/>
    <col min="10501" max="10501" width="14.5703125" style="5" customWidth="1"/>
    <col min="10502" max="10502" width="11.5703125" style="5" customWidth="1"/>
    <col min="10503" max="10503" width="10" style="5" customWidth="1"/>
    <col min="10504" max="10504" width="6.5703125" style="5" customWidth="1"/>
    <col min="10505" max="10505" width="8.28515625" style="5" customWidth="1"/>
    <col min="10506" max="10506" width="9.5703125" style="5" customWidth="1"/>
    <col min="10507" max="10507" width="7.5703125" style="5" customWidth="1"/>
    <col min="10508" max="10508" width="8.140625" style="5" customWidth="1"/>
    <col min="10509" max="10509" width="9.5703125" style="5" customWidth="1"/>
    <col min="10510" max="10510" width="6.140625" style="5" customWidth="1"/>
    <col min="10511" max="10511" width="5.85546875" style="5" customWidth="1"/>
    <col min="10512" max="10512" width="6.85546875" style="5" customWidth="1"/>
    <col min="10513" max="10513" width="5.85546875" style="5" customWidth="1"/>
    <col min="10514" max="10514" width="6.85546875" style="5" customWidth="1"/>
    <col min="10515" max="10515" width="7" style="5" customWidth="1"/>
    <col min="10516" max="10516" width="9.140625" style="5" customWidth="1"/>
    <col min="10517" max="10518" width="5.85546875" style="5" customWidth="1"/>
    <col min="10519" max="10519" width="6.42578125" style="5" customWidth="1"/>
    <col min="10520" max="10520" width="16.42578125" style="5" customWidth="1"/>
    <col min="10521" max="10539" width="0" style="5" hidden="1" customWidth="1"/>
    <col min="10540" max="10540" width="50.28515625" style="5" customWidth="1"/>
    <col min="10541" max="10752" width="8.85546875" style="5"/>
    <col min="10753" max="10753" width="7.140625" style="5" customWidth="1"/>
    <col min="10754" max="10754" width="9.140625" style="5" customWidth="1"/>
    <col min="10755" max="10755" width="4.42578125" style="5" customWidth="1"/>
    <col min="10756" max="10756" width="17.5703125" style="5" customWidth="1"/>
    <col min="10757" max="10757" width="14.5703125" style="5" customWidth="1"/>
    <col min="10758" max="10758" width="11.5703125" style="5" customWidth="1"/>
    <col min="10759" max="10759" width="10" style="5" customWidth="1"/>
    <col min="10760" max="10760" width="6.5703125" style="5" customWidth="1"/>
    <col min="10761" max="10761" width="8.28515625" style="5" customWidth="1"/>
    <col min="10762" max="10762" width="9.5703125" style="5" customWidth="1"/>
    <col min="10763" max="10763" width="7.5703125" style="5" customWidth="1"/>
    <col min="10764" max="10764" width="8.140625" style="5" customWidth="1"/>
    <col min="10765" max="10765" width="9.5703125" style="5" customWidth="1"/>
    <col min="10766" max="10766" width="6.140625" style="5" customWidth="1"/>
    <col min="10767" max="10767" width="5.85546875" style="5" customWidth="1"/>
    <col min="10768" max="10768" width="6.85546875" style="5" customWidth="1"/>
    <col min="10769" max="10769" width="5.85546875" style="5" customWidth="1"/>
    <col min="10770" max="10770" width="6.85546875" style="5" customWidth="1"/>
    <col min="10771" max="10771" width="7" style="5" customWidth="1"/>
    <col min="10772" max="10772" width="9.140625" style="5" customWidth="1"/>
    <col min="10773" max="10774" width="5.85546875" style="5" customWidth="1"/>
    <col min="10775" max="10775" width="6.42578125" style="5" customWidth="1"/>
    <col min="10776" max="10776" width="16.42578125" style="5" customWidth="1"/>
    <col min="10777" max="10795" width="0" style="5" hidden="1" customWidth="1"/>
    <col min="10796" max="10796" width="50.28515625" style="5" customWidth="1"/>
    <col min="10797" max="11008" width="8.85546875" style="5"/>
    <col min="11009" max="11009" width="7.140625" style="5" customWidth="1"/>
    <col min="11010" max="11010" width="9.140625" style="5" customWidth="1"/>
    <col min="11011" max="11011" width="4.42578125" style="5" customWidth="1"/>
    <col min="11012" max="11012" width="17.5703125" style="5" customWidth="1"/>
    <col min="11013" max="11013" width="14.5703125" style="5" customWidth="1"/>
    <col min="11014" max="11014" width="11.5703125" style="5" customWidth="1"/>
    <col min="11015" max="11015" width="10" style="5" customWidth="1"/>
    <col min="11016" max="11016" width="6.5703125" style="5" customWidth="1"/>
    <col min="11017" max="11017" width="8.28515625" style="5" customWidth="1"/>
    <col min="11018" max="11018" width="9.5703125" style="5" customWidth="1"/>
    <col min="11019" max="11019" width="7.5703125" style="5" customWidth="1"/>
    <col min="11020" max="11020" width="8.140625" style="5" customWidth="1"/>
    <col min="11021" max="11021" width="9.5703125" style="5" customWidth="1"/>
    <col min="11022" max="11022" width="6.140625" style="5" customWidth="1"/>
    <col min="11023" max="11023" width="5.85546875" style="5" customWidth="1"/>
    <col min="11024" max="11024" width="6.85546875" style="5" customWidth="1"/>
    <col min="11025" max="11025" width="5.85546875" style="5" customWidth="1"/>
    <col min="11026" max="11026" width="6.85546875" style="5" customWidth="1"/>
    <col min="11027" max="11027" width="7" style="5" customWidth="1"/>
    <col min="11028" max="11028" width="9.140625" style="5" customWidth="1"/>
    <col min="11029" max="11030" width="5.85546875" style="5" customWidth="1"/>
    <col min="11031" max="11031" width="6.42578125" style="5" customWidth="1"/>
    <col min="11032" max="11032" width="16.42578125" style="5" customWidth="1"/>
    <col min="11033" max="11051" width="0" style="5" hidden="1" customWidth="1"/>
    <col min="11052" max="11052" width="50.28515625" style="5" customWidth="1"/>
    <col min="11053" max="11264" width="8.85546875" style="5"/>
    <col min="11265" max="11265" width="7.140625" style="5" customWidth="1"/>
    <col min="11266" max="11266" width="9.140625" style="5" customWidth="1"/>
    <col min="11267" max="11267" width="4.42578125" style="5" customWidth="1"/>
    <col min="11268" max="11268" width="17.5703125" style="5" customWidth="1"/>
    <col min="11269" max="11269" width="14.5703125" style="5" customWidth="1"/>
    <col min="11270" max="11270" width="11.5703125" style="5" customWidth="1"/>
    <col min="11271" max="11271" width="10" style="5" customWidth="1"/>
    <col min="11272" max="11272" width="6.5703125" style="5" customWidth="1"/>
    <col min="11273" max="11273" width="8.28515625" style="5" customWidth="1"/>
    <col min="11274" max="11274" width="9.5703125" style="5" customWidth="1"/>
    <col min="11275" max="11275" width="7.5703125" style="5" customWidth="1"/>
    <col min="11276" max="11276" width="8.140625" style="5" customWidth="1"/>
    <col min="11277" max="11277" width="9.5703125" style="5" customWidth="1"/>
    <col min="11278" max="11278" width="6.140625" style="5" customWidth="1"/>
    <col min="11279" max="11279" width="5.85546875" style="5" customWidth="1"/>
    <col min="11280" max="11280" width="6.85546875" style="5" customWidth="1"/>
    <col min="11281" max="11281" width="5.85546875" style="5" customWidth="1"/>
    <col min="11282" max="11282" width="6.85546875" style="5" customWidth="1"/>
    <col min="11283" max="11283" width="7" style="5" customWidth="1"/>
    <col min="11284" max="11284" width="9.140625" style="5" customWidth="1"/>
    <col min="11285" max="11286" width="5.85546875" style="5" customWidth="1"/>
    <col min="11287" max="11287" width="6.42578125" style="5" customWidth="1"/>
    <col min="11288" max="11288" width="16.42578125" style="5" customWidth="1"/>
    <col min="11289" max="11307" width="0" style="5" hidden="1" customWidth="1"/>
    <col min="11308" max="11308" width="50.28515625" style="5" customWidth="1"/>
    <col min="11309" max="11520" width="8.85546875" style="5"/>
    <col min="11521" max="11521" width="7.140625" style="5" customWidth="1"/>
    <col min="11522" max="11522" width="9.140625" style="5" customWidth="1"/>
    <col min="11523" max="11523" width="4.42578125" style="5" customWidth="1"/>
    <col min="11524" max="11524" width="17.5703125" style="5" customWidth="1"/>
    <col min="11525" max="11525" width="14.5703125" style="5" customWidth="1"/>
    <col min="11526" max="11526" width="11.5703125" style="5" customWidth="1"/>
    <col min="11527" max="11527" width="10" style="5" customWidth="1"/>
    <col min="11528" max="11528" width="6.5703125" style="5" customWidth="1"/>
    <col min="11529" max="11529" width="8.28515625" style="5" customWidth="1"/>
    <col min="11530" max="11530" width="9.5703125" style="5" customWidth="1"/>
    <col min="11531" max="11531" width="7.5703125" style="5" customWidth="1"/>
    <col min="11532" max="11532" width="8.140625" style="5" customWidth="1"/>
    <col min="11533" max="11533" width="9.5703125" style="5" customWidth="1"/>
    <col min="11534" max="11534" width="6.140625" style="5" customWidth="1"/>
    <col min="11535" max="11535" width="5.85546875" style="5" customWidth="1"/>
    <col min="11536" max="11536" width="6.85546875" style="5" customWidth="1"/>
    <col min="11537" max="11537" width="5.85546875" style="5" customWidth="1"/>
    <col min="11538" max="11538" width="6.85546875" style="5" customWidth="1"/>
    <col min="11539" max="11539" width="7" style="5" customWidth="1"/>
    <col min="11540" max="11540" width="9.140625" style="5" customWidth="1"/>
    <col min="11541" max="11542" width="5.85546875" style="5" customWidth="1"/>
    <col min="11543" max="11543" width="6.42578125" style="5" customWidth="1"/>
    <col min="11544" max="11544" width="16.42578125" style="5" customWidth="1"/>
    <col min="11545" max="11563" width="0" style="5" hidden="1" customWidth="1"/>
    <col min="11564" max="11564" width="50.28515625" style="5" customWidth="1"/>
    <col min="11565" max="11776" width="8.85546875" style="5"/>
    <col min="11777" max="11777" width="7.140625" style="5" customWidth="1"/>
    <col min="11778" max="11778" width="9.140625" style="5" customWidth="1"/>
    <col min="11779" max="11779" width="4.42578125" style="5" customWidth="1"/>
    <col min="11780" max="11780" width="17.5703125" style="5" customWidth="1"/>
    <col min="11781" max="11781" width="14.5703125" style="5" customWidth="1"/>
    <col min="11782" max="11782" width="11.5703125" style="5" customWidth="1"/>
    <col min="11783" max="11783" width="10" style="5" customWidth="1"/>
    <col min="11784" max="11784" width="6.5703125" style="5" customWidth="1"/>
    <col min="11785" max="11785" width="8.28515625" style="5" customWidth="1"/>
    <col min="11786" max="11786" width="9.5703125" style="5" customWidth="1"/>
    <col min="11787" max="11787" width="7.5703125" style="5" customWidth="1"/>
    <col min="11788" max="11788" width="8.140625" style="5" customWidth="1"/>
    <col min="11789" max="11789" width="9.5703125" style="5" customWidth="1"/>
    <col min="11790" max="11790" width="6.140625" style="5" customWidth="1"/>
    <col min="11791" max="11791" width="5.85546875" style="5" customWidth="1"/>
    <col min="11792" max="11792" width="6.85546875" style="5" customWidth="1"/>
    <col min="11793" max="11793" width="5.85546875" style="5" customWidth="1"/>
    <col min="11794" max="11794" width="6.85546875" style="5" customWidth="1"/>
    <col min="11795" max="11795" width="7" style="5" customWidth="1"/>
    <col min="11796" max="11796" width="9.140625" style="5" customWidth="1"/>
    <col min="11797" max="11798" width="5.85546875" style="5" customWidth="1"/>
    <col min="11799" max="11799" width="6.42578125" style="5" customWidth="1"/>
    <col min="11800" max="11800" width="16.42578125" style="5" customWidth="1"/>
    <col min="11801" max="11819" width="0" style="5" hidden="1" customWidth="1"/>
    <col min="11820" max="11820" width="50.28515625" style="5" customWidth="1"/>
    <col min="11821" max="12032" width="8.85546875" style="5"/>
    <col min="12033" max="12033" width="7.140625" style="5" customWidth="1"/>
    <col min="12034" max="12034" width="9.140625" style="5" customWidth="1"/>
    <col min="12035" max="12035" width="4.42578125" style="5" customWidth="1"/>
    <col min="12036" max="12036" width="17.5703125" style="5" customWidth="1"/>
    <col min="12037" max="12037" width="14.5703125" style="5" customWidth="1"/>
    <col min="12038" max="12038" width="11.5703125" style="5" customWidth="1"/>
    <col min="12039" max="12039" width="10" style="5" customWidth="1"/>
    <col min="12040" max="12040" width="6.5703125" style="5" customWidth="1"/>
    <col min="12041" max="12041" width="8.28515625" style="5" customWidth="1"/>
    <col min="12042" max="12042" width="9.5703125" style="5" customWidth="1"/>
    <col min="12043" max="12043" width="7.5703125" style="5" customWidth="1"/>
    <col min="12044" max="12044" width="8.140625" style="5" customWidth="1"/>
    <col min="12045" max="12045" width="9.5703125" style="5" customWidth="1"/>
    <col min="12046" max="12046" width="6.140625" style="5" customWidth="1"/>
    <col min="12047" max="12047" width="5.85546875" style="5" customWidth="1"/>
    <col min="12048" max="12048" width="6.85546875" style="5" customWidth="1"/>
    <col min="12049" max="12049" width="5.85546875" style="5" customWidth="1"/>
    <col min="12050" max="12050" width="6.85546875" style="5" customWidth="1"/>
    <col min="12051" max="12051" width="7" style="5" customWidth="1"/>
    <col min="12052" max="12052" width="9.140625" style="5" customWidth="1"/>
    <col min="12053" max="12054" width="5.85546875" style="5" customWidth="1"/>
    <col min="12055" max="12055" width="6.42578125" style="5" customWidth="1"/>
    <col min="12056" max="12056" width="16.42578125" style="5" customWidth="1"/>
    <col min="12057" max="12075" width="0" style="5" hidden="1" customWidth="1"/>
    <col min="12076" max="12076" width="50.28515625" style="5" customWidth="1"/>
    <col min="12077" max="12288" width="8.85546875" style="5"/>
    <col min="12289" max="12289" width="7.140625" style="5" customWidth="1"/>
    <col min="12290" max="12290" width="9.140625" style="5" customWidth="1"/>
    <col min="12291" max="12291" width="4.42578125" style="5" customWidth="1"/>
    <col min="12292" max="12292" width="17.5703125" style="5" customWidth="1"/>
    <col min="12293" max="12293" width="14.5703125" style="5" customWidth="1"/>
    <col min="12294" max="12294" width="11.5703125" style="5" customWidth="1"/>
    <col min="12295" max="12295" width="10" style="5" customWidth="1"/>
    <col min="12296" max="12296" width="6.5703125" style="5" customWidth="1"/>
    <col min="12297" max="12297" width="8.28515625" style="5" customWidth="1"/>
    <col min="12298" max="12298" width="9.5703125" style="5" customWidth="1"/>
    <col min="12299" max="12299" width="7.5703125" style="5" customWidth="1"/>
    <col min="12300" max="12300" width="8.140625" style="5" customWidth="1"/>
    <col min="12301" max="12301" width="9.5703125" style="5" customWidth="1"/>
    <col min="12302" max="12302" width="6.140625" style="5" customWidth="1"/>
    <col min="12303" max="12303" width="5.85546875" style="5" customWidth="1"/>
    <col min="12304" max="12304" width="6.85546875" style="5" customWidth="1"/>
    <col min="12305" max="12305" width="5.85546875" style="5" customWidth="1"/>
    <col min="12306" max="12306" width="6.85546875" style="5" customWidth="1"/>
    <col min="12307" max="12307" width="7" style="5" customWidth="1"/>
    <col min="12308" max="12308" width="9.140625" style="5" customWidth="1"/>
    <col min="12309" max="12310" width="5.85546875" style="5" customWidth="1"/>
    <col min="12311" max="12311" width="6.42578125" style="5" customWidth="1"/>
    <col min="12312" max="12312" width="16.42578125" style="5" customWidth="1"/>
    <col min="12313" max="12331" width="0" style="5" hidden="1" customWidth="1"/>
    <col min="12332" max="12332" width="50.28515625" style="5" customWidth="1"/>
    <col min="12333" max="12544" width="8.85546875" style="5"/>
    <col min="12545" max="12545" width="7.140625" style="5" customWidth="1"/>
    <col min="12546" max="12546" width="9.140625" style="5" customWidth="1"/>
    <col min="12547" max="12547" width="4.42578125" style="5" customWidth="1"/>
    <col min="12548" max="12548" width="17.5703125" style="5" customWidth="1"/>
    <col min="12549" max="12549" width="14.5703125" style="5" customWidth="1"/>
    <col min="12550" max="12550" width="11.5703125" style="5" customWidth="1"/>
    <col min="12551" max="12551" width="10" style="5" customWidth="1"/>
    <col min="12552" max="12552" width="6.5703125" style="5" customWidth="1"/>
    <col min="12553" max="12553" width="8.28515625" style="5" customWidth="1"/>
    <col min="12554" max="12554" width="9.5703125" style="5" customWidth="1"/>
    <col min="12555" max="12555" width="7.5703125" style="5" customWidth="1"/>
    <col min="12556" max="12556" width="8.140625" style="5" customWidth="1"/>
    <col min="12557" max="12557" width="9.5703125" style="5" customWidth="1"/>
    <col min="12558" max="12558" width="6.140625" style="5" customWidth="1"/>
    <col min="12559" max="12559" width="5.85546875" style="5" customWidth="1"/>
    <col min="12560" max="12560" width="6.85546875" style="5" customWidth="1"/>
    <col min="12561" max="12561" width="5.85546875" style="5" customWidth="1"/>
    <col min="12562" max="12562" width="6.85546875" style="5" customWidth="1"/>
    <col min="12563" max="12563" width="7" style="5" customWidth="1"/>
    <col min="12564" max="12564" width="9.140625" style="5" customWidth="1"/>
    <col min="12565" max="12566" width="5.85546875" style="5" customWidth="1"/>
    <col min="12567" max="12567" width="6.42578125" style="5" customWidth="1"/>
    <col min="12568" max="12568" width="16.42578125" style="5" customWidth="1"/>
    <col min="12569" max="12587" width="0" style="5" hidden="1" customWidth="1"/>
    <col min="12588" max="12588" width="50.28515625" style="5" customWidth="1"/>
    <col min="12589" max="12800" width="8.85546875" style="5"/>
    <col min="12801" max="12801" width="7.140625" style="5" customWidth="1"/>
    <col min="12802" max="12802" width="9.140625" style="5" customWidth="1"/>
    <col min="12803" max="12803" width="4.42578125" style="5" customWidth="1"/>
    <col min="12804" max="12804" width="17.5703125" style="5" customWidth="1"/>
    <col min="12805" max="12805" width="14.5703125" style="5" customWidth="1"/>
    <col min="12806" max="12806" width="11.5703125" style="5" customWidth="1"/>
    <col min="12807" max="12807" width="10" style="5" customWidth="1"/>
    <col min="12808" max="12808" width="6.5703125" style="5" customWidth="1"/>
    <col min="12809" max="12809" width="8.28515625" style="5" customWidth="1"/>
    <col min="12810" max="12810" width="9.5703125" style="5" customWidth="1"/>
    <col min="12811" max="12811" width="7.5703125" style="5" customWidth="1"/>
    <col min="12812" max="12812" width="8.140625" style="5" customWidth="1"/>
    <col min="12813" max="12813" width="9.5703125" style="5" customWidth="1"/>
    <col min="12814" max="12814" width="6.140625" style="5" customWidth="1"/>
    <col min="12815" max="12815" width="5.85546875" style="5" customWidth="1"/>
    <col min="12816" max="12816" width="6.85546875" style="5" customWidth="1"/>
    <col min="12817" max="12817" width="5.85546875" style="5" customWidth="1"/>
    <col min="12818" max="12818" width="6.85546875" style="5" customWidth="1"/>
    <col min="12819" max="12819" width="7" style="5" customWidth="1"/>
    <col min="12820" max="12820" width="9.140625" style="5" customWidth="1"/>
    <col min="12821" max="12822" width="5.85546875" style="5" customWidth="1"/>
    <col min="12823" max="12823" width="6.42578125" style="5" customWidth="1"/>
    <col min="12824" max="12824" width="16.42578125" style="5" customWidth="1"/>
    <col min="12825" max="12843" width="0" style="5" hidden="1" customWidth="1"/>
    <col min="12844" max="12844" width="50.28515625" style="5" customWidth="1"/>
    <col min="12845" max="13056" width="8.85546875" style="5"/>
    <col min="13057" max="13057" width="7.140625" style="5" customWidth="1"/>
    <col min="13058" max="13058" width="9.140625" style="5" customWidth="1"/>
    <col min="13059" max="13059" width="4.42578125" style="5" customWidth="1"/>
    <col min="13060" max="13060" width="17.5703125" style="5" customWidth="1"/>
    <col min="13061" max="13061" width="14.5703125" style="5" customWidth="1"/>
    <col min="13062" max="13062" width="11.5703125" style="5" customWidth="1"/>
    <col min="13063" max="13063" width="10" style="5" customWidth="1"/>
    <col min="13064" max="13064" width="6.5703125" style="5" customWidth="1"/>
    <col min="13065" max="13065" width="8.28515625" style="5" customWidth="1"/>
    <col min="13066" max="13066" width="9.5703125" style="5" customWidth="1"/>
    <col min="13067" max="13067" width="7.5703125" style="5" customWidth="1"/>
    <col min="13068" max="13068" width="8.140625" style="5" customWidth="1"/>
    <col min="13069" max="13069" width="9.5703125" style="5" customWidth="1"/>
    <col min="13070" max="13070" width="6.140625" style="5" customWidth="1"/>
    <col min="13071" max="13071" width="5.85546875" style="5" customWidth="1"/>
    <col min="13072" max="13072" width="6.85546875" style="5" customWidth="1"/>
    <col min="13073" max="13073" width="5.85546875" style="5" customWidth="1"/>
    <col min="13074" max="13074" width="6.85546875" style="5" customWidth="1"/>
    <col min="13075" max="13075" width="7" style="5" customWidth="1"/>
    <col min="13076" max="13076" width="9.140625" style="5" customWidth="1"/>
    <col min="13077" max="13078" width="5.85546875" style="5" customWidth="1"/>
    <col min="13079" max="13079" width="6.42578125" style="5" customWidth="1"/>
    <col min="13080" max="13080" width="16.42578125" style="5" customWidth="1"/>
    <col min="13081" max="13099" width="0" style="5" hidden="1" customWidth="1"/>
    <col min="13100" max="13100" width="50.28515625" style="5" customWidth="1"/>
    <col min="13101" max="13312" width="8.85546875" style="5"/>
    <col min="13313" max="13313" width="7.140625" style="5" customWidth="1"/>
    <col min="13314" max="13314" width="9.140625" style="5" customWidth="1"/>
    <col min="13315" max="13315" width="4.42578125" style="5" customWidth="1"/>
    <col min="13316" max="13316" width="17.5703125" style="5" customWidth="1"/>
    <col min="13317" max="13317" width="14.5703125" style="5" customWidth="1"/>
    <col min="13318" max="13318" width="11.5703125" style="5" customWidth="1"/>
    <col min="13319" max="13319" width="10" style="5" customWidth="1"/>
    <col min="13320" max="13320" width="6.5703125" style="5" customWidth="1"/>
    <col min="13321" max="13321" width="8.28515625" style="5" customWidth="1"/>
    <col min="13322" max="13322" width="9.5703125" style="5" customWidth="1"/>
    <col min="13323" max="13323" width="7.5703125" style="5" customWidth="1"/>
    <col min="13324" max="13324" width="8.140625" style="5" customWidth="1"/>
    <col min="13325" max="13325" width="9.5703125" style="5" customWidth="1"/>
    <col min="13326" max="13326" width="6.140625" style="5" customWidth="1"/>
    <col min="13327" max="13327" width="5.85546875" style="5" customWidth="1"/>
    <col min="13328" max="13328" width="6.85546875" style="5" customWidth="1"/>
    <col min="13329" max="13329" width="5.85546875" style="5" customWidth="1"/>
    <col min="13330" max="13330" width="6.85546875" style="5" customWidth="1"/>
    <col min="13331" max="13331" width="7" style="5" customWidth="1"/>
    <col min="13332" max="13332" width="9.140625" style="5" customWidth="1"/>
    <col min="13333" max="13334" width="5.85546875" style="5" customWidth="1"/>
    <col min="13335" max="13335" width="6.42578125" style="5" customWidth="1"/>
    <col min="13336" max="13336" width="16.42578125" style="5" customWidth="1"/>
    <col min="13337" max="13355" width="0" style="5" hidden="1" customWidth="1"/>
    <col min="13356" max="13356" width="50.28515625" style="5" customWidth="1"/>
    <col min="13357" max="13568" width="8.85546875" style="5"/>
    <col min="13569" max="13569" width="7.140625" style="5" customWidth="1"/>
    <col min="13570" max="13570" width="9.140625" style="5" customWidth="1"/>
    <col min="13571" max="13571" width="4.42578125" style="5" customWidth="1"/>
    <col min="13572" max="13572" width="17.5703125" style="5" customWidth="1"/>
    <col min="13573" max="13573" width="14.5703125" style="5" customWidth="1"/>
    <col min="13574" max="13574" width="11.5703125" style="5" customWidth="1"/>
    <col min="13575" max="13575" width="10" style="5" customWidth="1"/>
    <col min="13576" max="13576" width="6.5703125" style="5" customWidth="1"/>
    <col min="13577" max="13577" width="8.28515625" style="5" customWidth="1"/>
    <col min="13578" max="13578" width="9.5703125" style="5" customWidth="1"/>
    <col min="13579" max="13579" width="7.5703125" style="5" customWidth="1"/>
    <col min="13580" max="13580" width="8.140625" style="5" customWidth="1"/>
    <col min="13581" max="13581" width="9.5703125" style="5" customWidth="1"/>
    <col min="13582" max="13582" width="6.140625" style="5" customWidth="1"/>
    <col min="13583" max="13583" width="5.85546875" style="5" customWidth="1"/>
    <col min="13584" max="13584" width="6.85546875" style="5" customWidth="1"/>
    <col min="13585" max="13585" width="5.85546875" style="5" customWidth="1"/>
    <col min="13586" max="13586" width="6.85546875" style="5" customWidth="1"/>
    <col min="13587" max="13587" width="7" style="5" customWidth="1"/>
    <col min="13588" max="13588" width="9.140625" style="5" customWidth="1"/>
    <col min="13589" max="13590" width="5.85546875" style="5" customWidth="1"/>
    <col min="13591" max="13591" width="6.42578125" style="5" customWidth="1"/>
    <col min="13592" max="13592" width="16.42578125" style="5" customWidth="1"/>
    <col min="13593" max="13611" width="0" style="5" hidden="1" customWidth="1"/>
    <col min="13612" max="13612" width="50.28515625" style="5" customWidth="1"/>
    <col min="13613" max="13824" width="8.85546875" style="5"/>
    <col min="13825" max="13825" width="7.140625" style="5" customWidth="1"/>
    <col min="13826" max="13826" width="9.140625" style="5" customWidth="1"/>
    <col min="13827" max="13827" width="4.42578125" style="5" customWidth="1"/>
    <col min="13828" max="13828" width="17.5703125" style="5" customWidth="1"/>
    <col min="13829" max="13829" width="14.5703125" style="5" customWidth="1"/>
    <col min="13830" max="13830" width="11.5703125" style="5" customWidth="1"/>
    <col min="13831" max="13831" width="10" style="5" customWidth="1"/>
    <col min="13832" max="13832" width="6.5703125" style="5" customWidth="1"/>
    <col min="13833" max="13833" width="8.28515625" style="5" customWidth="1"/>
    <col min="13834" max="13834" width="9.5703125" style="5" customWidth="1"/>
    <col min="13835" max="13835" width="7.5703125" style="5" customWidth="1"/>
    <col min="13836" max="13836" width="8.140625" style="5" customWidth="1"/>
    <col min="13837" max="13837" width="9.5703125" style="5" customWidth="1"/>
    <col min="13838" max="13838" width="6.140625" style="5" customWidth="1"/>
    <col min="13839" max="13839" width="5.85546875" style="5" customWidth="1"/>
    <col min="13840" max="13840" width="6.85546875" style="5" customWidth="1"/>
    <col min="13841" max="13841" width="5.85546875" style="5" customWidth="1"/>
    <col min="13842" max="13842" width="6.85546875" style="5" customWidth="1"/>
    <col min="13843" max="13843" width="7" style="5" customWidth="1"/>
    <col min="13844" max="13844" width="9.140625" style="5" customWidth="1"/>
    <col min="13845" max="13846" width="5.85546875" style="5" customWidth="1"/>
    <col min="13847" max="13847" width="6.42578125" style="5" customWidth="1"/>
    <col min="13848" max="13848" width="16.42578125" style="5" customWidth="1"/>
    <col min="13849" max="13867" width="0" style="5" hidden="1" customWidth="1"/>
    <col min="13868" max="13868" width="50.28515625" style="5" customWidth="1"/>
    <col min="13869" max="14080" width="8.85546875" style="5"/>
    <col min="14081" max="14081" width="7.140625" style="5" customWidth="1"/>
    <col min="14082" max="14082" width="9.140625" style="5" customWidth="1"/>
    <col min="14083" max="14083" width="4.42578125" style="5" customWidth="1"/>
    <col min="14084" max="14084" width="17.5703125" style="5" customWidth="1"/>
    <col min="14085" max="14085" width="14.5703125" style="5" customWidth="1"/>
    <col min="14086" max="14086" width="11.5703125" style="5" customWidth="1"/>
    <col min="14087" max="14087" width="10" style="5" customWidth="1"/>
    <col min="14088" max="14088" width="6.5703125" style="5" customWidth="1"/>
    <col min="14089" max="14089" width="8.28515625" style="5" customWidth="1"/>
    <col min="14090" max="14090" width="9.5703125" style="5" customWidth="1"/>
    <col min="14091" max="14091" width="7.5703125" style="5" customWidth="1"/>
    <col min="14092" max="14092" width="8.140625" style="5" customWidth="1"/>
    <col min="14093" max="14093" width="9.5703125" style="5" customWidth="1"/>
    <col min="14094" max="14094" width="6.140625" style="5" customWidth="1"/>
    <col min="14095" max="14095" width="5.85546875" style="5" customWidth="1"/>
    <col min="14096" max="14096" width="6.85546875" style="5" customWidth="1"/>
    <col min="14097" max="14097" width="5.85546875" style="5" customWidth="1"/>
    <col min="14098" max="14098" width="6.85546875" style="5" customWidth="1"/>
    <col min="14099" max="14099" width="7" style="5" customWidth="1"/>
    <col min="14100" max="14100" width="9.140625" style="5" customWidth="1"/>
    <col min="14101" max="14102" width="5.85546875" style="5" customWidth="1"/>
    <col min="14103" max="14103" width="6.42578125" style="5" customWidth="1"/>
    <col min="14104" max="14104" width="16.42578125" style="5" customWidth="1"/>
    <col min="14105" max="14123" width="0" style="5" hidden="1" customWidth="1"/>
    <col min="14124" max="14124" width="50.28515625" style="5" customWidth="1"/>
    <col min="14125" max="14336" width="8.85546875" style="5"/>
    <col min="14337" max="14337" width="7.140625" style="5" customWidth="1"/>
    <col min="14338" max="14338" width="9.140625" style="5" customWidth="1"/>
    <col min="14339" max="14339" width="4.42578125" style="5" customWidth="1"/>
    <col min="14340" max="14340" width="17.5703125" style="5" customWidth="1"/>
    <col min="14341" max="14341" width="14.5703125" style="5" customWidth="1"/>
    <col min="14342" max="14342" width="11.5703125" style="5" customWidth="1"/>
    <col min="14343" max="14343" width="10" style="5" customWidth="1"/>
    <col min="14344" max="14344" width="6.5703125" style="5" customWidth="1"/>
    <col min="14345" max="14345" width="8.28515625" style="5" customWidth="1"/>
    <col min="14346" max="14346" width="9.5703125" style="5" customWidth="1"/>
    <col min="14347" max="14347" width="7.5703125" style="5" customWidth="1"/>
    <col min="14348" max="14348" width="8.140625" style="5" customWidth="1"/>
    <col min="14349" max="14349" width="9.5703125" style="5" customWidth="1"/>
    <col min="14350" max="14350" width="6.140625" style="5" customWidth="1"/>
    <col min="14351" max="14351" width="5.85546875" style="5" customWidth="1"/>
    <col min="14352" max="14352" width="6.85546875" style="5" customWidth="1"/>
    <col min="14353" max="14353" width="5.85546875" style="5" customWidth="1"/>
    <col min="14354" max="14354" width="6.85546875" style="5" customWidth="1"/>
    <col min="14355" max="14355" width="7" style="5" customWidth="1"/>
    <col min="14356" max="14356" width="9.140625" style="5" customWidth="1"/>
    <col min="14357" max="14358" width="5.85546875" style="5" customWidth="1"/>
    <col min="14359" max="14359" width="6.42578125" style="5" customWidth="1"/>
    <col min="14360" max="14360" width="16.42578125" style="5" customWidth="1"/>
    <col min="14361" max="14379" width="0" style="5" hidden="1" customWidth="1"/>
    <col min="14380" max="14380" width="50.28515625" style="5" customWidth="1"/>
    <col min="14381" max="14592" width="8.85546875" style="5"/>
    <col min="14593" max="14593" width="7.140625" style="5" customWidth="1"/>
    <col min="14594" max="14594" width="9.140625" style="5" customWidth="1"/>
    <col min="14595" max="14595" width="4.42578125" style="5" customWidth="1"/>
    <col min="14596" max="14596" width="17.5703125" style="5" customWidth="1"/>
    <col min="14597" max="14597" width="14.5703125" style="5" customWidth="1"/>
    <col min="14598" max="14598" width="11.5703125" style="5" customWidth="1"/>
    <col min="14599" max="14599" width="10" style="5" customWidth="1"/>
    <col min="14600" max="14600" width="6.5703125" style="5" customWidth="1"/>
    <col min="14601" max="14601" width="8.28515625" style="5" customWidth="1"/>
    <col min="14602" max="14602" width="9.5703125" style="5" customWidth="1"/>
    <col min="14603" max="14603" width="7.5703125" style="5" customWidth="1"/>
    <col min="14604" max="14604" width="8.140625" style="5" customWidth="1"/>
    <col min="14605" max="14605" width="9.5703125" style="5" customWidth="1"/>
    <col min="14606" max="14606" width="6.140625" style="5" customWidth="1"/>
    <col min="14607" max="14607" width="5.85546875" style="5" customWidth="1"/>
    <col min="14608" max="14608" width="6.85546875" style="5" customWidth="1"/>
    <col min="14609" max="14609" width="5.85546875" style="5" customWidth="1"/>
    <col min="14610" max="14610" width="6.85546875" style="5" customWidth="1"/>
    <col min="14611" max="14611" width="7" style="5" customWidth="1"/>
    <col min="14612" max="14612" width="9.140625" style="5" customWidth="1"/>
    <col min="14613" max="14614" width="5.85546875" style="5" customWidth="1"/>
    <col min="14615" max="14615" width="6.42578125" style="5" customWidth="1"/>
    <col min="14616" max="14616" width="16.42578125" style="5" customWidth="1"/>
    <col min="14617" max="14635" width="0" style="5" hidden="1" customWidth="1"/>
    <col min="14636" max="14636" width="50.28515625" style="5" customWidth="1"/>
    <col min="14637" max="14848" width="8.85546875" style="5"/>
    <col min="14849" max="14849" width="7.140625" style="5" customWidth="1"/>
    <col min="14850" max="14850" width="9.140625" style="5" customWidth="1"/>
    <col min="14851" max="14851" width="4.42578125" style="5" customWidth="1"/>
    <col min="14852" max="14852" width="17.5703125" style="5" customWidth="1"/>
    <col min="14853" max="14853" width="14.5703125" style="5" customWidth="1"/>
    <col min="14854" max="14854" width="11.5703125" style="5" customWidth="1"/>
    <col min="14855" max="14855" width="10" style="5" customWidth="1"/>
    <col min="14856" max="14856" width="6.5703125" style="5" customWidth="1"/>
    <col min="14857" max="14857" width="8.28515625" style="5" customWidth="1"/>
    <col min="14858" max="14858" width="9.5703125" style="5" customWidth="1"/>
    <col min="14859" max="14859" width="7.5703125" style="5" customWidth="1"/>
    <col min="14860" max="14860" width="8.140625" style="5" customWidth="1"/>
    <col min="14861" max="14861" width="9.5703125" style="5" customWidth="1"/>
    <col min="14862" max="14862" width="6.140625" style="5" customWidth="1"/>
    <col min="14863" max="14863" width="5.85546875" style="5" customWidth="1"/>
    <col min="14864" max="14864" width="6.85546875" style="5" customWidth="1"/>
    <col min="14865" max="14865" width="5.85546875" style="5" customWidth="1"/>
    <col min="14866" max="14866" width="6.85546875" style="5" customWidth="1"/>
    <col min="14867" max="14867" width="7" style="5" customWidth="1"/>
    <col min="14868" max="14868" width="9.140625" style="5" customWidth="1"/>
    <col min="14869" max="14870" width="5.85546875" style="5" customWidth="1"/>
    <col min="14871" max="14871" width="6.42578125" style="5" customWidth="1"/>
    <col min="14872" max="14872" width="16.42578125" style="5" customWidth="1"/>
    <col min="14873" max="14891" width="0" style="5" hidden="1" customWidth="1"/>
    <col min="14892" max="14892" width="50.28515625" style="5" customWidth="1"/>
    <col min="14893" max="15104" width="8.85546875" style="5"/>
    <col min="15105" max="15105" width="7.140625" style="5" customWidth="1"/>
    <col min="15106" max="15106" width="9.140625" style="5" customWidth="1"/>
    <col min="15107" max="15107" width="4.42578125" style="5" customWidth="1"/>
    <col min="15108" max="15108" width="17.5703125" style="5" customWidth="1"/>
    <col min="15109" max="15109" width="14.5703125" style="5" customWidth="1"/>
    <col min="15110" max="15110" width="11.5703125" style="5" customWidth="1"/>
    <col min="15111" max="15111" width="10" style="5" customWidth="1"/>
    <col min="15112" max="15112" width="6.5703125" style="5" customWidth="1"/>
    <col min="15113" max="15113" width="8.28515625" style="5" customWidth="1"/>
    <col min="15114" max="15114" width="9.5703125" style="5" customWidth="1"/>
    <col min="15115" max="15115" width="7.5703125" style="5" customWidth="1"/>
    <col min="15116" max="15116" width="8.140625" style="5" customWidth="1"/>
    <col min="15117" max="15117" width="9.5703125" style="5" customWidth="1"/>
    <col min="15118" max="15118" width="6.140625" style="5" customWidth="1"/>
    <col min="15119" max="15119" width="5.85546875" style="5" customWidth="1"/>
    <col min="15120" max="15120" width="6.85546875" style="5" customWidth="1"/>
    <col min="15121" max="15121" width="5.85546875" style="5" customWidth="1"/>
    <col min="15122" max="15122" width="6.85546875" style="5" customWidth="1"/>
    <col min="15123" max="15123" width="7" style="5" customWidth="1"/>
    <col min="15124" max="15124" width="9.140625" style="5" customWidth="1"/>
    <col min="15125" max="15126" width="5.85546875" style="5" customWidth="1"/>
    <col min="15127" max="15127" width="6.42578125" style="5" customWidth="1"/>
    <col min="15128" max="15128" width="16.42578125" style="5" customWidth="1"/>
    <col min="15129" max="15147" width="0" style="5" hidden="1" customWidth="1"/>
    <col min="15148" max="15148" width="50.28515625" style="5" customWidth="1"/>
    <col min="15149" max="15360" width="8.85546875" style="5"/>
    <col min="15361" max="15361" width="7.140625" style="5" customWidth="1"/>
    <col min="15362" max="15362" width="9.140625" style="5" customWidth="1"/>
    <col min="15363" max="15363" width="4.42578125" style="5" customWidth="1"/>
    <col min="15364" max="15364" width="17.5703125" style="5" customWidth="1"/>
    <col min="15365" max="15365" width="14.5703125" style="5" customWidth="1"/>
    <col min="15366" max="15366" width="11.5703125" style="5" customWidth="1"/>
    <col min="15367" max="15367" width="10" style="5" customWidth="1"/>
    <col min="15368" max="15368" width="6.5703125" style="5" customWidth="1"/>
    <col min="15369" max="15369" width="8.28515625" style="5" customWidth="1"/>
    <col min="15370" max="15370" width="9.5703125" style="5" customWidth="1"/>
    <col min="15371" max="15371" width="7.5703125" style="5" customWidth="1"/>
    <col min="15372" max="15372" width="8.140625" style="5" customWidth="1"/>
    <col min="15373" max="15373" width="9.5703125" style="5" customWidth="1"/>
    <col min="15374" max="15374" width="6.140625" style="5" customWidth="1"/>
    <col min="15375" max="15375" width="5.85546875" style="5" customWidth="1"/>
    <col min="15376" max="15376" width="6.85546875" style="5" customWidth="1"/>
    <col min="15377" max="15377" width="5.85546875" style="5" customWidth="1"/>
    <col min="15378" max="15378" width="6.85546875" style="5" customWidth="1"/>
    <col min="15379" max="15379" width="7" style="5" customWidth="1"/>
    <col min="15380" max="15380" width="9.140625" style="5" customWidth="1"/>
    <col min="15381" max="15382" width="5.85546875" style="5" customWidth="1"/>
    <col min="15383" max="15383" width="6.42578125" style="5" customWidth="1"/>
    <col min="15384" max="15384" width="16.42578125" style="5" customWidth="1"/>
    <col min="15385" max="15403" width="0" style="5" hidden="1" customWidth="1"/>
    <col min="15404" max="15404" width="50.28515625" style="5" customWidth="1"/>
    <col min="15405" max="15616" width="8.85546875" style="5"/>
    <col min="15617" max="15617" width="7.140625" style="5" customWidth="1"/>
    <col min="15618" max="15618" width="9.140625" style="5" customWidth="1"/>
    <col min="15619" max="15619" width="4.42578125" style="5" customWidth="1"/>
    <col min="15620" max="15620" width="17.5703125" style="5" customWidth="1"/>
    <col min="15621" max="15621" width="14.5703125" style="5" customWidth="1"/>
    <col min="15622" max="15622" width="11.5703125" style="5" customWidth="1"/>
    <col min="15623" max="15623" width="10" style="5" customWidth="1"/>
    <col min="15624" max="15624" width="6.5703125" style="5" customWidth="1"/>
    <col min="15625" max="15625" width="8.28515625" style="5" customWidth="1"/>
    <col min="15626" max="15626" width="9.5703125" style="5" customWidth="1"/>
    <col min="15627" max="15627" width="7.5703125" style="5" customWidth="1"/>
    <col min="15628" max="15628" width="8.140625" style="5" customWidth="1"/>
    <col min="15629" max="15629" width="9.5703125" style="5" customWidth="1"/>
    <col min="15630" max="15630" width="6.140625" style="5" customWidth="1"/>
    <col min="15631" max="15631" width="5.85546875" style="5" customWidth="1"/>
    <col min="15632" max="15632" width="6.85546875" style="5" customWidth="1"/>
    <col min="15633" max="15633" width="5.85546875" style="5" customWidth="1"/>
    <col min="15634" max="15634" width="6.85546875" style="5" customWidth="1"/>
    <col min="15635" max="15635" width="7" style="5" customWidth="1"/>
    <col min="15636" max="15636" width="9.140625" style="5" customWidth="1"/>
    <col min="15637" max="15638" width="5.85546875" style="5" customWidth="1"/>
    <col min="15639" max="15639" width="6.42578125" style="5" customWidth="1"/>
    <col min="15640" max="15640" width="16.42578125" style="5" customWidth="1"/>
    <col min="15641" max="15659" width="0" style="5" hidden="1" customWidth="1"/>
    <col min="15660" max="15660" width="50.28515625" style="5" customWidth="1"/>
    <col min="15661" max="15872" width="8.85546875" style="5"/>
    <col min="15873" max="15873" width="7.140625" style="5" customWidth="1"/>
    <col min="15874" max="15874" width="9.140625" style="5" customWidth="1"/>
    <col min="15875" max="15875" width="4.42578125" style="5" customWidth="1"/>
    <col min="15876" max="15876" width="17.5703125" style="5" customWidth="1"/>
    <col min="15877" max="15877" width="14.5703125" style="5" customWidth="1"/>
    <col min="15878" max="15878" width="11.5703125" style="5" customWidth="1"/>
    <col min="15879" max="15879" width="10" style="5" customWidth="1"/>
    <col min="15880" max="15880" width="6.5703125" style="5" customWidth="1"/>
    <col min="15881" max="15881" width="8.28515625" style="5" customWidth="1"/>
    <col min="15882" max="15882" width="9.5703125" style="5" customWidth="1"/>
    <col min="15883" max="15883" width="7.5703125" style="5" customWidth="1"/>
    <col min="15884" max="15884" width="8.140625" style="5" customWidth="1"/>
    <col min="15885" max="15885" width="9.5703125" style="5" customWidth="1"/>
    <col min="15886" max="15886" width="6.140625" style="5" customWidth="1"/>
    <col min="15887" max="15887" width="5.85546875" style="5" customWidth="1"/>
    <col min="15888" max="15888" width="6.85546875" style="5" customWidth="1"/>
    <col min="15889" max="15889" width="5.85546875" style="5" customWidth="1"/>
    <col min="15890" max="15890" width="6.85546875" style="5" customWidth="1"/>
    <col min="15891" max="15891" width="7" style="5" customWidth="1"/>
    <col min="15892" max="15892" width="9.140625" style="5" customWidth="1"/>
    <col min="15893" max="15894" width="5.85546875" style="5" customWidth="1"/>
    <col min="15895" max="15895" width="6.42578125" style="5" customWidth="1"/>
    <col min="15896" max="15896" width="16.42578125" style="5" customWidth="1"/>
    <col min="15897" max="15915" width="0" style="5" hidden="1" customWidth="1"/>
    <col min="15916" max="15916" width="50.28515625" style="5" customWidth="1"/>
    <col min="15917" max="16128" width="8.85546875" style="5"/>
    <col min="16129" max="16129" width="7.140625" style="5" customWidth="1"/>
    <col min="16130" max="16130" width="9.140625" style="5" customWidth="1"/>
    <col min="16131" max="16131" width="4.42578125" style="5" customWidth="1"/>
    <col min="16132" max="16132" width="17.5703125" style="5" customWidth="1"/>
    <col min="16133" max="16133" width="14.5703125" style="5" customWidth="1"/>
    <col min="16134" max="16134" width="11.5703125" style="5" customWidth="1"/>
    <col min="16135" max="16135" width="10" style="5" customWidth="1"/>
    <col min="16136" max="16136" width="6.5703125" style="5" customWidth="1"/>
    <col min="16137" max="16137" width="8.28515625" style="5" customWidth="1"/>
    <col min="16138" max="16138" width="9.5703125" style="5" customWidth="1"/>
    <col min="16139" max="16139" width="7.5703125" style="5" customWidth="1"/>
    <col min="16140" max="16140" width="8.140625" style="5" customWidth="1"/>
    <col min="16141" max="16141" width="9.5703125" style="5" customWidth="1"/>
    <col min="16142" max="16142" width="6.140625" style="5" customWidth="1"/>
    <col min="16143" max="16143" width="5.85546875" style="5" customWidth="1"/>
    <col min="16144" max="16144" width="6.85546875" style="5" customWidth="1"/>
    <col min="16145" max="16145" width="5.85546875" style="5" customWidth="1"/>
    <col min="16146" max="16146" width="6.85546875" style="5" customWidth="1"/>
    <col min="16147" max="16147" width="7" style="5" customWidth="1"/>
    <col min="16148" max="16148" width="9.140625" style="5" customWidth="1"/>
    <col min="16149" max="16150" width="5.85546875" style="5" customWidth="1"/>
    <col min="16151" max="16151" width="6.42578125" style="5" customWidth="1"/>
    <col min="16152" max="16152" width="16.42578125" style="5" customWidth="1"/>
    <col min="16153" max="16171" width="0" style="5" hidden="1" customWidth="1"/>
    <col min="16172" max="16172" width="50.28515625" style="5" customWidth="1"/>
    <col min="16173" max="16384" width="8.85546875" style="5"/>
  </cols>
  <sheetData>
    <row r="1" spans="1:46" s="1" customFormat="1" ht="20.100000000000001" customHeight="1" thickBot="1" x14ac:dyDescent="0.3">
      <c r="B1" s="453" t="s">
        <v>161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  <c r="T1" s="454"/>
      <c r="U1" s="454"/>
      <c r="V1" s="454"/>
      <c r="W1" s="454"/>
      <c r="X1" s="455"/>
      <c r="Y1" s="2"/>
      <c r="Z1" s="3">
        <v>1</v>
      </c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4"/>
    </row>
    <row r="2" spans="1:46" ht="14.1" customHeight="1" thickBot="1" x14ac:dyDescent="0.3">
      <c r="B2" s="456" t="s">
        <v>162</v>
      </c>
      <c r="C2" s="456" t="s">
        <v>163</v>
      </c>
      <c r="D2" s="456" t="s">
        <v>164</v>
      </c>
      <c r="E2" s="456" t="s">
        <v>165</v>
      </c>
      <c r="F2" s="456" t="s">
        <v>166</v>
      </c>
      <c r="G2" s="456"/>
      <c r="H2" s="456"/>
      <c r="I2" s="456"/>
      <c r="J2" s="456" t="s">
        <v>167</v>
      </c>
      <c r="K2" s="456"/>
      <c r="L2" s="456"/>
      <c r="M2" s="456" t="s">
        <v>168</v>
      </c>
      <c r="N2" s="456"/>
      <c r="O2" s="456"/>
      <c r="P2" s="456"/>
      <c r="Q2" s="456"/>
      <c r="R2" s="456" t="s">
        <v>169</v>
      </c>
      <c r="S2" s="456"/>
      <c r="T2" s="456" t="s">
        <v>170</v>
      </c>
      <c r="U2" s="456"/>
      <c r="V2" s="456"/>
      <c r="W2" s="456"/>
      <c r="X2" s="456" t="s">
        <v>171</v>
      </c>
      <c r="Y2" s="7"/>
      <c r="Z2" s="460" t="s">
        <v>172</v>
      </c>
      <c r="AA2" s="461"/>
      <c r="AB2" s="460" t="s">
        <v>173</v>
      </c>
      <c r="AC2" s="464"/>
      <c r="AD2" s="461"/>
      <c r="AE2" s="472" t="s">
        <v>174</v>
      </c>
      <c r="AF2" s="472" t="s">
        <v>175</v>
      </c>
      <c r="AG2" s="472" t="s">
        <v>176</v>
      </c>
      <c r="AH2" s="472" t="s">
        <v>177</v>
      </c>
      <c r="AI2" s="472" t="s">
        <v>178</v>
      </c>
      <c r="AJ2" s="472" t="s">
        <v>179</v>
      </c>
      <c r="AK2" s="472" t="s">
        <v>180</v>
      </c>
      <c r="AR2" s="8"/>
    </row>
    <row r="3" spans="1:46" ht="21" customHeight="1" thickBot="1" x14ac:dyDescent="0.3"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  <c r="O3" s="456"/>
      <c r="P3" s="456"/>
      <c r="Q3" s="456"/>
      <c r="R3" s="456"/>
      <c r="S3" s="456"/>
      <c r="T3" s="456"/>
      <c r="U3" s="456"/>
      <c r="V3" s="456"/>
      <c r="W3" s="456"/>
      <c r="X3" s="456"/>
      <c r="Y3" s="7"/>
      <c r="Z3" s="462"/>
      <c r="AA3" s="463"/>
      <c r="AB3" s="462"/>
      <c r="AC3" s="465"/>
      <c r="AD3" s="463"/>
      <c r="AE3" s="473"/>
      <c r="AF3" s="473"/>
      <c r="AG3" s="473"/>
      <c r="AH3" s="473"/>
      <c r="AI3" s="473"/>
      <c r="AJ3" s="473"/>
      <c r="AK3" s="473"/>
      <c r="AM3" s="9"/>
      <c r="AR3" s="8"/>
    </row>
    <row r="4" spans="1:46" ht="52.5" customHeight="1" thickBot="1" x14ac:dyDescent="0.3">
      <c r="B4" s="456"/>
      <c r="C4" s="456"/>
      <c r="D4" s="456"/>
      <c r="E4" s="456"/>
      <c r="F4" s="456" t="s">
        <v>181</v>
      </c>
      <c r="G4" s="456" t="s">
        <v>182</v>
      </c>
      <c r="H4" s="456" t="s">
        <v>183</v>
      </c>
      <c r="I4" s="456" t="s">
        <v>184</v>
      </c>
      <c r="J4" s="456" t="s">
        <v>181</v>
      </c>
      <c r="K4" s="457" t="s">
        <v>185</v>
      </c>
      <c r="L4" s="456" t="s">
        <v>186</v>
      </c>
      <c r="M4" s="456" t="s">
        <v>187</v>
      </c>
      <c r="N4" s="456" t="s">
        <v>188</v>
      </c>
      <c r="O4" s="456"/>
      <c r="P4" s="456" t="s">
        <v>189</v>
      </c>
      <c r="Q4" s="457" t="s">
        <v>185</v>
      </c>
      <c r="R4" s="456" t="s">
        <v>190</v>
      </c>
      <c r="S4" s="456" t="s">
        <v>191</v>
      </c>
      <c r="T4" s="456" t="s">
        <v>187</v>
      </c>
      <c r="U4" s="456" t="s">
        <v>192</v>
      </c>
      <c r="V4" s="456"/>
      <c r="W4" s="456" t="s">
        <v>193</v>
      </c>
      <c r="X4" s="456"/>
      <c r="Y4" s="7"/>
      <c r="Z4" s="466" t="s">
        <v>194</v>
      </c>
      <c r="AA4" s="466" t="s">
        <v>195</v>
      </c>
      <c r="AB4" s="466" t="s">
        <v>166</v>
      </c>
      <c r="AC4" s="466" t="s">
        <v>196</v>
      </c>
      <c r="AD4" s="466" t="s">
        <v>197</v>
      </c>
      <c r="AE4" s="473"/>
      <c r="AF4" s="473"/>
      <c r="AG4" s="473"/>
      <c r="AH4" s="473"/>
      <c r="AI4" s="473"/>
      <c r="AJ4" s="473"/>
      <c r="AK4" s="473"/>
      <c r="AR4" s="8"/>
    </row>
    <row r="5" spans="1:46" ht="26.25" customHeight="1" thickBot="1" x14ac:dyDescent="0.3">
      <c r="B5" s="456"/>
      <c r="C5" s="456"/>
      <c r="D5" s="456"/>
      <c r="E5" s="456"/>
      <c r="F5" s="456"/>
      <c r="G5" s="456"/>
      <c r="H5" s="456"/>
      <c r="I5" s="456"/>
      <c r="J5" s="456"/>
      <c r="K5" s="457"/>
      <c r="L5" s="456"/>
      <c r="M5" s="456"/>
      <c r="N5" s="6" t="s">
        <v>198</v>
      </c>
      <c r="O5" s="6" t="s">
        <v>199</v>
      </c>
      <c r="P5" s="456"/>
      <c r="Q5" s="457"/>
      <c r="R5" s="456"/>
      <c r="S5" s="456"/>
      <c r="T5" s="456"/>
      <c r="U5" s="6" t="s">
        <v>198</v>
      </c>
      <c r="V5" s="6" t="s">
        <v>199</v>
      </c>
      <c r="W5" s="456"/>
      <c r="X5" s="456"/>
      <c r="Y5" s="7"/>
      <c r="Z5" s="467"/>
      <c r="AA5" s="467"/>
      <c r="AB5" s="467"/>
      <c r="AC5" s="467"/>
      <c r="AD5" s="467"/>
      <c r="AE5" s="473"/>
      <c r="AF5" s="473"/>
      <c r="AG5" s="473"/>
      <c r="AH5" s="473"/>
      <c r="AI5" s="473"/>
      <c r="AJ5" s="473"/>
      <c r="AK5" s="473"/>
      <c r="AL5" s="7"/>
      <c r="AM5" s="469"/>
      <c r="AN5" s="469"/>
      <c r="AR5" s="8"/>
    </row>
    <row r="6" spans="1:46" ht="24" customHeight="1" thickBot="1" x14ac:dyDescent="0.3">
      <c r="B6" s="6">
        <v>1</v>
      </c>
      <c r="C6" s="6">
        <v>2</v>
      </c>
      <c r="D6" s="6">
        <v>3</v>
      </c>
      <c r="E6" s="10">
        <v>4</v>
      </c>
      <c r="F6" s="6">
        <v>5</v>
      </c>
      <c r="G6" s="6">
        <v>6</v>
      </c>
      <c r="H6" s="6">
        <v>7</v>
      </c>
      <c r="I6" s="6">
        <v>8</v>
      </c>
      <c r="J6" s="6">
        <v>9</v>
      </c>
      <c r="K6" s="6">
        <v>10</v>
      </c>
      <c r="L6" s="6">
        <v>11</v>
      </c>
      <c r="M6" s="6">
        <v>12</v>
      </c>
      <c r="N6" s="6">
        <v>13</v>
      </c>
      <c r="O6" s="6">
        <v>14</v>
      </c>
      <c r="P6" s="11">
        <v>15</v>
      </c>
      <c r="Q6" s="6">
        <v>16</v>
      </c>
      <c r="R6" s="6">
        <v>17</v>
      </c>
      <c r="S6" s="10">
        <v>18</v>
      </c>
      <c r="T6" s="6">
        <v>19</v>
      </c>
      <c r="U6" s="6">
        <v>20</v>
      </c>
      <c r="V6" s="6">
        <v>21</v>
      </c>
      <c r="W6" s="6">
        <v>22</v>
      </c>
      <c r="X6" s="6">
        <v>23</v>
      </c>
      <c r="Y6" s="7"/>
      <c r="Z6" s="468"/>
      <c r="AA6" s="468"/>
      <c r="AB6" s="468"/>
      <c r="AC6" s="468"/>
      <c r="AD6" s="468"/>
      <c r="AE6" s="474"/>
      <c r="AF6" s="474"/>
      <c r="AG6" s="474"/>
      <c r="AH6" s="474"/>
      <c r="AI6" s="474"/>
      <c r="AJ6" s="474"/>
      <c r="AK6" s="474"/>
      <c r="AL6" s="7"/>
      <c r="AM6" s="1" t="s">
        <v>200</v>
      </c>
      <c r="AN6" s="1" t="s">
        <v>201</v>
      </c>
      <c r="AO6" s="5" t="s">
        <v>202</v>
      </c>
      <c r="AR6" s="8"/>
      <c r="AS6" s="12">
        <f>95+98.84+98.84</f>
        <v>292.68</v>
      </c>
    </row>
    <row r="7" spans="1:46" s="29" customFormat="1" ht="63" customHeight="1" x14ac:dyDescent="0.25">
      <c r="A7" s="5"/>
      <c r="B7" s="13" t="s">
        <v>17</v>
      </c>
      <c r="C7" s="14">
        <v>1</v>
      </c>
      <c r="D7" s="15"/>
      <c r="E7" s="16"/>
      <c r="F7" s="17"/>
      <c r="G7" s="14">
        <f>(IF(LEFT(B7)="П",ROUNDUP(SUMIF(ВО!S:S,ХОВС!B7,ВО!N:N)*Kup,-1),IF(LEFT(B7)="В",ROUNDUP(SUM(SUMIF(ВО!T:T,ХОВС!B7,ВО!O:O)*Kup,SUMIF(ВО!R:R,ХОВС!B7,ВО!M:M)*Kup),-1),IF(LEFT(B7)="М",ROUNDUP(SUMIF(ВО!R:R,ХОВС!B7,ВО!M:M)*Kup,-1)))))</f>
        <v>24450</v>
      </c>
      <c r="H7" s="14">
        <v>1114.5</v>
      </c>
      <c r="I7" s="192">
        <v>1330</v>
      </c>
      <c r="J7" s="14" t="s">
        <v>55</v>
      </c>
      <c r="K7" s="191">
        <v>5.5</v>
      </c>
      <c r="L7" s="192">
        <v>1330</v>
      </c>
      <c r="M7" s="18"/>
      <c r="N7" s="195">
        <v>-24</v>
      </c>
      <c r="O7" s="195">
        <v>20</v>
      </c>
      <c r="P7" s="196" t="s">
        <v>55</v>
      </c>
      <c r="Q7" s="197">
        <v>45</v>
      </c>
      <c r="R7" s="198" t="s">
        <v>203</v>
      </c>
      <c r="S7" s="199">
        <f>AS6</f>
        <v>292.68</v>
      </c>
      <c r="T7" s="21" t="s">
        <v>55</v>
      </c>
      <c r="U7" s="19" t="s">
        <v>55</v>
      </c>
      <c r="V7" s="19" t="s">
        <v>55</v>
      </c>
      <c r="W7" s="20" t="s">
        <v>55</v>
      </c>
      <c r="X7" s="22" t="s">
        <v>55</v>
      </c>
      <c r="Y7" s="23"/>
      <c r="Z7" s="24">
        <f>AS7</f>
        <v>360.40000000000003</v>
      </c>
      <c r="AA7" s="24" t="s">
        <v>55</v>
      </c>
      <c r="AB7" s="24" t="s">
        <v>204</v>
      </c>
      <c r="AC7" s="24" t="s">
        <v>205</v>
      </c>
      <c r="AD7" s="24" t="s">
        <v>55</v>
      </c>
      <c r="AE7" s="25" t="e">
        <f>K7*C7+R7*C7</f>
        <v>#VALUE!</v>
      </c>
      <c r="AF7" s="24" t="s">
        <v>55</v>
      </c>
      <c r="AG7" s="24" t="s">
        <v>206</v>
      </c>
      <c r="AH7" s="24" t="s">
        <v>55</v>
      </c>
      <c r="AI7" s="24" t="s">
        <v>55</v>
      </c>
      <c r="AJ7" s="24" t="s">
        <v>207</v>
      </c>
      <c r="AK7" s="24" t="s">
        <v>208</v>
      </c>
      <c r="AL7" s="26" t="s">
        <v>209</v>
      </c>
      <c r="AM7" s="1" t="e">
        <f>SUM(P7:P8,P55,#REF!,P58:P58,#REF!,#REF!,#REF!,#REF!,P60,#REF!,#REF!,P59,#REF!,#REF!)</f>
        <v>#REF!</v>
      </c>
      <c r="AN7" s="1">
        <f>SUM(Q7:Q61)</f>
        <v>280.81799999999998</v>
      </c>
      <c r="AO7" s="5" t="e">
        <f>SUM(W7:W182)</f>
        <v>#VALUE!</v>
      </c>
      <c r="AP7" s="5"/>
      <c r="AQ7" s="5"/>
      <c r="AR7" s="27">
        <v>785</v>
      </c>
      <c r="AS7" s="28">
        <f>ROUNDUP(G7*1.2*1.005*(O7-N7)/3600,1)</f>
        <v>360.40000000000003</v>
      </c>
      <c r="AT7" s="29" t="s">
        <v>210</v>
      </c>
    </row>
    <row r="8" spans="1:46" s="29" customFormat="1" ht="41.25" customHeight="1" x14ac:dyDescent="0.25">
      <c r="A8" s="5"/>
      <c r="B8" s="32" t="s">
        <v>152</v>
      </c>
      <c r="C8" s="33">
        <v>1</v>
      </c>
      <c r="D8" s="34"/>
      <c r="E8" s="188"/>
      <c r="F8" s="189"/>
      <c r="G8" s="33">
        <f>(IF(LEFT(B8)="П",ROUNDUP(SUMIF(ВО!S:S,ХОВС!B8,ВО!N:N)*Kup,-1),IF(LEFT(B8)="В",ROUNDUP(SUM(SUMIF(ВО!T:T,ХОВС!B8,ВО!O:O)*Kup,SUMIF(ВО!R:R,ХОВС!B8,ВО!M:M)*Kup),-1),IF(LEFT(B8)="М",ROUNDUP(SUMIF(ВО!R:R,ХОВС!B8,ВО!M:M)*Kup,-1)))))</f>
        <v>24210</v>
      </c>
      <c r="H8" s="33">
        <v>1114.5</v>
      </c>
      <c r="I8" s="35">
        <v>1330</v>
      </c>
      <c r="J8" s="33" t="s">
        <v>55</v>
      </c>
      <c r="K8" s="193">
        <v>5.5</v>
      </c>
      <c r="L8" s="35">
        <v>1330</v>
      </c>
      <c r="M8" s="190"/>
      <c r="N8" s="200">
        <v>-24</v>
      </c>
      <c r="O8" s="200">
        <v>20</v>
      </c>
      <c r="P8" s="201" t="s">
        <v>55</v>
      </c>
      <c r="Q8" s="202">
        <v>45</v>
      </c>
      <c r="R8" s="203" t="s">
        <v>203</v>
      </c>
      <c r="S8" s="204">
        <f>AS7</f>
        <v>360.40000000000003</v>
      </c>
      <c r="T8" s="36" t="s">
        <v>55</v>
      </c>
      <c r="U8" s="38" t="s">
        <v>55</v>
      </c>
      <c r="V8" s="38" t="s">
        <v>55</v>
      </c>
      <c r="W8" s="37" t="s">
        <v>55</v>
      </c>
      <c r="X8" s="39" t="s">
        <v>55</v>
      </c>
      <c r="Y8" s="23"/>
      <c r="Z8" s="24"/>
      <c r="AA8" s="24"/>
      <c r="AB8" s="24"/>
      <c r="AC8" s="24"/>
      <c r="AD8" s="24"/>
      <c r="AE8" s="25"/>
      <c r="AF8" s="24"/>
      <c r="AG8" s="24"/>
      <c r="AH8" s="24"/>
      <c r="AI8" s="24"/>
      <c r="AJ8" s="24"/>
      <c r="AK8" s="24"/>
      <c r="AL8" s="26"/>
      <c r="AM8" s="1"/>
      <c r="AN8" s="1"/>
      <c r="AO8" s="5"/>
      <c r="AP8" s="5"/>
      <c r="AQ8" s="5"/>
      <c r="AR8" s="30"/>
      <c r="AS8" s="31"/>
    </row>
    <row r="9" spans="1:46" ht="43.5" customHeight="1" x14ac:dyDescent="0.25">
      <c r="B9" s="170" t="s">
        <v>18</v>
      </c>
      <c r="C9" s="171">
        <v>1</v>
      </c>
      <c r="D9" s="172"/>
      <c r="E9" s="172"/>
      <c r="F9" s="172"/>
      <c r="G9" s="171">
        <f>CEILING((IF(LEFT(B9)="П",ROUNDUP(SUMIF(ВО!S:S,ХОВС!B9,ВО!N:N)*Kup,-1),IF(LEFT(B9)="В",ROUNDUP(SUM(SUMIF(ВО!T:T,ХОВС!B9,ВО!O:O)*Kup,SUMIF(ВО!R:R,ХОВС!B9,ВО!M:M)*Kup),-1),IF(LEFT(B9)="М",ROUNDUP(SUMIF(ВО!R:R,ХОВС!B9,ВО!M:M)*Kup,-1))))),1)</f>
        <v>21260</v>
      </c>
      <c r="H9" s="171">
        <v>407.31</v>
      </c>
      <c r="I9" s="173">
        <v>1310</v>
      </c>
      <c r="J9" s="171" t="s">
        <v>55</v>
      </c>
      <c r="K9" s="194">
        <v>1.5</v>
      </c>
      <c r="L9" s="173">
        <v>1310</v>
      </c>
      <c r="M9" s="174" t="s">
        <v>55</v>
      </c>
      <c r="N9" s="174" t="s">
        <v>55</v>
      </c>
      <c r="O9" s="174" t="s">
        <v>55</v>
      </c>
      <c r="P9" s="174" t="s">
        <v>55</v>
      </c>
      <c r="Q9" s="175"/>
      <c r="R9" s="174" t="s">
        <v>55</v>
      </c>
      <c r="S9" s="174" t="s">
        <v>55</v>
      </c>
      <c r="T9" s="174" t="s">
        <v>55</v>
      </c>
      <c r="U9" s="176" t="s">
        <v>55</v>
      </c>
      <c r="V9" s="176" t="s">
        <v>55</v>
      </c>
      <c r="W9" s="175" t="s">
        <v>55</v>
      </c>
      <c r="X9" s="177" t="s">
        <v>55</v>
      </c>
      <c r="Y9" s="23"/>
      <c r="Z9" s="24"/>
      <c r="AA9" s="24"/>
      <c r="AB9" s="24"/>
      <c r="AC9" s="24"/>
      <c r="AD9" s="24"/>
      <c r="AE9" s="25"/>
      <c r="AF9" s="24"/>
      <c r="AG9" s="24"/>
      <c r="AH9" s="24"/>
      <c r="AI9" s="24"/>
      <c r="AJ9" s="40"/>
      <c r="AK9" s="24"/>
      <c r="AL9" s="26"/>
      <c r="AM9" s="1"/>
      <c r="AN9" s="1"/>
      <c r="AR9" s="41">
        <f>H9</f>
        <v>407.31</v>
      </c>
    </row>
    <row r="10" spans="1:46" ht="36" customHeight="1" thickBot="1" x14ac:dyDescent="0.3">
      <c r="B10" s="178" t="s">
        <v>140</v>
      </c>
      <c r="C10" s="179">
        <v>1</v>
      </c>
      <c r="D10" s="180"/>
      <c r="E10" s="180"/>
      <c r="F10" s="181"/>
      <c r="G10" s="181">
        <f>(IF(LEFT(B10)="П",ROUNDUP(SUMIF(ВО!S:S,ХОВС!B10,ВО!N:N)*Kup,-1),IF(LEFT(B10)="В",ROUNDUP(SUM(SUMIF(ВО!T:T,ХОВС!B10,ВО!O:O)*Kup,SUMIF(ВО!R:R,ХОВС!B10,ВО!M:M)*Kup),-1),IF(LEFT(B10)="М",ROUNDUP(SUMIF(ВО!R:R,ХОВС!B10,ВО!M:M)*Kup,-1)))))</f>
        <v>21030</v>
      </c>
      <c r="H10" s="182"/>
      <c r="I10" s="179"/>
      <c r="J10" s="179"/>
      <c r="K10" s="183"/>
      <c r="L10" s="179"/>
      <c r="M10" s="184"/>
      <c r="N10" s="184"/>
      <c r="O10" s="184"/>
      <c r="P10" s="184"/>
      <c r="Q10" s="185"/>
      <c r="R10" s="184"/>
      <c r="S10" s="184"/>
      <c r="T10" s="184"/>
      <c r="U10" s="186"/>
      <c r="V10" s="186"/>
      <c r="W10" s="185"/>
      <c r="X10" s="187"/>
      <c r="Y10" s="23"/>
      <c r="Z10" s="24"/>
      <c r="AA10" s="24"/>
      <c r="AB10" s="24"/>
      <c r="AC10" s="24"/>
      <c r="AD10" s="24"/>
      <c r="AE10" s="25"/>
      <c r="AF10" s="24"/>
      <c r="AG10" s="24"/>
      <c r="AH10" s="24"/>
      <c r="AI10" s="24"/>
      <c r="AJ10" s="40"/>
      <c r="AK10" s="24"/>
      <c r="AL10" s="26"/>
      <c r="AM10" s="1"/>
      <c r="AN10" s="1"/>
      <c r="AR10" s="41"/>
    </row>
    <row r="11" spans="1:46" ht="36" customHeight="1" x14ac:dyDescent="0.25">
      <c r="B11" s="42"/>
      <c r="C11" s="43"/>
      <c r="D11" s="43"/>
      <c r="E11" s="43" t="s">
        <v>211</v>
      </c>
      <c r="F11" s="43"/>
      <c r="G11" s="43"/>
      <c r="H11" s="43"/>
      <c r="I11" s="43"/>
      <c r="J11" s="43"/>
      <c r="K11" s="44"/>
      <c r="L11" s="43"/>
      <c r="M11" s="44"/>
      <c r="N11" s="45"/>
      <c r="O11" s="45"/>
      <c r="P11" s="46"/>
      <c r="Q11" s="46"/>
      <c r="R11" s="47"/>
      <c r="S11" s="48"/>
      <c r="T11" s="47"/>
      <c r="U11" s="45"/>
      <c r="V11" s="45"/>
      <c r="W11" s="46"/>
      <c r="X11" s="49"/>
      <c r="Y11" s="23"/>
      <c r="Z11" s="24"/>
      <c r="AA11" s="24"/>
      <c r="AB11" s="24"/>
      <c r="AC11" s="24"/>
      <c r="AD11" s="24"/>
      <c r="AE11" s="25"/>
      <c r="AF11" s="24"/>
      <c r="AG11" s="24"/>
      <c r="AH11" s="24"/>
      <c r="AI11" s="24"/>
      <c r="AJ11" s="40"/>
      <c r="AK11" s="24"/>
      <c r="AL11" s="26"/>
      <c r="AM11" s="1"/>
      <c r="AN11" s="1"/>
      <c r="AR11" s="41"/>
    </row>
    <row r="12" spans="1:46" ht="36" customHeight="1" x14ac:dyDescent="0.25">
      <c r="B12" s="50"/>
      <c r="C12" s="51"/>
      <c r="D12" s="51"/>
      <c r="E12" s="51"/>
      <c r="F12" s="51"/>
      <c r="G12" s="51"/>
      <c r="H12" s="51"/>
      <c r="I12" s="51"/>
      <c r="J12" s="51"/>
      <c r="K12" s="52"/>
      <c r="L12" s="51"/>
      <c r="M12" s="52"/>
      <c r="N12" s="53"/>
      <c r="O12" s="53"/>
      <c r="P12" s="54"/>
      <c r="Q12" s="54"/>
      <c r="R12" s="55"/>
      <c r="S12" s="56"/>
      <c r="T12" s="55"/>
      <c r="U12" s="53"/>
      <c r="V12" s="53"/>
      <c r="W12" s="54"/>
      <c r="X12" s="57"/>
      <c r="Y12" s="23"/>
      <c r="Z12" s="24"/>
      <c r="AA12" s="24"/>
      <c r="AB12" s="24"/>
      <c r="AC12" s="24"/>
      <c r="AD12" s="24"/>
      <c r="AE12" s="25"/>
      <c r="AF12" s="24"/>
      <c r="AG12" s="24"/>
      <c r="AH12" s="24"/>
      <c r="AI12" s="24"/>
      <c r="AJ12" s="40"/>
      <c r="AK12" s="24"/>
      <c r="AL12" s="26"/>
      <c r="AM12" s="1"/>
      <c r="AN12" s="1"/>
      <c r="AR12" s="41"/>
    </row>
    <row r="13" spans="1:46" ht="36" customHeight="1" x14ac:dyDescent="0.25">
      <c r="B13" s="50"/>
      <c r="C13" s="51"/>
      <c r="D13" s="51"/>
      <c r="E13" s="51"/>
      <c r="F13" s="51"/>
      <c r="G13" s="51"/>
      <c r="H13" s="51"/>
      <c r="I13" s="51"/>
      <c r="J13" s="51"/>
      <c r="K13" s="52"/>
      <c r="L13" s="51"/>
      <c r="M13" s="52"/>
      <c r="N13" s="53"/>
      <c r="O13" s="53"/>
      <c r="P13" s="54"/>
      <c r="Q13" s="54"/>
      <c r="R13" s="55"/>
      <c r="S13" s="56"/>
      <c r="T13" s="55"/>
      <c r="U13" s="53"/>
      <c r="V13" s="53"/>
      <c r="W13" s="54"/>
      <c r="X13" s="57"/>
      <c r="Y13" s="23"/>
      <c r="Z13" s="24"/>
      <c r="AA13" s="24"/>
      <c r="AB13" s="24"/>
      <c r="AC13" s="24"/>
      <c r="AD13" s="24"/>
      <c r="AE13" s="25"/>
      <c r="AF13" s="24"/>
      <c r="AG13" s="24"/>
      <c r="AH13" s="24"/>
      <c r="AI13" s="24"/>
      <c r="AJ13" s="40"/>
      <c r="AK13" s="24"/>
      <c r="AL13" s="26"/>
      <c r="AM13" s="1"/>
      <c r="AN13" s="1"/>
      <c r="AR13" s="41"/>
    </row>
    <row r="14" spans="1:46" ht="36" customHeight="1" x14ac:dyDescent="0.25">
      <c r="B14" s="50"/>
      <c r="C14" s="51"/>
      <c r="D14" s="51"/>
      <c r="E14" s="51"/>
      <c r="F14" s="51"/>
      <c r="G14" s="51"/>
      <c r="H14" s="51"/>
      <c r="I14" s="51"/>
      <c r="J14" s="51"/>
      <c r="K14" s="52"/>
      <c r="L14" s="51"/>
      <c r="M14" s="52"/>
      <c r="N14" s="53"/>
      <c r="O14" s="53"/>
      <c r="P14" s="54"/>
      <c r="Q14" s="54"/>
      <c r="R14" s="55"/>
      <c r="S14" s="56"/>
      <c r="T14" s="55"/>
      <c r="U14" s="53"/>
      <c r="V14" s="53"/>
      <c r="W14" s="54"/>
      <c r="X14" s="57"/>
      <c r="Y14" s="23"/>
      <c r="Z14" s="24"/>
      <c r="AA14" s="24"/>
      <c r="AB14" s="24"/>
      <c r="AC14" s="24"/>
      <c r="AD14" s="24"/>
      <c r="AE14" s="25"/>
      <c r="AF14" s="24"/>
      <c r="AG14" s="24"/>
      <c r="AH14" s="24"/>
      <c r="AI14" s="24"/>
      <c r="AJ14" s="40"/>
      <c r="AK14" s="24"/>
      <c r="AL14" s="26"/>
      <c r="AM14" s="1"/>
      <c r="AN14" s="1"/>
      <c r="AR14" s="41"/>
    </row>
    <row r="15" spans="1:46" ht="36" customHeight="1" x14ac:dyDescent="0.25">
      <c r="B15" s="50"/>
      <c r="C15" s="51"/>
      <c r="D15" s="51"/>
      <c r="E15" s="51"/>
      <c r="F15" s="51"/>
      <c r="G15" s="51"/>
      <c r="H15" s="51"/>
      <c r="I15" s="51"/>
      <c r="J15" s="51"/>
      <c r="K15" s="52"/>
      <c r="L15" s="51"/>
      <c r="M15" s="52"/>
      <c r="N15" s="53"/>
      <c r="O15" s="53"/>
      <c r="P15" s="54"/>
      <c r="Q15" s="54"/>
      <c r="R15" s="55"/>
      <c r="S15" s="56"/>
      <c r="T15" s="55"/>
      <c r="U15" s="53"/>
      <c r="V15" s="53"/>
      <c r="W15" s="54"/>
      <c r="X15" s="57"/>
      <c r="Y15" s="23"/>
      <c r="Z15" s="24"/>
      <c r="AA15" s="24"/>
      <c r="AB15" s="24"/>
      <c r="AC15" s="24"/>
      <c r="AD15" s="24"/>
      <c r="AE15" s="25"/>
      <c r="AF15" s="24"/>
      <c r="AG15" s="24"/>
      <c r="AH15" s="24"/>
      <c r="AI15" s="24"/>
      <c r="AJ15" s="40"/>
      <c r="AK15" s="24"/>
      <c r="AL15" s="26"/>
      <c r="AM15" s="1"/>
      <c r="AN15" s="1"/>
      <c r="AR15" s="41"/>
    </row>
    <row r="16" spans="1:46" ht="36" customHeight="1" x14ac:dyDescent="0.25">
      <c r="B16" s="50"/>
      <c r="C16" s="51"/>
      <c r="D16" s="51"/>
      <c r="E16" s="51"/>
      <c r="F16" s="51"/>
      <c r="G16" s="51"/>
      <c r="H16" s="51"/>
      <c r="I16" s="51"/>
      <c r="J16" s="51"/>
      <c r="K16" s="52"/>
      <c r="L16" s="51"/>
      <c r="M16" s="52"/>
      <c r="N16" s="53"/>
      <c r="O16" s="53"/>
      <c r="P16" s="54"/>
      <c r="Q16" s="54"/>
      <c r="R16" s="55"/>
      <c r="S16" s="56"/>
      <c r="T16" s="55"/>
      <c r="U16" s="53"/>
      <c r="V16" s="53"/>
      <c r="W16" s="54"/>
      <c r="X16" s="57"/>
      <c r="Y16" s="23"/>
      <c r="Z16" s="24"/>
      <c r="AA16" s="24"/>
      <c r="AB16" s="24"/>
      <c r="AC16" s="24"/>
      <c r="AD16" s="24"/>
      <c r="AE16" s="25"/>
      <c r="AF16" s="24"/>
      <c r="AG16" s="24"/>
      <c r="AH16" s="24"/>
      <c r="AI16" s="24"/>
      <c r="AJ16" s="40"/>
      <c r="AK16" s="24"/>
      <c r="AL16" s="26"/>
      <c r="AM16" s="1"/>
      <c r="AN16" s="1"/>
      <c r="AR16" s="41"/>
    </row>
    <row r="17" spans="2:44" ht="36" customHeight="1" x14ac:dyDescent="0.25">
      <c r="B17" s="50"/>
      <c r="C17" s="51"/>
      <c r="D17" s="51"/>
      <c r="E17" s="51"/>
      <c r="F17" s="51"/>
      <c r="G17" s="51"/>
      <c r="H17" s="51"/>
      <c r="I17" s="51"/>
      <c r="J17" s="51"/>
      <c r="K17" s="52"/>
      <c r="L17" s="51"/>
      <c r="M17" s="52"/>
      <c r="N17" s="53"/>
      <c r="O17" s="53"/>
      <c r="P17" s="54"/>
      <c r="Q17" s="54"/>
      <c r="R17" s="55"/>
      <c r="S17" s="56"/>
      <c r="T17" s="55"/>
      <c r="U17" s="53"/>
      <c r="V17" s="53"/>
      <c r="W17" s="54"/>
      <c r="X17" s="57"/>
      <c r="Y17" s="23"/>
      <c r="Z17" s="24"/>
      <c r="AA17" s="24"/>
      <c r="AB17" s="24"/>
      <c r="AC17" s="24"/>
      <c r="AD17" s="24"/>
      <c r="AE17" s="25"/>
      <c r="AF17" s="24"/>
      <c r="AG17" s="24"/>
      <c r="AH17" s="24"/>
      <c r="AI17" s="24"/>
      <c r="AJ17" s="40"/>
      <c r="AK17" s="24"/>
      <c r="AL17" s="26"/>
      <c r="AM17" s="1"/>
      <c r="AN17" s="1"/>
      <c r="AR17" s="41"/>
    </row>
    <row r="18" spans="2:44" ht="36" customHeight="1" x14ac:dyDescent="0.25">
      <c r="B18" s="50"/>
      <c r="C18" s="51"/>
      <c r="D18" s="51"/>
      <c r="E18" s="51"/>
      <c r="F18" s="51"/>
      <c r="G18" s="51"/>
      <c r="H18" s="51"/>
      <c r="I18" s="51"/>
      <c r="J18" s="51"/>
      <c r="K18" s="52"/>
      <c r="L18" s="51"/>
      <c r="M18" s="52"/>
      <c r="N18" s="53"/>
      <c r="O18" s="53"/>
      <c r="P18" s="54"/>
      <c r="Q18" s="54"/>
      <c r="R18" s="55"/>
      <c r="S18" s="56"/>
      <c r="T18" s="55"/>
      <c r="U18" s="53"/>
      <c r="V18" s="53"/>
      <c r="W18" s="54"/>
      <c r="X18" s="57"/>
      <c r="Y18" s="23"/>
      <c r="Z18" s="24"/>
      <c r="AA18" s="24"/>
      <c r="AB18" s="24"/>
      <c r="AC18" s="24"/>
      <c r="AD18" s="24"/>
      <c r="AE18" s="25"/>
      <c r="AF18" s="24"/>
      <c r="AG18" s="24"/>
      <c r="AH18" s="24"/>
      <c r="AI18" s="24"/>
      <c r="AJ18" s="40"/>
      <c r="AK18" s="24"/>
      <c r="AL18" s="26"/>
      <c r="AM18" s="1"/>
      <c r="AN18" s="1"/>
      <c r="AR18" s="41"/>
    </row>
    <row r="19" spans="2:44" ht="36" customHeight="1" x14ac:dyDescent="0.25">
      <c r="B19" s="50"/>
      <c r="C19" s="51"/>
      <c r="D19" s="51"/>
      <c r="E19" s="51"/>
      <c r="F19" s="51"/>
      <c r="G19" s="51"/>
      <c r="H19" s="51"/>
      <c r="I19" s="51"/>
      <c r="J19" s="51"/>
      <c r="K19" s="52"/>
      <c r="L19" s="51"/>
      <c r="M19" s="52"/>
      <c r="N19" s="53"/>
      <c r="O19" s="53"/>
      <c r="P19" s="54"/>
      <c r="Q19" s="54"/>
      <c r="R19" s="55"/>
      <c r="S19" s="56"/>
      <c r="T19" s="55"/>
      <c r="U19" s="53"/>
      <c r="V19" s="53"/>
      <c r="W19" s="54"/>
      <c r="X19" s="57"/>
      <c r="Y19" s="23"/>
      <c r="Z19" s="24"/>
      <c r="AA19" s="24"/>
      <c r="AB19" s="24"/>
      <c r="AC19" s="24"/>
      <c r="AD19" s="24"/>
      <c r="AE19" s="25"/>
      <c r="AF19" s="24"/>
      <c r="AG19" s="24"/>
      <c r="AH19" s="24"/>
      <c r="AI19" s="24"/>
      <c r="AJ19" s="40"/>
      <c r="AK19" s="24"/>
      <c r="AL19" s="26"/>
      <c r="AM19" s="1"/>
      <c r="AN19" s="1"/>
      <c r="AR19" s="41"/>
    </row>
    <row r="20" spans="2:44" ht="36" customHeight="1" x14ac:dyDescent="0.25">
      <c r="B20" s="50"/>
      <c r="C20" s="51"/>
      <c r="D20" s="51"/>
      <c r="E20" s="51"/>
      <c r="F20" s="51"/>
      <c r="G20" s="51"/>
      <c r="H20" s="51"/>
      <c r="I20" s="51"/>
      <c r="J20" s="51"/>
      <c r="K20" s="52"/>
      <c r="L20" s="51"/>
      <c r="M20" s="52"/>
      <c r="N20" s="53"/>
      <c r="O20" s="53"/>
      <c r="P20" s="54"/>
      <c r="Q20" s="54"/>
      <c r="R20" s="55"/>
      <c r="S20" s="56"/>
      <c r="T20" s="55"/>
      <c r="U20" s="53"/>
      <c r="V20" s="53"/>
      <c r="W20" s="54"/>
      <c r="X20" s="57"/>
      <c r="Y20" s="23"/>
      <c r="Z20" s="24"/>
      <c r="AA20" s="24"/>
      <c r="AB20" s="24"/>
      <c r="AC20" s="24"/>
      <c r="AD20" s="24"/>
      <c r="AE20" s="25"/>
      <c r="AF20" s="24"/>
      <c r="AG20" s="24"/>
      <c r="AH20" s="24"/>
      <c r="AI20" s="24"/>
      <c r="AJ20" s="40"/>
      <c r="AK20" s="24"/>
      <c r="AL20" s="26"/>
      <c r="AM20" s="1"/>
      <c r="AN20" s="1"/>
      <c r="AR20" s="41"/>
    </row>
    <row r="21" spans="2:44" ht="36" customHeight="1" x14ac:dyDescent="0.25">
      <c r="B21" s="50"/>
      <c r="C21" s="51"/>
      <c r="D21" s="51"/>
      <c r="E21" s="51"/>
      <c r="F21" s="51"/>
      <c r="G21" s="51"/>
      <c r="H21" s="51"/>
      <c r="I21" s="51"/>
      <c r="J21" s="51"/>
      <c r="K21" s="52"/>
      <c r="L21" s="51"/>
      <c r="M21" s="52"/>
      <c r="N21" s="53"/>
      <c r="O21" s="53"/>
      <c r="P21" s="54"/>
      <c r="Q21" s="54"/>
      <c r="R21" s="55"/>
      <c r="S21" s="56"/>
      <c r="T21" s="55"/>
      <c r="U21" s="53"/>
      <c r="V21" s="53"/>
      <c r="W21" s="54"/>
      <c r="X21" s="57"/>
      <c r="Y21" s="23"/>
      <c r="Z21" s="24"/>
      <c r="AA21" s="24"/>
      <c r="AB21" s="24"/>
      <c r="AC21" s="24"/>
      <c r="AD21" s="24"/>
      <c r="AE21" s="25"/>
      <c r="AF21" s="24"/>
      <c r="AG21" s="24"/>
      <c r="AH21" s="24"/>
      <c r="AI21" s="24"/>
      <c r="AJ21" s="40"/>
      <c r="AK21" s="24"/>
      <c r="AL21" s="26"/>
      <c r="AM21" s="1"/>
      <c r="AN21" s="1"/>
      <c r="AR21" s="41"/>
    </row>
    <row r="22" spans="2:44" ht="36" customHeight="1" x14ac:dyDescent="0.25">
      <c r="B22" s="50"/>
      <c r="C22" s="51"/>
      <c r="D22" s="51"/>
      <c r="E22" s="51"/>
      <c r="F22" s="51"/>
      <c r="G22" s="51"/>
      <c r="H22" s="51"/>
      <c r="I22" s="51"/>
      <c r="J22" s="51"/>
      <c r="K22" s="52"/>
      <c r="L22" s="51"/>
      <c r="M22" s="52"/>
      <c r="N22" s="53"/>
      <c r="O22" s="53"/>
      <c r="P22" s="54"/>
      <c r="Q22" s="54"/>
      <c r="R22" s="55"/>
      <c r="S22" s="56"/>
      <c r="T22" s="55"/>
      <c r="U22" s="53"/>
      <c r="V22" s="53"/>
      <c r="W22" s="54"/>
      <c r="X22" s="57"/>
      <c r="Y22" s="23"/>
      <c r="Z22" s="24"/>
      <c r="AA22" s="24"/>
      <c r="AB22" s="24"/>
      <c r="AC22" s="24"/>
      <c r="AD22" s="24"/>
      <c r="AE22" s="25"/>
      <c r="AF22" s="24"/>
      <c r="AG22" s="24"/>
      <c r="AH22" s="24"/>
      <c r="AI22" s="24"/>
      <c r="AJ22" s="40"/>
      <c r="AK22" s="24"/>
      <c r="AL22" s="26"/>
      <c r="AM22" s="1"/>
      <c r="AN22" s="1"/>
      <c r="AR22" s="41"/>
    </row>
    <row r="23" spans="2:44" ht="36" customHeight="1" x14ac:dyDescent="0.25">
      <c r="B23" s="50"/>
      <c r="C23" s="51"/>
      <c r="D23" s="51"/>
      <c r="E23" s="51"/>
      <c r="F23" s="51"/>
      <c r="G23" s="51"/>
      <c r="H23" s="51"/>
      <c r="I23" s="51"/>
      <c r="J23" s="51"/>
      <c r="K23" s="52"/>
      <c r="L23" s="51"/>
      <c r="M23" s="52"/>
      <c r="N23" s="53"/>
      <c r="O23" s="53"/>
      <c r="P23" s="54"/>
      <c r="Q23" s="54"/>
      <c r="R23" s="55"/>
      <c r="S23" s="56"/>
      <c r="T23" s="55"/>
      <c r="U23" s="53"/>
      <c r="V23" s="53"/>
      <c r="W23" s="54"/>
      <c r="X23" s="57"/>
      <c r="Y23" s="23"/>
      <c r="Z23" s="24"/>
      <c r="AA23" s="24"/>
      <c r="AB23" s="24"/>
      <c r="AC23" s="24"/>
      <c r="AD23" s="24"/>
      <c r="AE23" s="25"/>
      <c r="AF23" s="24"/>
      <c r="AG23" s="24"/>
      <c r="AH23" s="24"/>
      <c r="AI23" s="24"/>
      <c r="AJ23" s="40"/>
      <c r="AK23" s="24"/>
      <c r="AL23" s="26"/>
      <c r="AM23" s="1"/>
      <c r="AN23" s="1"/>
      <c r="AR23" s="41"/>
    </row>
    <row r="24" spans="2:44" ht="36" customHeight="1" x14ac:dyDescent="0.25">
      <c r="B24" s="50"/>
      <c r="C24" s="51"/>
      <c r="D24" s="51"/>
      <c r="E24" s="51"/>
      <c r="F24" s="51"/>
      <c r="G24" s="51"/>
      <c r="H24" s="51"/>
      <c r="I24" s="51"/>
      <c r="J24" s="51"/>
      <c r="K24" s="52"/>
      <c r="L24" s="51"/>
      <c r="M24" s="52"/>
      <c r="N24" s="53"/>
      <c r="O24" s="53"/>
      <c r="P24" s="54"/>
      <c r="Q24" s="54"/>
      <c r="R24" s="55"/>
      <c r="S24" s="56"/>
      <c r="T24" s="55"/>
      <c r="U24" s="53"/>
      <c r="V24" s="53"/>
      <c r="W24" s="54"/>
      <c r="X24" s="57"/>
      <c r="Y24" s="23"/>
      <c r="Z24" s="24"/>
      <c r="AA24" s="24"/>
      <c r="AB24" s="24"/>
      <c r="AC24" s="24"/>
      <c r="AD24" s="24"/>
      <c r="AE24" s="25"/>
      <c r="AF24" s="24"/>
      <c r="AG24" s="24"/>
      <c r="AH24" s="24"/>
      <c r="AI24" s="24"/>
      <c r="AJ24" s="40"/>
      <c r="AK24" s="24"/>
      <c r="AL24" s="26"/>
      <c r="AM24" s="1"/>
      <c r="AN24" s="1"/>
      <c r="AR24" s="41"/>
    </row>
    <row r="25" spans="2:44" ht="36" customHeight="1" x14ac:dyDescent="0.25">
      <c r="B25" s="50"/>
      <c r="C25" s="51"/>
      <c r="D25" s="51"/>
      <c r="E25" s="51"/>
      <c r="F25" s="51"/>
      <c r="G25" s="51"/>
      <c r="H25" s="51"/>
      <c r="I25" s="51"/>
      <c r="J25" s="51"/>
      <c r="K25" s="52"/>
      <c r="L25" s="51"/>
      <c r="M25" s="52"/>
      <c r="N25" s="53"/>
      <c r="O25" s="53"/>
      <c r="P25" s="54"/>
      <c r="Q25" s="54"/>
      <c r="R25" s="55"/>
      <c r="S25" s="56"/>
      <c r="T25" s="55"/>
      <c r="U25" s="53"/>
      <c r="V25" s="53"/>
      <c r="W25" s="54"/>
      <c r="X25" s="57"/>
      <c r="Y25" s="23"/>
      <c r="Z25" s="24"/>
      <c r="AA25" s="24"/>
      <c r="AB25" s="24"/>
      <c r="AC25" s="24"/>
      <c r="AD25" s="24"/>
      <c r="AE25" s="25"/>
      <c r="AF25" s="24"/>
      <c r="AG25" s="24"/>
      <c r="AH25" s="24"/>
      <c r="AI25" s="24"/>
      <c r="AJ25" s="40"/>
      <c r="AK25" s="24"/>
      <c r="AL25" s="26"/>
      <c r="AM25" s="1"/>
      <c r="AN25" s="1"/>
      <c r="AR25" s="41"/>
    </row>
    <row r="26" spans="2:44" ht="36" customHeight="1" x14ac:dyDescent="0.25">
      <c r="B26" s="50"/>
      <c r="C26" s="51"/>
      <c r="D26" s="51"/>
      <c r="E26" s="51"/>
      <c r="F26" s="51"/>
      <c r="G26" s="51"/>
      <c r="H26" s="51"/>
      <c r="I26" s="51"/>
      <c r="J26" s="51"/>
      <c r="K26" s="52"/>
      <c r="L26" s="51"/>
      <c r="M26" s="52"/>
      <c r="N26" s="53"/>
      <c r="O26" s="53"/>
      <c r="P26" s="54"/>
      <c r="Q26" s="54"/>
      <c r="R26" s="55"/>
      <c r="S26" s="56"/>
      <c r="T26" s="55"/>
      <c r="U26" s="53"/>
      <c r="V26" s="53"/>
      <c r="W26" s="54"/>
      <c r="X26" s="57"/>
      <c r="Y26" s="23"/>
      <c r="Z26" s="24"/>
      <c r="AA26" s="24"/>
      <c r="AB26" s="24"/>
      <c r="AC26" s="24"/>
      <c r="AD26" s="24"/>
      <c r="AE26" s="25"/>
      <c r="AF26" s="24"/>
      <c r="AG26" s="24"/>
      <c r="AH26" s="24"/>
      <c r="AI26" s="24"/>
      <c r="AJ26" s="40"/>
      <c r="AK26" s="24"/>
      <c r="AL26" s="26"/>
      <c r="AM26" s="1"/>
      <c r="AN26" s="1"/>
      <c r="AR26" s="41"/>
    </row>
    <row r="27" spans="2:44" ht="36" customHeight="1" x14ac:dyDescent="0.25">
      <c r="B27" s="50"/>
      <c r="C27" s="51"/>
      <c r="D27" s="51"/>
      <c r="E27" s="51"/>
      <c r="F27" s="51"/>
      <c r="G27" s="51"/>
      <c r="H27" s="51"/>
      <c r="I27" s="51"/>
      <c r="J27" s="51"/>
      <c r="K27" s="52"/>
      <c r="L27" s="51"/>
      <c r="M27" s="52"/>
      <c r="N27" s="53"/>
      <c r="O27" s="53"/>
      <c r="P27" s="54"/>
      <c r="Q27" s="54"/>
      <c r="R27" s="55"/>
      <c r="S27" s="56"/>
      <c r="T27" s="55"/>
      <c r="U27" s="53"/>
      <c r="V27" s="53"/>
      <c r="W27" s="54"/>
      <c r="X27" s="57"/>
      <c r="Y27" s="23"/>
      <c r="Z27" s="24"/>
      <c r="AA27" s="24"/>
      <c r="AB27" s="24"/>
      <c r="AC27" s="24"/>
      <c r="AD27" s="24"/>
      <c r="AE27" s="25"/>
      <c r="AF27" s="24"/>
      <c r="AG27" s="24"/>
      <c r="AH27" s="24"/>
      <c r="AI27" s="24"/>
      <c r="AJ27" s="40"/>
      <c r="AK27" s="24"/>
      <c r="AL27" s="26"/>
      <c r="AM27" s="1"/>
      <c r="AN27" s="1"/>
      <c r="AR27" s="41"/>
    </row>
    <row r="28" spans="2:44" ht="36" customHeight="1" x14ac:dyDescent="0.25">
      <c r="B28" s="50"/>
      <c r="C28" s="51"/>
      <c r="D28" s="51"/>
      <c r="E28" s="51"/>
      <c r="F28" s="51"/>
      <c r="G28" s="51"/>
      <c r="H28" s="51"/>
      <c r="I28" s="51"/>
      <c r="J28" s="51"/>
      <c r="K28" s="52"/>
      <c r="L28" s="51"/>
      <c r="M28" s="52"/>
      <c r="N28" s="53"/>
      <c r="O28" s="53"/>
      <c r="P28" s="54"/>
      <c r="Q28" s="54"/>
      <c r="R28" s="55"/>
      <c r="S28" s="56"/>
      <c r="T28" s="55"/>
      <c r="U28" s="53"/>
      <c r="V28" s="53"/>
      <c r="W28" s="54"/>
      <c r="X28" s="57"/>
      <c r="Y28" s="23"/>
      <c r="Z28" s="24"/>
      <c r="AA28" s="24"/>
      <c r="AB28" s="24"/>
      <c r="AC28" s="24"/>
      <c r="AD28" s="24"/>
      <c r="AE28" s="25"/>
      <c r="AF28" s="24"/>
      <c r="AG28" s="24"/>
      <c r="AH28" s="24"/>
      <c r="AI28" s="24"/>
      <c r="AJ28" s="40"/>
      <c r="AK28" s="24"/>
      <c r="AL28" s="26"/>
      <c r="AM28" s="1"/>
      <c r="AN28" s="1"/>
      <c r="AR28" s="41"/>
    </row>
    <row r="29" spans="2:44" ht="36" customHeight="1" x14ac:dyDescent="0.25">
      <c r="B29" s="50"/>
      <c r="C29" s="51"/>
      <c r="D29" s="51"/>
      <c r="E29" s="51"/>
      <c r="F29" s="51"/>
      <c r="G29" s="51"/>
      <c r="H29" s="51"/>
      <c r="I29" s="51"/>
      <c r="J29" s="51"/>
      <c r="K29" s="52"/>
      <c r="L29" s="51"/>
      <c r="M29" s="52"/>
      <c r="N29" s="53"/>
      <c r="O29" s="53"/>
      <c r="P29" s="54"/>
      <c r="Q29" s="54"/>
      <c r="R29" s="55"/>
      <c r="S29" s="56"/>
      <c r="T29" s="55"/>
      <c r="U29" s="53"/>
      <c r="V29" s="53"/>
      <c r="W29" s="54"/>
      <c r="X29" s="57"/>
      <c r="Y29" s="23"/>
      <c r="Z29" s="24"/>
      <c r="AA29" s="24"/>
      <c r="AB29" s="24"/>
      <c r="AC29" s="24"/>
      <c r="AD29" s="24"/>
      <c r="AE29" s="25"/>
      <c r="AF29" s="24"/>
      <c r="AG29" s="24"/>
      <c r="AH29" s="24"/>
      <c r="AI29" s="24"/>
      <c r="AJ29" s="40"/>
      <c r="AK29" s="24"/>
      <c r="AL29" s="26"/>
      <c r="AM29" s="1"/>
      <c r="AN29" s="1"/>
      <c r="AR29" s="41"/>
    </row>
    <row r="30" spans="2:44" ht="36" customHeight="1" x14ac:dyDescent="0.25">
      <c r="B30" s="50"/>
      <c r="C30" s="51"/>
      <c r="D30" s="51"/>
      <c r="E30" s="51"/>
      <c r="F30" s="51"/>
      <c r="G30" s="51"/>
      <c r="H30" s="51"/>
      <c r="I30" s="51"/>
      <c r="J30" s="51"/>
      <c r="K30" s="52"/>
      <c r="L30" s="51"/>
      <c r="M30" s="52"/>
      <c r="N30" s="53"/>
      <c r="O30" s="53"/>
      <c r="P30" s="54"/>
      <c r="Q30" s="54"/>
      <c r="R30" s="55"/>
      <c r="S30" s="56"/>
      <c r="T30" s="55"/>
      <c r="U30" s="53"/>
      <c r="V30" s="53"/>
      <c r="W30" s="54"/>
      <c r="X30" s="57"/>
      <c r="Y30" s="23"/>
      <c r="Z30" s="24"/>
      <c r="AA30" s="24"/>
      <c r="AB30" s="24"/>
      <c r="AC30" s="24"/>
      <c r="AD30" s="24"/>
      <c r="AE30" s="25"/>
      <c r="AF30" s="24"/>
      <c r="AG30" s="24"/>
      <c r="AH30" s="24"/>
      <c r="AI30" s="24"/>
      <c r="AJ30" s="40"/>
      <c r="AK30" s="24"/>
      <c r="AL30" s="26"/>
      <c r="AM30" s="1"/>
      <c r="AN30" s="1"/>
      <c r="AR30" s="41"/>
    </row>
    <row r="31" spans="2:44" ht="36" customHeight="1" x14ac:dyDescent="0.25">
      <c r="B31" s="50"/>
      <c r="C31" s="51"/>
      <c r="D31" s="51"/>
      <c r="E31" s="51"/>
      <c r="F31" s="51"/>
      <c r="G31" s="51"/>
      <c r="H31" s="51"/>
      <c r="I31" s="51"/>
      <c r="J31" s="51"/>
      <c r="K31" s="52"/>
      <c r="L31" s="51"/>
      <c r="M31" s="52"/>
      <c r="N31" s="53"/>
      <c r="O31" s="53"/>
      <c r="P31" s="54"/>
      <c r="Q31" s="54"/>
      <c r="R31" s="55"/>
      <c r="S31" s="56"/>
      <c r="T31" s="55"/>
      <c r="U31" s="53"/>
      <c r="V31" s="53"/>
      <c r="W31" s="54"/>
      <c r="X31" s="57"/>
      <c r="Y31" s="23"/>
      <c r="Z31" s="24"/>
      <c r="AA31" s="24"/>
      <c r="AB31" s="24"/>
      <c r="AC31" s="24"/>
      <c r="AD31" s="24"/>
      <c r="AE31" s="25"/>
      <c r="AF31" s="24"/>
      <c r="AG31" s="24"/>
      <c r="AH31" s="24"/>
      <c r="AI31" s="24"/>
      <c r="AJ31" s="40"/>
      <c r="AK31" s="24"/>
      <c r="AL31" s="26"/>
      <c r="AM31" s="1"/>
      <c r="AN31" s="1"/>
      <c r="AR31" s="41"/>
    </row>
    <row r="32" spans="2:44" ht="36" customHeight="1" x14ac:dyDescent="0.25">
      <c r="B32" s="50"/>
      <c r="C32" s="51"/>
      <c r="D32" s="51"/>
      <c r="E32" s="51"/>
      <c r="F32" s="51"/>
      <c r="G32" s="51"/>
      <c r="H32" s="51"/>
      <c r="I32" s="51"/>
      <c r="J32" s="51"/>
      <c r="K32" s="52"/>
      <c r="L32" s="51"/>
      <c r="M32" s="52"/>
      <c r="N32" s="53"/>
      <c r="O32" s="53"/>
      <c r="P32" s="54"/>
      <c r="Q32" s="54"/>
      <c r="R32" s="55"/>
      <c r="S32" s="56"/>
      <c r="T32" s="55"/>
      <c r="U32" s="53"/>
      <c r="V32" s="53"/>
      <c r="W32" s="54"/>
      <c r="X32" s="57"/>
      <c r="Y32" s="23"/>
      <c r="Z32" s="24"/>
      <c r="AA32" s="24"/>
      <c r="AB32" s="24"/>
      <c r="AC32" s="24"/>
      <c r="AD32" s="24"/>
      <c r="AE32" s="25"/>
      <c r="AF32" s="24"/>
      <c r="AG32" s="24"/>
      <c r="AH32" s="24"/>
      <c r="AI32" s="24"/>
      <c r="AJ32" s="40"/>
      <c r="AK32" s="24"/>
      <c r="AL32" s="26"/>
      <c r="AM32" s="1"/>
      <c r="AN32" s="1"/>
      <c r="AR32" s="41"/>
    </row>
    <row r="33" spans="2:44" ht="36" customHeight="1" x14ac:dyDescent="0.25">
      <c r="B33" s="50"/>
      <c r="C33" s="51"/>
      <c r="D33" s="51"/>
      <c r="E33" s="51"/>
      <c r="F33" s="51"/>
      <c r="G33" s="51"/>
      <c r="H33" s="51"/>
      <c r="I33" s="51"/>
      <c r="J33" s="51"/>
      <c r="K33" s="52"/>
      <c r="L33" s="51"/>
      <c r="M33" s="52"/>
      <c r="N33" s="53"/>
      <c r="O33" s="53"/>
      <c r="P33" s="54"/>
      <c r="Q33" s="54"/>
      <c r="R33" s="55"/>
      <c r="S33" s="56"/>
      <c r="T33" s="55"/>
      <c r="U33" s="53"/>
      <c r="V33" s="53"/>
      <c r="W33" s="54"/>
      <c r="X33" s="57"/>
      <c r="Y33" s="23"/>
      <c r="Z33" s="24"/>
      <c r="AA33" s="24"/>
      <c r="AB33" s="24"/>
      <c r="AC33" s="24"/>
      <c r="AD33" s="24"/>
      <c r="AE33" s="25"/>
      <c r="AF33" s="24"/>
      <c r="AG33" s="24"/>
      <c r="AH33" s="24"/>
      <c r="AI33" s="24"/>
      <c r="AJ33" s="40"/>
      <c r="AK33" s="24"/>
      <c r="AL33" s="26"/>
      <c r="AM33" s="1"/>
      <c r="AN33" s="1"/>
      <c r="AR33" s="41"/>
    </row>
    <row r="34" spans="2:44" ht="36" customHeight="1" x14ac:dyDescent="0.25">
      <c r="B34" s="50"/>
      <c r="C34" s="51"/>
      <c r="D34" s="51"/>
      <c r="E34" s="51"/>
      <c r="F34" s="51"/>
      <c r="G34" s="51"/>
      <c r="H34" s="51"/>
      <c r="I34" s="51"/>
      <c r="J34" s="51"/>
      <c r="K34" s="52"/>
      <c r="L34" s="51"/>
      <c r="M34" s="52"/>
      <c r="N34" s="53"/>
      <c r="O34" s="53"/>
      <c r="P34" s="54"/>
      <c r="Q34" s="54"/>
      <c r="R34" s="55"/>
      <c r="S34" s="56"/>
      <c r="T34" s="55"/>
      <c r="U34" s="53"/>
      <c r="V34" s="53"/>
      <c r="W34" s="54"/>
      <c r="X34" s="57"/>
      <c r="Y34" s="23"/>
      <c r="Z34" s="24"/>
      <c r="AA34" s="24"/>
      <c r="AB34" s="24"/>
      <c r="AC34" s="24"/>
      <c r="AD34" s="24"/>
      <c r="AE34" s="25"/>
      <c r="AF34" s="24"/>
      <c r="AG34" s="24"/>
      <c r="AH34" s="24"/>
      <c r="AI34" s="24"/>
      <c r="AJ34" s="40"/>
      <c r="AK34" s="24"/>
      <c r="AL34" s="26"/>
      <c r="AM34" s="1"/>
      <c r="AN34" s="1"/>
      <c r="AR34" s="41"/>
    </row>
    <row r="35" spans="2:44" ht="36" customHeight="1" x14ac:dyDescent="0.25">
      <c r="B35" s="50"/>
      <c r="C35" s="51"/>
      <c r="D35" s="51"/>
      <c r="E35" s="51"/>
      <c r="F35" s="51"/>
      <c r="G35" s="51"/>
      <c r="H35" s="51"/>
      <c r="I35" s="51"/>
      <c r="J35" s="51"/>
      <c r="K35" s="52"/>
      <c r="L35" s="51"/>
      <c r="M35" s="52"/>
      <c r="N35" s="53"/>
      <c r="O35" s="53"/>
      <c r="P35" s="54"/>
      <c r="Q35" s="54"/>
      <c r="R35" s="55"/>
      <c r="S35" s="56"/>
      <c r="T35" s="55"/>
      <c r="U35" s="53"/>
      <c r="V35" s="53"/>
      <c r="W35" s="54"/>
      <c r="X35" s="57"/>
      <c r="Y35" s="23"/>
      <c r="Z35" s="24"/>
      <c r="AA35" s="24"/>
      <c r="AB35" s="24"/>
      <c r="AC35" s="24"/>
      <c r="AD35" s="24"/>
      <c r="AE35" s="25"/>
      <c r="AF35" s="24"/>
      <c r="AG35" s="24"/>
      <c r="AH35" s="24"/>
      <c r="AI35" s="24"/>
      <c r="AJ35" s="40"/>
      <c r="AK35" s="24"/>
      <c r="AL35" s="26"/>
      <c r="AM35" s="1"/>
      <c r="AN35" s="1"/>
      <c r="AR35" s="41"/>
    </row>
    <row r="36" spans="2:44" ht="36" customHeight="1" x14ac:dyDescent="0.25">
      <c r="B36" s="50"/>
      <c r="C36" s="51"/>
      <c r="D36" s="51"/>
      <c r="E36" s="51"/>
      <c r="F36" s="51"/>
      <c r="G36" s="51"/>
      <c r="H36" s="51"/>
      <c r="I36" s="51"/>
      <c r="J36" s="51"/>
      <c r="K36" s="52"/>
      <c r="L36" s="51"/>
      <c r="M36" s="52"/>
      <c r="N36" s="53"/>
      <c r="O36" s="53"/>
      <c r="P36" s="54"/>
      <c r="Q36" s="54"/>
      <c r="R36" s="55"/>
      <c r="S36" s="56"/>
      <c r="T36" s="55"/>
      <c r="U36" s="53"/>
      <c r="V36" s="53"/>
      <c r="W36" s="54"/>
      <c r="X36" s="57"/>
      <c r="Y36" s="23"/>
      <c r="Z36" s="24"/>
      <c r="AA36" s="24"/>
      <c r="AB36" s="24"/>
      <c r="AC36" s="24"/>
      <c r="AD36" s="24"/>
      <c r="AE36" s="25"/>
      <c r="AF36" s="24"/>
      <c r="AG36" s="24"/>
      <c r="AH36" s="24"/>
      <c r="AI36" s="24"/>
      <c r="AJ36" s="40"/>
      <c r="AK36" s="24"/>
      <c r="AL36" s="26"/>
      <c r="AM36" s="1"/>
      <c r="AN36" s="1"/>
      <c r="AR36" s="41"/>
    </row>
    <row r="37" spans="2:44" ht="36" customHeight="1" x14ac:dyDescent="0.25">
      <c r="B37" s="50"/>
      <c r="C37" s="51"/>
      <c r="D37" s="51"/>
      <c r="E37" s="51"/>
      <c r="F37" s="51"/>
      <c r="G37" s="51"/>
      <c r="H37" s="51"/>
      <c r="I37" s="51"/>
      <c r="J37" s="51"/>
      <c r="K37" s="52"/>
      <c r="L37" s="51"/>
      <c r="M37" s="52"/>
      <c r="N37" s="53"/>
      <c r="O37" s="53"/>
      <c r="P37" s="54"/>
      <c r="Q37" s="54"/>
      <c r="R37" s="55"/>
      <c r="S37" s="56"/>
      <c r="T37" s="55"/>
      <c r="U37" s="53"/>
      <c r="V37" s="53"/>
      <c r="W37" s="54"/>
      <c r="X37" s="57"/>
      <c r="Y37" s="23"/>
      <c r="Z37" s="24"/>
      <c r="AA37" s="24"/>
      <c r="AB37" s="24"/>
      <c r="AC37" s="24"/>
      <c r="AD37" s="24"/>
      <c r="AE37" s="25"/>
      <c r="AF37" s="24"/>
      <c r="AG37" s="24"/>
      <c r="AH37" s="24"/>
      <c r="AI37" s="24"/>
      <c r="AJ37" s="40"/>
      <c r="AK37" s="24"/>
      <c r="AL37" s="26"/>
      <c r="AM37" s="1"/>
      <c r="AN37" s="1"/>
      <c r="AR37" s="41"/>
    </row>
    <row r="38" spans="2:44" ht="36" customHeight="1" x14ac:dyDescent="0.25">
      <c r="B38" s="50"/>
      <c r="C38" s="51"/>
      <c r="D38" s="51"/>
      <c r="E38" s="51"/>
      <c r="F38" s="51"/>
      <c r="G38" s="51"/>
      <c r="H38" s="51"/>
      <c r="I38" s="51"/>
      <c r="J38" s="51"/>
      <c r="K38" s="52"/>
      <c r="L38" s="51"/>
      <c r="M38" s="52"/>
      <c r="N38" s="53"/>
      <c r="O38" s="53"/>
      <c r="P38" s="54"/>
      <c r="Q38" s="54"/>
      <c r="R38" s="55"/>
      <c r="S38" s="56"/>
      <c r="T38" s="55"/>
      <c r="U38" s="53"/>
      <c r="V38" s="53"/>
      <c r="W38" s="54"/>
      <c r="X38" s="57"/>
      <c r="Y38" s="23"/>
      <c r="Z38" s="24"/>
      <c r="AA38" s="24"/>
      <c r="AB38" s="24"/>
      <c r="AC38" s="24"/>
      <c r="AD38" s="24"/>
      <c r="AE38" s="25"/>
      <c r="AF38" s="24"/>
      <c r="AG38" s="24"/>
      <c r="AH38" s="24"/>
      <c r="AI38" s="24"/>
      <c r="AJ38" s="40"/>
      <c r="AK38" s="24"/>
      <c r="AL38" s="26"/>
      <c r="AM38" s="1"/>
      <c r="AN38" s="1"/>
      <c r="AR38" s="41"/>
    </row>
    <row r="39" spans="2:44" ht="36" customHeight="1" x14ac:dyDescent="0.25">
      <c r="B39" s="50"/>
      <c r="C39" s="51"/>
      <c r="D39" s="51"/>
      <c r="E39" s="51"/>
      <c r="F39" s="51"/>
      <c r="G39" s="51"/>
      <c r="H39" s="51"/>
      <c r="I39" s="51"/>
      <c r="J39" s="51"/>
      <c r="K39" s="52"/>
      <c r="L39" s="51"/>
      <c r="M39" s="52"/>
      <c r="N39" s="53"/>
      <c r="O39" s="53"/>
      <c r="P39" s="54"/>
      <c r="Q39" s="54"/>
      <c r="R39" s="55"/>
      <c r="S39" s="56"/>
      <c r="T39" s="55"/>
      <c r="U39" s="53"/>
      <c r="V39" s="53"/>
      <c r="W39" s="54"/>
      <c r="X39" s="57"/>
      <c r="Y39" s="23"/>
      <c r="Z39" s="24"/>
      <c r="AA39" s="24"/>
      <c r="AB39" s="24"/>
      <c r="AC39" s="24"/>
      <c r="AD39" s="24"/>
      <c r="AE39" s="25"/>
      <c r="AF39" s="24"/>
      <c r="AG39" s="24"/>
      <c r="AH39" s="24"/>
      <c r="AI39" s="24"/>
      <c r="AJ39" s="40"/>
      <c r="AK39" s="24"/>
      <c r="AL39" s="26"/>
      <c r="AM39" s="1"/>
      <c r="AN39" s="1"/>
      <c r="AR39" s="41"/>
    </row>
    <row r="40" spans="2:44" ht="36" customHeight="1" x14ac:dyDescent="0.25">
      <c r="B40" s="50"/>
      <c r="C40" s="51"/>
      <c r="D40" s="51"/>
      <c r="E40" s="51"/>
      <c r="F40" s="51"/>
      <c r="G40" s="51"/>
      <c r="H40" s="51"/>
      <c r="I40" s="51"/>
      <c r="J40" s="51"/>
      <c r="K40" s="52"/>
      <c r="L40" s="51"/>
      <c r="M40" s="52"/>
      <c r="N40" s="53"/>
      <c r="O40" s="53"/>
      <c r="P40" s="54"/>
      <c r="Q40" s="54"/>
      <c r="R40" s="55"/>
      <c r="S40" s="56"/>
      <c r="T40" s="55"/>
      <c r="U40" s="53"/>
      <c r="V40" s="53"/>
      <c r="W40" s="54"/>
      <c r="X40" s="57"/>
      <c r="Y40" s="23"/>
      <c r="Z40" s="24"/>
      <c r="AA40" s="24"/>
      <c r="AB40" s="24"/>
      <c r="AC40" s="24"/>
      <c r="AD40" s="24"/>
      <c r="AE40" s="25"/>
      <c r="AF40" s="24"/>
      <c r="AG40" s="24"/>
      <c r="AH40" s="24"/>
      <c r="AI40" s="24"/>
      <c r="AJ40" s="40"/>
      <c r="AK40" s="24"/>
      <c r="AL40" s="26"/>
      <c r="AM40" s="1"/>
      <c r="AN40" s="1"/>
      <c r="AR40" s="41"/>
    </row>
    <row r="41" spans="2:44" ht="36" customHeight="1" x14ac:dyDescent="0.25">
      <c r="B41" s="50"/>
      <c r="C41" s="51"/>
      <c r="D41" s="51"/>
      <c r="E41" s="51"/>
      <c r="F41" s="51"/>
      <c r="G41" s="51"/>
      <c r="H41" s="51"/>
      <c r="I41" s="51"/>
      <c r="J41" s="51"/>
      <c r="K41" s="52"/>
      <c r="L41" s="51"/>
      <c r="M41" s="52"/>
      <c r="N41" s="53"/>
      <c r="O41" s="53"/>
      <c r="P41" s="54"/>
      <c r="Q41" s="54"/>
      <c r="R41" s="55"/>
      <c r="S41" s="56"/>
      <c r="T41" s="55"/>
      <c r="U41" s="53"/>
      <c r="V41" s="53"/>
      <c r="W41" s="54"/>
      <c r="X41" s="57"/>
      <c r="Y41" s="23"/>
      <c r="Z41" s="24"/>
      <c r="AA41" s="24"/>
      <c r="AB41" s="24"/>
      <c r="AC41" s="24"/>
      <c r="AD41" s="24"/>
      <c r="AE41" s="25"/>
      <c r="AF41" s="24"/>
      <c r="AG41" s="24"/>
      <c r="AH41" s="24"/>
      <c r="AI41" s="24"/>
      <c r="AJ41" s="40"/>
      <c r="AK41" s="24"/>
      <c r="AL41" s="26"/>
      <c r="AM41" s="1"/>
      <c r="AN41" s="1"/>
      <c r="AR41" s="41"/>
    </row>
    <row r="42" spans="2:44" ht="36" customHeight="1" x14ac:dyDescent="0.25">
      <c r="B42" s="50"/>
      <c r="C42" s="51"/>
      <c r="D42" s="51"/>
      <c r="E42" s="51"/>
      <c r="F42" s="51"/>
      <c r="G42" s="51"/>
      <c r="H42" s="51"/>
      <c r="I42" s="51"/>
      <c r="J42" s="51"/>
      <c r="K42" s="52"/>
      <c r="L42" s="51"/>
      <c r="M42" s="52"/>
      <c r="N42" s="53"/>
      <c r="O42" s="53"/>
      <c r="P42" s="54"/>
      <c r="Q42" s="54"/>
      <c r="R42" s="55"/>
      <c r="S42" s="56"/>
      <c r="T42" s="55"/>
      <c r="U42" s="53"/>
      <c r="V42" s="53"/>
      <c r="W42" s="54"/>
      <c r="X42" s="57"/>
      <c r="Y42" s="23"/>
      <c r="Z42" s="24"/>
      <c r="AA42" s="24"/>
      <c r="AB42" s="24"/>
      <c r="AC42" s="24"/>
      <c r="AD42" s="24"/>
      <c r="AE42" s="25"/>
      <c r="AF42" s="24"/>
      <c r="AG42" s="24"/>
      <c r="AH42" s="24"/>
      <c r="AI42" s="24"/>
      <c r="AJ42" s="40"/>
      <c r="AK42" s="24"/>
      <c r="AL42" s="26"/>
      <c r="AM42" s="1"/>
      <c r="AN42" s="1"/>
      <c r="AR42" s="41"/>
    </row>
    <row r="43" spans="2:44" ht="36" customHeight="1" x14ac:dyDescent="0.25">
      <c r="B43" s="50"/>
      <c r="C43" s="51"/>
      <c r="D43" s="51"/>
      <c r="E43" s="51"/>
      <c r="F43" s="51"/>
      <c r="G43" s="51"/>
      <c r="H43" s="51"/>
      <c r="I43" s="51"/>
      <c r="J43" s="51"/>
      <c r="K43" s="52"/>
      <c r="L43" s="51"/>
      <c r="M43" s="52"/>
      <c r="N43" s="53"/>
      <c r="O43" s="53"/>
      <c r="P43" s="54"/>
      <c r="Q43" s="54"/>
      <c r="R43" s="55"/>
      <c r="S43" s="56"/>
      <c r="T43" s="55"/>
      <c r="U43" s="53"/>
      <c r="V43" s="53"/>
      <c r="W43" s="54"/>
      <c r="X43" s="57"/>
      <c r="Y43" s="23"/>
      <c r="Z43" s="24"/>
      <c r="AA43" s="24"/>
      <c r="AB43" s="24"/>
      <c r="AC43" s="24"/>
      <c r="AD43" s="24"/>
      <c r="AE43" s="25"/>
      <c r="AF43" s="24"/>
      <c r="AG43" s="24"/>
      <c r="AH43" s="24"/>
      <c r="AI43" s="24"/>
      <c r="AJ43" s="40"/>
      <c r="AK43" s="24"/>
      <c r="AL43" s="26"/>
      <c r="AM43" s="1"/>
      <c r="AN43" s="1"/>
      <c r="AR43" s="41"/>
    </row>
    <row r="44" spans="2:44" ht="36" customHeight="1" x14ac:dyDescent="0.25">
      <c r="B44" s="50"/>
      <c r="C44" s="51"/>
      <c r="D44" s="51"/>
      <c r="E44" s="51"/>
      <c r="F44" s="51"/>
      <c r="G44" s="51"/>
      <c r="H44" s="51"/>
      <c r="I44" s="51"/>
      <c r="J44" s="51"/>
      <c r="K44" s="52"/>
      <c r="L44" s="51"/>
      <c r="M44" s="52"/>
      <c r="N44" s="53"/>
      <c r="O44" s="53"/>
      <c r="P44" s="54"/>
      <c r="Q44" s="54"/>
      <c r="R44" s="55"/>
      <c r="S44" s="56"/>
      <c r="T44" s="55"/>
      <c r="U44" s="53"/>
      <c r="V44" s="53"/>
      <c r="W44" s="54"/>
      <c r="X44" s="57"/>
      <c r="Y44" s="23"/>
      <c r="Z44" s="24"/>
      <c r="AA44" s="24"/>
      <c r="AB44" s="24"/>
      <c r="AC44" s="24"/>
      <c r="AD44" s="24"/>
      <c r="AE44" s="25"/>
      <c r="AF44" s="24"/>
      <c r="AG44" s="24"/>
      <c r="AH44" s="24"/>
      <c r="AI44" s="24"/>
      <c r="AJ44" s="40"/>
      <c r="AK44" s="24"/>
      <c r="AL44" s="26"/>
      <c r="AM44" s="1"/>
      <c r="AN44" s="1"/>
      <c r="AR44" s="41"/>
    </row>
    <row r="45" spans="2:44" ht="36" customHeight="1" x14ac:dyDescent="0.25">
      <c r="B45" s="50"/>
      <c r="C45" s="51"/>
      <c r="D45" s="51"/>
      <c r="E45" s="51"/>
      <c r="F45" s="51"/>
      <c r="G45" s="51"/>
      <c r="H45" s="51"/>
      <c r="I45" s="51"/>
      <c r="J45" s="51"/>
      <c r="K45" s="52"/>
      <c r="L45" s="51"/>
      <c r="M45" s="52"/>
      <c r="N45" s="53"/>
      <c r="O45" s="53"/>
      <c r="P45" s="54"/>
      <c r="Q45" s="54"/>
      <c r="R45" s="55"/>
      <c r="S45" s="56"/>
      <c r="T45" s="55"/>
      <c r="U45" s="53"/>
      <c r="V45" s="53"/>
      <c r="W45" s="54"/>
      <c r="X45" s="57"/>
      <c r="Y45" s="23"/>
      <c r="Z45" s="24"/>
      <c r="AA45" s="24"/>
      <c r="AB45" s="24"/>
      <c r="AC45" s="24"/>
      <c r="AD45" s="24"/>
      <c r="AE45" s="25"/>
      <c r="AF45" s="24"/>
      <c r="AG45" s="24"/>
      <c r="AH45" s="24"/>
      <c r="AI45" s="24"/>
      <c r="AJ45" s="40"/>
      <c r="AK45" s="24"/>
      <c r="AL45" s="26"/>
      <c r="AM45" s="1"/>
      <c r="AN45" s="1"/>
      <c r="AR45" s="41"/>
    </row>
    <row r="46" spans="2:44" ht="36" customHeight="1" x14ac:dyDescent="0.25">
      <c r="B46" s="50"/>
      <c r="C46" s="51"/>
      <c r="D46" s="51"/>
      <c r="E46" s="51"/>
      <c r="F46" s="51"/>
      <c r="G46" s="51"/>
      <c r="H46" s="51"/>
      <c r="I46" s="51"/>
      <c r="J46" s="51"/>
      <c r="K46" s="52"/>
      <c r="L46" s="51"/>
      <c r="M46" s="52"/>
      <c r="N46" s="53"/>
      <c r="O46" s="53"/>
      <c r="P46" s="54"/>
      <c r="Q46" s="54"/>
      <c r="R46" s="55"/>
      <c r="S46" s="56"/>
      <c r="T46" s="55"/>
      <c r="U46" s="53"/>
      <c r="V46" s="53"/>
      <c r="W46" s="54"/>
      <c r="X46" s="57"/>
      <c r="Y46" s="23"/>
      <c r="Z46" s="24"/>
      <c r="AA46" s="24"/>
      <c r="AB46" s="24"/>
      <c r="AC46" s="24"/>
      <c r="AD46" s="24"/>
      <c r="AE46" s="25"/>
      <c r="AF46" s="24"/>
      <c r="AG46" s="24"/>
      <c r="AH46" s="24"/>
      <c r="AI46" s="24"/>
      <c r="AJ46" s="40"/>
      <c r="AK46" s="24"/>
      <c r="AL46" s="26"/>
      <c r="AM46" s="1"/>
      <c r="AN46" s="1"/>
      <c r="AR46" s="41"/>
    </row>
    <row r="47" spans="2:44" ht="36" customHeight="1" x14ac:dyDescent="0.25">
      <c r="B47" s="50"/>
      <c r="C47" s="51"/>
      <c r="D47" s="51"/>
      <c r="E47" s="51"/>
      <c r="F47" s="51"/>
      <c r="G47" s="51"/>
      <c r="H47" s="51"/>
      <c r="I47" s="51"/>
      <c r="J47" s="51"/>
      <c r="K47" s="52"/>
      <c r="L47" s="51"/>
      <c r="M47" s="52"/>
      <c r="N47" s="53"/>
      <c r="O47" s="53"/>
      <c r="P47" s="54"/>
      <c r="Q47" s="54"/>
      <c r="R47" s="55"/>
      <c r="S47" s="56"/>
      <c r="T47" s="55"/>
      <c r="U47" s="53"/>
      <c r="V47" s="53"/>
      <c r="W47" s="54"/>
      <c r="X47" s="57"/>
      <c r="Y47" s="23"/>
      <c r="Z47" s="24"/>
      <c r="AA47" s="24"/>
      <c r="AB47" s="24"/>
      <c r="AC47" s="24"/>
      <c r="AD47" s="24"/>
      <c r="AE47" s="25"/>
      <c r="AF47" s="24"/>
      <c r="AG47" s="24"/>
      <c r="AH47" s="24"/>
      <c r="AI47" s="24"/>
      <c r="AJ47" s="40"/>
      <c r="AK47" s="24"/>
      <c r="AL47" s="26"/>
      <c r="AM47" s="1"/>
      <c r="AN47" s="1"/>
      <c r="AR47" s="41"/>
    </row>
    <row r="48" spans="2:44" ht="36" customHeight="1" x14ac:dyDescent="0.25">
      <c r="B48" s="50"/>
      <c r="C48" s="51"/>
      <c r="D48" s="51"/>
      <c r="E48" s="51"/>
      <c r="F48" s="51"/>
      <c r="G48" s="51"/>
      <c r="H48" s="51"/>
      <c r="I48" s="51"/>
      <c r="J48" s="51"/>
      <c r="K48" s="52"/>
      <c r="L48" s="51"/>
      <c r="M48" s="52"/>
      <c r="N48" s="53"/>
      <c r="O48" s="53"/>
      <c r="P48" s="54"/>
      <c r="Q48" s="54"/>
      <c r="R48" s="55"/>
      <c r="S48" s="56"/>
      <c r="T48" s="55"/>
      <c r="U48" s="53"/>
      <c r="V48" s="53"/>
      <c r="W48" s="54"/>
      <c r="X48" s="57"/>
      <c r="Y48" s="23"/>
      <c r="Z48" s="24"/>
      <c r="AA48" s="24"/>
      <c r="AB48" s="24"/>
      <c r="AC48" s="24"/>
      <c r="AD48" s="24"/>
      <c r="AE48" s="25"/>
      <c r="AF48" s="24"/>
      <c r="AG48" s="24"/>
      <c r="AH48" s="24"/>
      <c r="AI48" s="24"/>
      <c r="AJ48" s="40"/>
      <c r="AK48" s="24"/>
      <c r="AL48" s="26"/>
      <c r="AM48" s="1"/>
      <c r="AN48" s="1"/>
      <c r="AR48" s="41"/>
    </row>
    <row r="49" spans="1:44" ht="36" customHeight="1" x14ac:dyDescent="0.25">
      <c r="B49" s="50"/>
      <c r="C49" s="51"/>
      <c r="D49" s="51"/>
      <c r="E49" s="51"/>
      <c r="F49" s="51"/>
      <c r="G49" s="51"/>
      <c r="H49" s="51"/>
      <c r="I49" s="51"/>
      <c r="J49" s="51"/>
      <c r="K49" s="52"/>
      <c r="L49" s="51"/>
      <c r="M49" s="52"/>
      <c r="N49" s="53"/>
      <c r="O49" s="53"/>
      <c r="P49" s="54"/>
      <c r="Q49" s="54"/>
      <c r="R49" s="55"/>
      <c r="S49" s="56"/>
      <c r="T49" s="55"/>
      <c r="U49" s="53"/>
      <c r="V49" s="53"/>
      <c r="W49" s="54"/>
      <c r="X49" s="57"/>
      <c r="Y49" s="23"/>
      <c r="Z49" s="24"/>
      <c r="AA49" s="24"/>
      <c r="AB49" s="24"/>
      <c r="AC49" s="24"/>
      <c r="AD49" s="24"/>
      <c r="AE49" s="25"/>
      <c r="AF49" s="24"/>
      <c r="AG49" s="24"/>
      <c r="AH49" s="24"/>
      <c r="AI49" s="24"/>
      <c r="AJ49" s="40"/>
      <c r="AK49" s="24"/>
      <c r="AL49" s="26"/>
      <c r="AM49" s="1"/>
      <c r="AN49" s="1"/>
      <c r="AR49" s="41"/>
    </row>
    <row r="50" spans="1:44" ht="36" customHeight="1" x14ac:dyDescent="0.25">
      <c r="B50" s="50"/>
      <c r="C50" s="51"/>
      <c r="D50" s="51"/>
      <c r="E50" s="51"/>
      <c r="F50" s="51"/>
      <c r="G50" s="51"/>
      <c r="H50" s="51"/>
      <c r="I50" s="51"/>
      <c r="J50" s="51"/>
      <c r="K50" s="52"/>
      <c r="L50" s="51"/>
      <c r="M50" s="52"/>
      <c r="N50" s="53"/>
      <c r="O50" s="53"/>
      <c r="P50" s="54"/>
      <c r="Q50" s="54"/>
      <c r="R50" s="55"/>
      <c r="S50" s="56"/>
      <c r="T50" s="55"/>
      <c r="U50" s="53"/>
      <c r="V50" s="53"/>
      <c r="W50" s="54"/>
      <c r="X50" s="57"/>
      <c r="Y50" s="23"/>
      <c r="Z50" s="24"/>
      <c r="AA50" s="24"/>
      <c r="AB50" s="24"/>
      <c r="AC50" s="24"/>
      <c r="AD50" s="24"/>
      <c r="AE50" s="25"/>
      <c r="AF50" s="24"/>
      <c r="AG50" s="24"/>
      <c r="AH50" s="24"/>
      <c r="AI50" s="24"/>
      <c r="AJ50" s="40"/>
      <c r="AK50" s="24"/>
      <c r="AL50" s="26"/>
      <c r="AM50" s="1"/>
      <c r="AN50" s="1"/>
      <c r="AR50" s="41"/>
    </row>
    <row r="51" spans="1:44" ht="36" customHeight="1" x14ac:dyDescent="0.25">
      <c r="B51" s="50"/>
      <c r="C51" s="51"/>
      <c r="D51" s="51"/>
      <c r="E51" s="51"/>
      <c r="F51" s="51"/>
      <c r="G51" s="51"/>
      <c r="H51" s="51"/>
      <c r="I51" s="51"/>
      <c r="J51" s="51"/>
      <c r="K51" s="52"/>
      <c r="L51" s="51"/>
      <c r="M51" s="52"/>
      <c r="N51" s="53"/>
      <c r="O51" s="53"/>
      <c r="P51" s="54"/>
      <c r="Q51" s="54"/>
      <c r="R51" s="55"/>
      <c r="S51" s="56"/>
      <c r="T51" s="55"/>
      <c r="U51" s="53"/>
      <c r="V51" s="53"/>
      <c r="W51" s="54"/>
      <c r="X51" s="57"/>
      <c r="Y51" s="23"/>
      <c r="Z51" s="24"/>
      <c r="AA51" s="24"/>
      <c r="AB51" s="24"/>
      <c r="AC51" s="24"/>
      <c r="AD51" s="24"/>
      <c r="AE51" s="25"/>
      <c r="AF51" s="24"/>
      <c r="AG51" s="24"/>
      <c r="AH51" s="24"/>
      <c r="AI51" s="24"/>
      <c r="AJ51" s="40"/>
      <c r="AK51" s="24"/>
      <c r="AL51" s="26"/>
      <c r="AM51" s="1"/>
      <c r="AN51" s="1"/>
      <c r="AR51" s="41"/>
    </row>
    <row r="52" spans="1:44" ht="34.15" customHeight="1" x14ac:dyDescent="0.25">
      <c r="B52" s="58"/>
      <c r="C52" s="59"/>
      <c r="D52" s="59"/>
      <c r="E52" s="59"/>
      <c r="F52" s="59"/>
      <c r="G52" s="59"/>
      <c r="H52" s="59"/>
      <c r="I52" s="59"/>
      <c r="J52" s="59"/>
      <c r="K52" s="60"/>
      <c r="L52" s="59"/>
      <c r="M52" s="60"/>
      <c r="N52" s="61"/>
      <c r="O52" s="61"/>
      <c r="P52" s="62"/>
      <c r="Q52" s="62"/>
      <c r="R52" s="63"/>
      <c r="S52" s="64"/>
      <c r="T52" s="63"/>
      <c r="U52" s="61"/>
      <c r="V52" s="61"/>
      <c r="W52" s="62"/>
      <c r="X52" s="65"/>
      <c r="Y52" s="66"/>
      <c r="Z52" s="67"/>
      <c r="AA52" s="67"/>
      <c r="AB52" s="67"/>
      <c r="AC52" s="67"/>
      <c r="AD52" s="67"/>
      <c r="AE52" s="68"/>
      <c r="AF52" s="67"/>
      <c r="AG52" s="67"/>
      <c r="AH52" s="67"/>
      <c r="AI52" s="67"/>
      <c r="AJ52" s="69"/>
      <c r="AK52" s="67"/>
      <c r="AL52" s="70"/>
      <c r="AM52" s="71"/>
      <c r="AN52" s="71"/>
      <c r="AO52" s="72"/>
      <c r="AP52" s="72"/>
      <c r="AQ52" s="72"/>
      <c r="AR52" s="73"/>
    </row>
    <row r="53" spans="1:44" ht="28.5" x14ac:dyDescent="0.25">
      <c r="B53" s="58" t="s">
        <v>212</v>
      </c>
      <c r="C53" s="59">
        <v>1</v>
      </c>
      <c r="D53" s="59" t="s">
        <v>213</v>
      </c>
      <c r="E53" s="59" t="s">
        <v>214</v>
      </c>
      <c r="F53" s="59" t="s">
        <v>215</v>
      </c>
      <c r="G53" s="59" t="e">
        <f>(IF(LEFT(B53)="П",ROUNDUP(SUMIF([2]ВО!S$1:S$65536,ХОВС!B53,[2]ВО!N$1:N$65536)*Kup,-1),IF(LEFT(B53)="В",ROUNDUP(SUM(SUMIF([2]ВО!T$1:T$65536,ХОВС!B53,[2]ВО!O$1:O$65536)*Kup,SUMIF([2]ВО!R$1:R$65536,ХОВС!B53,[2]ВО!M$1:M$65536)*Kup),-1),IF(LEFT(B53)="М",ROUNDUP(SUMIF([2]ВО!R$1:R$65536,ХОВС!B53,[2]ВО!M$1:M$65536)*Kup,-1)))))*1.1</f>
        <v>#VALUE!</v>
      </c>
      <c r="H53" s="59">
        <v>220</v>
      </c>
      <c r="I53" s="59">
        <v>2450</v>
      </c>
      <c r="J53" s="59" t="s">
        <v>216</v>
      </c>
      <c r="K53" s="60">
        <v>0.157</v>
      </c>
      <c r="L53" s="59">
        <f t="shared" ref="L53:L59" si="0">I53</f>
        <v>2450</v>
      </c>
      <c r="M53" s="60" t="s">
        <v>217</v>
      </c>
      <c r="N53" s="61">
        <v>-24</v>
      </c>
      <c r="O53" s="61">
        <v>18</v>
      </c>
      <c r="P53" s="62" t="e">
        <f t="shared" ref="P53:P64" si="1">ROUNDUP(G53*1.2*1.005*(O53-N53)/3600,1)</f>
        <v>#VALUE!</v>
      </c>
      <c r="Q53" s="62">
        <v>3</v>
      </c>
      <c r="R53" s="63" t="s">
        <v>218</v>
      </c>
      <c r="S53" s="63" t="s">
        <v>55</v>
      </c>
      <c r="T53" s="63" t="s">
        <v>55</v>
      </c>
      <c r="U53" s="61" t="s">
        <v>55</v>
      </c>
      <c r="V53" s="61" t="s">
        <v>55</v>
      </c>
      <c r="W53" s="62" t="s">
        <v>55</v>
      </c>
      <c r="X53" s="65" t="s">
        <v>55</v>
      </c>
      <c r="Y53" s="66"/>
      <c r="Z53" s="67" t="e">
        <f>P53</f>
        <v>#VALUE!</v>
      </c>
      <c r="AA53" s="67" t="s">
        <v>55</v>
      </c>
      <c r="AB53" s="67"/>
      <c r="AC53" s="67"/>
      <c r="AD53" s="67" t="s">
        <v>55</v>
      </c>
      <c r="AE53" s="68">
        <f>K53*C53+Q53*C53</f>
        <v>3.157</v>
      </c>
      <c r="AF53" s="67" t="s">
        <v>55</v>
      </c>
      <c r="AG53" s="67" t="s">
        <v>206</v>
      </c>
      <c r="AH53" s="67" t="s">
        <v>55</v>
      </c>
      <c r="AI53" s="67" t="s">
        <v>55</v>
      </c>
      <c r="AJ53" s="67" t="s">
        <v>207</v>
      </c>
      <c r="AK53" s="67" t="s">
        <v>208</v>
      </c>
      <c r="AL53" s="70" t="s">
        <v>219</v>
      </c>
      <c r="AM53" s="71" t="s">
        <v>220</v>
      </c>
      <c r="AN53" s="74">
        <f>SUM(K7:K144)</f>
        <v>70.688999999999965</v>
      </c>
      <c r="AO53" s="75">
        <f>SUM(K179:K182)</f>
        <v>9.5999999999999979</v>
      </c>
      <c r="AP53" s="75">
        <f>SUM(K147:K176)</f>
        <v>91.5</v>
      </c>
      <c r="AQ53" s="72"/>
      <c r="AR53" s="76"/>
    </row>
    <row r="54" spans="1:44" ht="30" x14ac:dyDescent="0.25">
      <c r="B54" s="58" t="s">
        <v>221</v>
      </c>
      <c r="C54" s="59">
        <v>1</v>
      </c>
      <c r="D54" s="59" t="s">
        <v>222</v>
      </c>
      <c r="E54" s="59" t="s">
        <v>214</v>
      </c>
      <c r="F54" s="77" t="s">
        <v>223</v>
      </c>
      <c r="G54" s="59" t="e">
        <f>(IF(LEFT(B54)="П",ROUNDUP(SUMIF([2]ВО!S$1:S$65536,ХОВС!B54,[2]ВО!N$1:N$65536)*Kup,-1),IF(LEFT(B54)="В",ROUNDUP(SUM(SUMIF([2]ВО!T$1:T$65536,ХОВС!B54,[2]ВО!O$1:O$65536)*Kup,SUMIF([2]ВО!R$1:R$65536,ХОВС!B54,[2]ВО!M$1:M$65536)*Kup),-1),IF(LEFT(B54)="М",ROUNDUP(SUMIF([2]ВО!R$1:R$65536,ХОВС!B54,[2]ВО!M$1:M$65536)*Kup,-1)))))*1.1</f>
        <v>#VALUE!</v>
      </c>
      <c r="H54" s="59">
        <f>200</f>
        <v>200</v>
      </c>
      <c r="I54" s="59">
        <v>2581</v>
      </c>
      <c r="J54" s="59" t="s">
        <v>224</v>
      </c>
      <c r="K54" s="60">
        <v>1.1000000000000001</v>
      </c>
      <c r="L54" s="59">
        <f t="shared" si="0"/>
        <v>2581</v>
      </c>
      <c r="M54" s="60" t="s">
        <v>225</v>
      </c>
      <c r="N54" s="61">
        <v>-24</v>
      </c>
      <c r="O54" s="61">
        <v>20</v>
      </c>
      <c r="P54" s="62" t="e">
        <f>ROUNDUP(G54*1.2*1.005*(O54-N54)/3600,1)</f>
        <v>#VALUE!</v>
      </c>
      <c r="Q54" s="62">
        <v>28.177</v>
      </c>
      <c r="R54" s="63" t="s">
        <v>218</v>
      </c>
      <c r="S54" s="63" t="s">
        <v>55</v>
      </c>
      <c r="T54" s="63"/>
      <c r="U54" s="61"/>
      <c r="V54" s="61"/>
      <c r="W54" s="62"/>
      <c r="X54" s="65"/>
      <c r="Y54" s="66"/>
      <c r="Z54" s="67" t="e">
        <f>P54</f>
        <v>#VALUE!</v>
      </c>
      <c r="AA54" s="67" t="s">
        <v>55</v>
      </c>
      <c r="AB54" s="67"/>
      <c r="AC54" s="67"/>
      <c r="AD54" s="67" t="s">
        <v>55</v>
      </c>
      <c r="AE54" s="68">
        <f>K54*C54+Q54*C54</f>
        <v>29.277000000000001</v>
      </c>
      <c r="AF54" s="67" t="s">
        <v>206</v>
      </c>
      <c r="AG54" s="67" t="s">
        <v>206</v>
      </c>
      <c r="AH54" s="67" t="s">
        <v>55</v>
      </c>
      <c r="AI54" s="67" t="s">
        <v>55</v>
      </c>
      <c r="AJ54" s="69" t="s">
        <v>226</v>
      </c>
      <c r="AK54" s="67" t="s">
        <v>208</v>
      </c>
      <c r="AL54" s="70" t="s">
        <v>227</v>
      </c>
      <c r="AM54" s="71" t="s">
        <v>220</v>
      </c>
      <c r="AN54" s="74">
        <f>SUM(K6:K144)</f>
        <v>80.689000000000036</v>
      </c>
      <c r="AO54" s="75">
        <f>K178</f>
        <v>1.1000000000000001</v>
      </c>
      <c r="AP54" s="75" t="e">
        <f>#REF!+Q171+Q173</f>
        <v>#REF!</v>
      </c>
      <c r="AQ54" s="72"/>
      <c r="AR54" s="76"/>
    </row>
    <row r="55" spans="1:44" ht="30" x14ac:dyDescent="0.25">
      <c r="B55" s="58" t="s">
        <v>228</v>
      </c>
      <c r="C55" s="59">
        <v>1</v>
      </c>
      <c r="D55" s="59" t="s">
        <v>229</v>
      </c>
      <c r="E55" s="59" t="s">
        <v>214</v>
      </c>
      <c r="F55" s="59" t="s">
        <v>230</v>
      </c>
      <c r="G55" s="59" t="e">
        <f>(IF(LEFT(B55)="П",ROUNDUP(SUMIF([2]ВО!S$1:S$65536,ХОВС!B55,[2]ВО!N$1:N$65536)*Kup,-1),IF(LEFT(B55)="В",ROUNDUP(SUM(SUMIF([2]ВО!T$1:T$65536,ХОВС!B55,[2]ВО!O$1:O$65536)*Kup,SUMIF([2]ВО!R$1:R$65536,ХОВС!B55,[2]ВО!M$1:M$65536)*Kup),-1),IF(LEFT(B55)="М",ROUNDUP(SUMIF([2]ВО!R$1:R$65536,ХОВС!B55,[2]ВО!M$1:M$65536)*Kup,-1)))))*1.1</f>
        <v>#VALUE!</v>
      </c>
      <c r="H55" s="59">
        <v>200</v>
      </c>
      <c r="I55" s="59">
        <v>2600</v>
      </c>
      <c r="J55" s="59" t="s">
        <v>216</v>
      </c>
      <c r="K55" s="60">
        <v>0.29499999999999998</v>
      </c>
      <c r="L55" s="59">
        <f t="shared" si="0"/>
        <v>2600</v>
      </c>
      <c r="M55" s="60" t="s">
        <v>217</v>
      </c>
      <c r="N55" s="61">
        <v>-24</v>
      </c>
      <c r="O55" s="61">
        <v>20</v>
      </c>
      <c r="P55" s="62" t="e">
        <f t="shared" si="1"/>
        <v>#VALUE!</v>
      </c>
      <c r="Q55" s="62">
        <v>6</v>
      </c>
      <c r="R55" s="63" t="s">
        <v>218</v>
      </c>
      <c r="S55" s="63" t="s">
        <v>55</v>
      </c>
      <c r="T55" s="63" t="s">
        <v>55</v>
      </c>
      <c r="U55" s="61" t="s">
        <v>55</v>
      </c>
      <c r="V55" s="61" t="s">
        <v>55</v>
      </c>
      <c r="W55" s="62" t="s">
        <v>55</v>
      </c>
      <c r="X55" s="65" t="s">
        <v>55</v>
      </c>
      <c r="Y55" s="66"/>
      <c r="Z55" s="67" t="e">
        <f>P55</f>
        <v>#VALUE!</v>
      </c>
      <c r="AA55" s="67" t="s">
        <v>55</v>
      </c>
      <c r="AB55" s="67"/>
      <c r="AC55" s="67"/>
      <c r="AD55" s="67" t="s">
        <v>55</v>
      </c>
      <c r="AE55" s="68">
        <f>K55*C55+Q55*C55</f>
        <v>6.2949999999999999</v>
      </c>
      <c r="AF55" s="67" t="s">
        <v>206</v>
      </c>
      <c r="AG55" s="67" t="s">
        <v>206</v>
      </c>
      <c r="AH55" s="67" t="s">
        <v>55</v>
      </c>
      <c r="AI55" s="67" t="s">
        <v>55</v>
      </c>
      <c r="AJ55" s="69" t="s">
        <v>226</v>
      </c>
      <c r="AK55" s="67" t="s">
        <v>208</v>
      </c>
      <c r="AL55" s="70"/>
      <c r="AM55" s="71"/>
      <c r="AN55" s="71"/>
      <c r="AO55" s="72"/>
      <c r="AP55" s="72"/>
      <c r="AQ55" s="72"/>
      <c r="AR55" s="76"/>
    </row>
    <row r="56" spans="1:44" s="29" customFormat="1" ht="45" x14ac:dyDescent="0.25">
      <c r="A56" s="5"/>
      <c r="B56" s="58" t="s">
        <v>231</v>
      </c>
      <c r="C56" s="59">
        <v>1</v>
      </c>
      <c r="D56" s="59" t="s">
        <v>232</v>
      </c>
      <c r="E56" s="59" t="s">
        <v>233</v>
      </c>
      <c r="F56" s="59" t="s">
        <v>234</v>
      </c>
      <c r="G56" s="59" t="e">
        <f>(IF(LEFT(B56)="П",ROUNDUP(SUMIF([2]ВО!S$1:S$65536,ХОВС!B56,[2]ВО!N$1:N$65536)*Kup,-1),IF(LEFT(B56)="В",ROUNDUP(SUM(SUMIF([2]ВО!T$1:T$65536,ХОВС!B56,[2]ВО!O$1:O$65536)*Kup,SUMIF([2]ВО!R$1:R$65536,ХОВС!B56,[2]ВО!M$1:M$65536)*Kup),-1),IF(LEFT(B56)="М",ROUNDUP(SUMIF([2]ВО!R$1:R$65536,ХОВС!B56,[2]ВО!M$1:M$65536)*Kup,-1)))))*1.1</f>
        <v>#VALUE!</v>
      </c>
      <c r="H56" s="59">
        <v>120</v>
      </c>
      <c r="I56" s="59">
        <v>2450</v>
      </c>
      <c r="J56" s="59" t="s">
        <v>224</v>
      </c>
      <c r="K56" s="60">
        <v>0.29499999999999998</v>
      </c>
      <c r="L56" s="59">
        <f t="shared" si="0"/>
        <v>2450</v>
      </c>
      <c r="M56" s="60" t="s">
        <v>217</v>
      </c>
      <c r="N56" s="61">
        <v>-24</v>
      </c>
      <c r="O56" s="61">
        <v>20</v>
      </c>
      <c r="P56" s="62" t="e">
        <f t="shared" si="1"/>
        <v>#VALUE!</v>
      </c>
      <c r="Q56" s="62">
        <v>6</v>
      </c>
      <c r="R56" s="63" t="s">
        <v>203</v>
      </c>
      <c r="S56" s="63" t="s">
        <v>55</v>
      </c>
      <c r="T56" s="63" t="s">
        <v>55</v>
      </c>
      <c r="U56" s="61" t="s">
        <v>55</v>
      </c>
      <c r="V56" s="61" t="s">
        <v>55</v>
      </c>
      <c r="W56" s="62" t="s">
        <v>55</v>
      </c>
      <c r="X56" s="65" t="s">
        <v>55</v>
      </c>
      <c r="Y56" s="66"/>
      <c r="Z56" s="67" t="e">
        <f>P56</f>
        <v>#VALUE!</v>
      </c>
      <c r="AA56" s="67" t="s">
        <v>55</v>
      </c>
      <c r="AB56" s="67"/>
      <c r="AC56" s="67"/>
      <c r="AD56" s="67" t="s">
        <v>55</v>
      </c>
      <c r="AE56" s="68">
        <f>K56*C56+Q56*C56</f>
        <v>6.2949999999999999</v>
      </c>
      <c r="AF56" s="67" t="s">
        <v>206</v>
      </c>
      <c r="AG56" s="67" t="s">
        <v>206</v>
      </c>
      <c r="AH56" s="67" t="s">
        <v>55</v>
      </c>
      <c r="AI56" s="67" t="s">
        <v>55</v>
      </c>
      <c r="AJ56" s="69" t="s">
        <v>226</v>
      </c>
      <c r="AK56" s="67" t="s">
        <v>208</v>
      </c>
      <c r="AL56" s="70"/>
      <c r="AM56" s="71"/>
      <c r="AN56" s="71"/>
      <c r="AO56" s="72"/>
      <c r="AP56" s="72"/>
      <c r="AQ56" s="72"/>
      <c r="AR56" s="78" t="s">
        <v>235</v>
      </c>
    </row>
    <row r="57" spans="1:44" s="29" customFormat="1" ht="45" x14ac:dyDescent="0.25">
      <c r="A57" s="5"/>
      <c r="B57" s="58" t="s">
        <v>236</v>
      </c>
      <c r="C57" s="59">
        <v>1</v>
      </c>
      <c r="D57" s="59" t="s">
        <v>232</v>
      </c>
      <c r="E57" s="59" t="s">
        <v>233</v>
      </c>
      <c r="F57" s="59" t="s">
        <v>234</v>
      </c>
      <c r="G57" s="59" t="e">
        <f>(IF(LEFT(B57)="П",ROUNDUP(SUMIF([2]ВО!S$1:S$65536,ХОВС!B57,[2]ВО!N$1:N$65536)*Kup,-1),IF(LEFT(B57)="В",ROUNDUP(SUM(SUMIF([2]ВО!T$1:T$65536,ХОВС!B57,[2]ВО!O$1:O$65536)*Kup,SUMIF([2]ВО!R$1:R$65536,ХОВС!B57,[2]ВО!M$1:M$65536)*Kup),-1),IF(LEFT(B57)="М",ROUNDUP(SUMIF([2]ВО!R$1:R$65536,ХОВС!B57,[2]ВО!M$1:M$65536)*Kup,-1)))))*1.1</f>
        <v>#VALUE!</v>
      </c>
      <c r="H57" s="59">
        <v>120</v>
      </c>
      <c r="I57" s="59">
        <v>2450</v>
      </c>
      <c r="J57" s="59" t="s">
        <v>224</v>
      </c>
      <c r="K57" s="60">
        <v>0.29499999999999998</v>
      </c>
      <c r="L57" s="59">
        <f t="shared" si="0"/>
        <v>2450</v>
      </c>
      <c r="M57" s="60" t="s">
        <v>217</v>
      </c>
      <c r="N57" s="61">
        <v>-24</v>
      </c>
      <c r="O57" s="61">
        <v>20</v>
      </c>
      <c r="P57" s="62" t="e">
        <f>ROUNDUP(G57*1.2*1.005*(O57-N57)/3600,1)</f>
        <v>#VALUE!</v>
      </c>
      <c r="Q57" s="62">
        <v>6</v>
      </c>
      <c r="R57" s="63" t="s">
        <v>203</v>
      </c>
      <c r="S57" s="63" t="s">
        <v>55</v>
      </c>
      <c r="T57" s="63" t="s">
        <v>55</v>
      </c>
      <c r="U57" s="61" t="s">
        <v>55</v>
      </c>
      <c r="V57" s="61" t="s">
        <v>55</v>
      </c>
      <c r="W57" s="62" t="s">
        <v>55</v>
      </c>
      <c r="X57" s="65" t="s">
        <v>55</v>
      </c>
      <c r="Y57" s="66"/>
      <c r="Z57" s="67" t="e">
        <f>P57</f>
        <v>#VALUE!</v>
      </c>
      <c r="AA57" s="67" t="s">
        <v>55</v>
      </c>
      <c r="AB57" s="67"/>
      <c r="AC57" s="67"/>
      <c r="AD57" s="67" t="s">
        <v>55</v>
      </c>
      <c r="AE57" s="68">
        <f t="shared" ref="AE57:AE64" si="2">K57*C57+Q57*C57</f>
        <v>6.2949999999999999</v>
      </c>
      <c r="AF57" s="67" t="s">
        <v>206</v>
      </c>
      <c r="AG57" s="67" t="s">
        <v>206</v>
      </c>
      <c r="AH57" s="67" t="s">
        <v>55</v>
      </c>
      <c r="AI57" s="67" t="s">
        <v>55</v>
      </c>
      <c r="AJ57" s="69" t="s">
        <v>226</v>
      </c>
      <c r="AK57" s="67" t="s">
        <v>208</v>
      </c>
      <c r="AL57" s="70"/>
      <c r="AM57" s="71"/>
      <c r="AN57" s="71"/>
      <c r="AO57" s="72"/>
      <c r="AP57" s="72"/>
      <c r="AQ57" s="72"/>
      <c r="AR57" s="78" t="s">
        <v>235</v>
      </c>
    </row>
    <row r="58" spans="1:44" ht="42.75" x14ac:dyDescent="0.25">
      <c r="B58" s="58" t="s">
        <v>237</v>
      </c>
      <c r="C58" s="59">
        <v>1</v>
      </c>
      <c r="D58" s="59" t="s">
        <v>238</v>
      </c>
      <c r="E58" s="59" t="s">
        <v>214</v>
      </c>
      <c r="F58" s="59" t="s">
        <v>239</v>
      </c>
      <c r="G58" s="59" t="e">
        <f>(IF(LEFT(B58)="П",ROUNDUP(SUMIF([2]ВО!S$1:S$65536,ХОВС!B58,[2]ВО!N$1:N$65536)*Kup,-1),IF(LEFT(B58)="В",ROUNDUP(SUM(SUMIF([2]ВО!T$1:T$65536,ХОВС!B58,[2]ВО!O$1:O$65536)*Kup,SUMIF([2]ВО!R$1:R$65536,ХОВС!B58,[2]ВО!M$1:M$65536)*Kup),-1),IF(LEFT(B58)="М",ROUNDUP(SUMIF([2]ВО!R$1:R$65536,ХОВС!B58,[2]ВО!M$1:M$65536)*Kup,-1)))))*1.1</f>
        <v>#VALUE!</v>
      </c>
      <c r="H58" s="59">
        <v>300</v>
      </c>
      <c r="I58" s="59">
        <v>945</v>
      </c>
      <c r="J58" s="59" t="s">
        <v>224</v>
      </c>
      <c r="K58" s="60">
        <v>1.1000000000000001</v>
      </c>
      <c r="L58" s="59">
        <f t="shared" si="0"/>
        <v>945</v>
      </c>
      <c r="M58" s="60" t="s">
        <v>225</v>
      </c>
      <c r="N58" s="61">
        <v>-24</v>
      </c>
      <c r="O58" s="61">
        <v>20</v>
      </c>
      <c r="P58" s="62" t="e">
        <f t="shared" si="1"/>
        <v>#VALUE!</v>
      </c>
      <c r="Q58" s="62">
        <v>49.84</v>
      </c>
      <c r="R58" s="63" t="s">
        <v>218</v>
      </c>
      <c r="S58" s="63"/>
      <c r="T58" s="63"/>
      <c r="U58" s="61"/>
      <c r="V58" s="61"/>
      <c r="W58" s="62"/>
      <c r="X58" s="65"/>
      <c r="Y58" s="66"/>
      <c r="Z58" s="67"/>
      <c r="AA58" s="67"/>
      <c r="AB58" s="67"/>
      <c r="AC58" s="67"/>
      <c r="AD58" s="67"/>
      <c r="AE58" s="68">
        <f t="shared" si="2"/>
        <v>50.940000000000005</v>
      </c>
      <c r="AF58" s="67"/>
      <c r="AG58" s="67"/>
      <c r="AH58" s="67"/>
      <c r="AI58" s="67"/>
      <c r="AJ58" s="69"/>
      <c r="AK58" s="67"/>
      <c r="AL58" s="70"/>
      <c r="AM58" s="71"/>
      <c r="AN58" s="71"/>
      <c r="AO58" s="72"/>
      <c r="AP58" s="72"/>
      <c r="AQ58" s="72"/>
      <c r="AR58" s="76"/>
    </row>
    <row r="59" spans="1:44" ht="30" x14ac:dyDescent="0.25">
      <c r="B59" s="58" t="s">
        <v>17</v>
      </c>
      <c r="C59" s="59">
        <v>1</v>
      </c>
      <c r="D59" s="59" t="s">
        <v>240</v>
      </c>
      <c r="E59" s="59" t="s">
        <v>233</v>
      </c>
      <c r="F59" s="59" t="s">
        <v>241</v>
      </c>
      <c r="G59" s="59" t="e">
        <f>(IF(LEFT(B59)="П",ROUNDUP(SUMIF([2]ВО!S$1:S$65536,ХОВС!B59,[2]ВО!N$1:N$65536)*Kup,-1),IF(LEFT(B59)="В",ROUNDUP(SUM(SUMIF([2]ВО!T$1:T$65536,ХОВС!B59,[2]ВО!O$1:O$65536)*Kup,SUMIF([2]ВО!R$1:R$65536,ХОВС!B59,[2]ВО!M$1:M$65536)*Kup),-1),IF(LEFT(B59)="М",ROUNDUP(SUMIF([2]ВО!R$1:R$65536,ХОВС!B59,[2]ВО!M$1:M$65536)*Kup,-1)))))*1.1</f>
        <v>#VALUE!</v>
      </c>
      <c r="H59" s="59">
        <v>120</v>
      </c>
      <c r="I59" s="59">
        <v>945</v>
      </c>
      <c r="J59" s="59" t="s">
        <v>224</v>
      </c>
      <c r="K59" s="60">
        <v>0.37</v>
      </c>
      <c r="L59" s="59">
        <f t="shared" si="0"/>
        <v>945</v>
      </c>
      <c r="M59" s="60" t="s">
        <v>225</v>
      </c>
      <c r="N59" s="61">
        <v>-24</v>
      </c>
      <c r="O59" s="61">
        <v>20</v>
      </c>
      <c r="P59" s="62" t="e">
        <f t="shared" si="1"/>
        <v>#VALUE!</v>
      </c>
      <c r="Q59" s="62">
        <v>16.288</v>
      </c>
      <c r="R59" s="63" t="s">
        <v>218</v>
      </c>
      <c r="S59" s="63" t="s">
        <v>55</v>
      </c>
      <c r="T59" s="63" t="s">
        <v>55</v>
      </c>
      <c r="U59" s="61" t="s">
        <v>55</v>
      </c>
      <c r="V59" s="61" t="s">
        <v>55</v>
      </c>
      <c r="W59" s="62" t="s">
        <v>55</v>
      </c>
      <c r="X59" s="65" t="s">
        <v>55</v>
      </c>
      <c r="Y59" s="66"/>
      <c r="Z59" s="67" t="e">
        <f t="shared" ref="Z59:Z64" si="3">P59</f>
        <v>#VALUE!</v>
      </c>
      <c r="AA59" s="67" t="s">
        <v>55</v>
      </c>
      <c r="AB59" s="67"/>
      <c r="AC59" s="67"/>
      <c r="AD59" s="67" t="s">
        <v>55</v>
      </c>
      <c r="AE59" s="68">
        <f t="shared" si="2"/>
        <v>16.658000000000001</v>
      </c>
      <c r="AF59" s="67" t="s">
        <v>206</v>
      </c>
      <c r="AG59" s="67" t="s">
        <v>206</v>
      </c>
      <c r="AH59" s="67" t="s">
        <v>55</v>
      </c>
      <c r="AI59" s="67" t="s">
        <v>55</v>
      </c>
      <c r="AJ59" s="69" t="s">
        <v>226</v>
      </c>
      <c r="AK59" s="67" t="s">
        <v>208</v>
      </c>
      <c r="AL59" s="70"/>
      <c r="AM59" s="71"/>
      <c r="AN59" s="71"/>
      <c r="AO59" s="72"/>
      <c r="AP59" s="72"/>
      <c r="AQ59" s="72"/>
      <c r="AR59" s="78" t="s">
        <v>242</v>
      </c>
    </row>
    <row r="60" spans="1:44" ht="34.15" customHeight="1" x14ac:dyDescent="0.25">
      <c r="B60" s="79" t="s">
        <v>152</v>
      </c>
      <c r="C60" s="80">
        <v>1</v>
      </c>
      <c r="D60" s="80" t="s">
        <v>243</v>
      </c>
      <c r="E60" s="81" t="s">
        <v>244</v>
      </c>
      <c r="F60" s="80" t="s">
        <v>245</v>
      </c>
      <c r="G60" s="80" t="e">
        <f>CEILING((IF(LEFT(B60)="П",ROUNDUP(SUMIF([2]ВО!S$1:S$65536,ХОВС!B60,[2]ВО!N$1:N$65536)*Kup,-1),IF(LEFT(B60)="В",ROUNDUP(SUM(SUMIF([2]ВО!T$1:T$65536,ХОВС!B60,[2]ВО!O$1:O$65536)*Kup,SUMIF([2]ВО!R$1:R$65536,ХОВС!B60,[2]ВО!M$1:M$65536)*Kup),-1),IF(LEFT(B60)="М",ROUNDUP(SUMIF([2]ВО!R$1:R$65536,ХОВС!B60,[2]ВО!M$1:M$65536)*Kup,-1)))))*1.1,10)</f>
        <v>#VALUE!</v>
      </c>
      <c r="H60" s="80">
        <f>160+200</f>
        <v>360</v>
      </c>
      <c r="I60" s="80">
        <v>3191</v>
      </c>
      <c r="J60" s="80" t="s">
        <v>224</v>
      </c>
      <c r="K60" s="82">
        <v>2.2000000000000002</v>
      </c>
      <c r="L60" s="80">
        <v>3271</v>
      </c>
      <c r="M60" s="82" t="s">
        <v>225</v>
      </c>
      <c r="N60" s="83">
        <v>-24</v>
      </c>
      <c r="O60" s="83">
        <v>21</v>
      </c>
      <c r="P60" s="84" t="e">
        <f t="shared" si="1"/>
        <v>#VALUE!</v>
      </c>
      <c r="Q60" s="84">
        <v>57.107999999999997</v>
      </c>
      <c r="R60" s="85" t="s">
        <v>203</v>
      </c>
      <c r="S60" s="85" t="s">
        <v>55</v>
      </c>
      <c r="T60" s="85" t="s">
        <v>246</v>
      </c>
      <c r="U60" s="83">
        <v>25</v>
      </c>
      <c r="V60" s="83">
        <v>20</v>
      </c>
      <c r="W60" s="84" t="e">
        <f>ROUND(G60*0.335*($U$61-V60),-1)</f>
        <v>#VALUE!</v>
      </c>
      <c r="X60" s="86" t="s">
        <v>247</v>
      </c>
      <c r="Y60" s="66"/>
      <c r="Z60" s="67" t="e">
        <f t="shared" si="3"/>
        <v>#VALUE!</v>
      </c>
      <c r="AA60" s="67" t="s">
        <v>55</v>
      </c>
      <c r="AB60" s="67"/>
      <c r="AC60" s="67"/>
      <c r="AD60" s="67" t="s">
        <v>55</v>
      </c>
      <c r="AE60" s="68">
        <f t="shared" si="2"/>
        <v>59.308</v>
      </c>
      <c r="AF60" s="67" t="s">
        <v>206</v>
      </c>
      <c r="AG60" s="67" t="s">
        <v>206</v>
      </c>
      <c r="AH60" s="67" t="s">
        <v>55</v>
      </c>
      <c r="AI60" s="67" t="s">
        <v>55</v>
      </c>
      <c r="AJ60" s="69" t="s">
        <v>226</v>
      </c>
      <c r="AK60" s="67" t="s">
        <v>208</v>
      </c>
      <c r="AL60" s="70"/>
      <c r="AM60" s="71"/>
      <c r="AN60" s="71"/>
      <c r="AO60" s="72"/>
      <c r="AP60" s="72"/>
      <c r="AQ60" s="72"/>
      <c r="AR60" s="78" t="s">
        <v>248</v>
      </c>
    </row>
    <row r="61" spans="1:44" ht="57" x14ac:dyDescent="0.25">
      <c r="B61" s="58" t="s">
        <v>249</v>
      </c>
      <c r="C61" s="59">
        <v>1</v>
      </c>
      <c r="D61" s="59" t="s">
        <v>250</v>
      </c>
      <c r="E61" s="59" t="s">
        <v>251</v>
      </c>
      <c r="F61" s="59" t="s">
        <v>252</v>
      </c>
      <c r="G61" s="59" t="e">
        <f>(IF(LEFT(B61)="П",ROUNDUP(SUMIF([2]ВО!S$1:S$65536,ХОВС!B61,[2]ВО!N$1:N$65536)*Kup,-1),IF(LEFT(B61)="В",ROUNDUP(SUM(SUMIF([2]ВО!T$1:T$65536,ХОВС!B61,[2]ВО!O$1:O$65536)*Kup,SUMIF([2]ВО!R$1:R$65536,ХОВС!B61,[2]ВО!M$1:M$65536)*Kup),-1),IF(LEFT(B61)="М",ROUNDUP(SUMIF([2]ВО!R$1:R$65536,ХОВС!B61,[2]ВО!M$1:M$65536)*Kup,-1)))))*1.1</f>
        <v>#VALUE!</v>
      </c>
      <c r="H61" s="59">
        <v>200</v>
      </c>
      <c r="I61" s="59">
        <v>2581</v>
      </c>
      <c r="J61" s="59" t="s">
        <v>224</v>
      </c>
      <c r="K61" s="60">
        <v>0.55000000000000004</v>
      </c>
      <c r="L61" s="59">
        <f t="shared" ref="L61:L80" si="4">I61</f>
        <v>2581</v>
      </c>
      <c r="M61" s="60" t="s">
        <v>225</v>
      </c>
      <c r="N61" s="61">
        <v>-24</v>
      </c>
      <c r="O61" s="61">
        <v>20</v>
      </c>
      <c r="P61" s="62" t="e">
        <f t="shared" si="1"/>
        <v>#VALUE!</v>
      </c>
      <c r="Q61" s="62">
        <v>18.405000000000001</v>
      </c>
      <c r="R61" s="63" t="s">
        <v>203</v>
      </c>
      <c r="S61" s="63" t="s">
        <v>55</v>
      </c>
      <c r="T61" s="63" t="s">
        <v>246</v>
      </c>
      <c r="U61" s="61">
        <v>25</v>
      </c>
      <c r="V61" s="61">
        <v>20</v>
      </c>
      <c r="W61" s="62" t="e">
        <f>ROUND(G61*0.335*($U$61-V61),-1)</f>
        <v>#VALUE!</v>
      </c>
      <c r="X61" s="65" t="s">
        <v>253</v>
      </c>
      <c r="Y61" s="66"/>
      <c r="Z61" s="67" t="e">
        <f t="shared" si="3"/>
        <v>#VALUE!</v>
      </c>
      <c r="AA61" s="67" t="s">
        <v>55</v>
      </c>
      <c r="AB61" s="67"/>
      <c r="AC61" s="67"/>
      <c r="AD61" s="67" t="s">
        <v>55</v>
      </c>
      <c r="AE61" s="68">
        <f t="shared" si="2"/>
        <v>18.955000000000002</v>
      </c>
      <c r="AF61" s="67" t="s">
        <v>206</v>
      </c>
      <c r="AG61" s="67" t="s">
        <v>206</v>
      </c>
      <c r="AH61" s="67" t="s">
        <v>55</v>
      </c>
      <c r="AI61" s="67" t="s">
        <v>55</v>
      </c>
      <c r="AJ61" s="69" t="s">
        <v>226</v>
      </c>
      <c r="AK61" s="67" t="s">
        <v>208</v>
      </c>
      <c r="AL61" s="70" t="s">
        <v>227</v>
      </c>
      <c r="AM61" s="71" t="s">
        <v>220</v>
      </c>
      <c r="AN61" s="74">
        <f>SUM(K7:K144)</f>
        <v>70.688999999999965</v>
      </c>
      <c r="AO61" s="75">
        <f>K179</f>
        <v>3.3</v>
      </c>
      <c r="AP61" s="75">
        <f>AP53+Q172+Q174</f>
        <v>136.5</v>
      </c>
      <c r="AQ61" s="72"/>
      <c r="AR61" s="78" t="s">
        <v>242</v>
      </c>
    </row>
    <row r="62" spans="1:44" s="29" customFormat="1" ht="45" x14ac:dyDescent="0.25">
      <c r="A62" s="5"/>
      <c r="B62" s="58" t="s">
        <v>254</v>
      </c>
      <c r="C62" s="59">
        <v>1</v>
      </c>
      <c r="D62" s="59" t="s">
        <v>255</v>
      </c>
      <c r="E62" s="59" t="s">
        <v>233</v>
      </c>
      <c r="F62" s="77" t="s">
        <v>234</v>
      </c>
      <c r="G62" s="59" t="e">
        <f>(IF(LEFT(B62)="П",ROUNDUP(SUMIF([2]ВО!S$1:S$65536,ХОВС!B62,[2]ВО!N$1:N$65536)*Kup,-1),IF(LEFT(B62)="В",ROUNDUP(SUM(SUMIF([2]ВО!T$1:T$65536,ХОВС!B62,[2]ВО!O$1:O$65536)*Kup,SUMIF([2]ВО!R$1:R$65536,ХОВС!B62,[2]ВО!M$1:M$65536)*Kup),-1),IF(LEFT(B62)="М",ROUNDUP(SUMIF([2]ВО!R$1:R$65536,ХОВС!B62,[2]ВО!M$1:M$65536)*Kup,-1)))))*1.1</f>
        <v>#VALUE!</v>
      </c>
      <c r="H62" s="59">
        <v>200</v>
      </c>
      <c r="I62" s="59">
        <v>2600</v>
      </c>
      <c r="J62" s="59" t="s">
        <v>216</v>
      </c>
      <c r="K62" s="60">
        <v>0.37</v>
      </c>
      <c r="L62" s="59">
        <f t="shared" si="4"/>
        <v>2600</v>
      </c>
      <c r="M62" s="60" t="s">
        <v>217</v>
      </c>
      <c r="N62" s="61">
        <v>-24</v>
      </c>
      <c r="O62" s="61">
        <v>20</v>
      </c>
      <c r="P62" s="62" t="e">
        <f t="shared" si="1"/>
        <v>#VALUE!</v>
      </c>
      <c r="Q62" s="62">
        <v>12</v>
      </c>
      <c r="R62" s="63" t="s">
        <v>203</v>
      </c>
      <c r="S62" s="63" t="s">
        <v>55</v>
      </c>
      <c r="T62" s="63" t="s">
        <v>55</v>
      </c>
      <c r="U62" s="61" t="s">
        <v>55</v>
      </c>
      <c r="V62" s="61" t="s">
        <v>55</v>
      </c>
      <c r="W62" s="62" t="s">
        <v>55</v>
      </c>
      <c r="X62" s="65" t="s">
        <v>55</v>
      </c>
      <c r="Y62" s="66"/>
      <c r="Z62" s="67" t="e">
        <f t="shared" si="3"/>
        <v>#VALUE!</v>
      </c>
      <c r="AA62" s="67" t="s">
        <v>55</v>
      </c>
      <c r="AB62" s="67"/>
      <c r="AC62" s="67"/>
      <c r="AD62" s="67" t="s">
        <v>55</v>
      </c>
      <c r="AE62" s="68">
        <f t="shared" si="2"/>
        <v>12.37</v>
      </c>
      <c r="AF62" s="67" t="s">
        <v>206</v>
      </c>
      <c r="AG62" s="67" t="s">
        <v>206</v>
      </c>
      <c r="AH62" s="67" t="s">
        <v>55</v>
      </c>
      <c r="AI62" s="67" t="s">
        <v>55</v>
      </c>
      <c r="AJ62" s="69" t="s">
        <v>226</v>
      </c>
      <c r="AK62" s="67" t="s">
        <v>208</v>
      </c>
      <c r="AL62" s="70"/>
      <c r="AM62" s="71"/>
      <c r="AN62" s="71"/>
      <c r="AO62" s="72"/>
      <c r="AP62" s="72"/>
      <c r="AQ62" s="72"/>
      <c r="AR62" s="78" t="s">
        <v>256</v>
      </c>
    </row>
    <row r="63" spans="1:44" s="29" customFormat="1" ht="42.75" x14ac:dyDescent="0.25">
      <c r="A63" s="5"/>
      <c r="B63" s="58" t="s">
        <v>257</v>
      </c>
      <c r="C63" s="59">
        <v>1</v>
      </c>
      <c r="D63" s="59" t="s">
        <v>258</v>
      </c>
      <c r="E63" s="59" t="s">
        <v>233</v>
      </c>
      <c r="F63" s="77" t="s">
        <v>234</v>
      </c>
      <c r="G63" s="59" t="e">
        <f>(IF(LEFT(B63)="П",ROUNDUP(SUMIF([2]ВО!S$1:S$65536,ХОВС!B63,[2]ВО!N$1:N$65536)*Kup,-1),IF(LEFT(B63)="В",ROUNDUP(SUM(SUMIF([2]ВО!T$1:T$65536,ХОВС!B63,[2]ВО!O$1:O$65536)*Kup,SUMIF([2]ВО!R$1:R$65536,ХОВС!B63,[2]ВО!M$1:M$65536)*Kup),-1),IF(LEFT(B63)="М",ROUNDUP(SUMIF([2]ВО!R$1:R$65536,ХОВС!B63,[2]ВО!M$1:M$65536)*Kup,-1)))))*1.1</f>
        <v>#VALUE!</v>
      </c>
      <c r="H63" s="59">
        <f>50+70</f>
        <v>120</v>
      </c>
      <c r="I63" s="59">
        <v>2600</v>
      </c>
      <c r="J63" s="59" t="s">
        <v>216</v>
      </c>
      <c r="K63" s="60">
        <v>0.37</v>
      </c>
      <c r="L63" s="59">
        <f>I63</f>
        <v>2600</v>
      </c>
      <c r="M63" s="60" t="s">
        <v>217</v>
      </c>
      <c r="N63" s="61">
        <v>-24</v>
      </c>
      <c r="O63" s="61">
        <v>20</v>
      </c>
      <c r="P63" s="62" t="e">
        <f t="shared" si="1"/>
        <v>#VALUE!</v>
      </c>
      <c r="Q63" s="62">
        <v>12</v>
      </c>
      <c r="R63" s="63" t="s">
        <v>203</v>
      </c>
      <c r="S63" s="63" t="s">
        <v>55</v>
      </c>
      <c r="T63" s="63" t="s">
        <v>55</v>
      </c>
      <c r="U63" s="61" t="s">
        <v>55</v>
      </c>
      <c r="V63" s="61" t="s">
        <v>55</v>
      </c>
      <c r="W63" s="62" t="s">
        <v>55</v>
      </c>
      <c r="X63" s="65" t="s">
        <v>55</v>
      </c>
      <c r="Y63" s="66"/>
      <c r="Z63" s="67" t="e">
        <f t="shared" si="3"/>
        <v>#VALUE!</v>
      </c>
      <c r="AA63" s="67" t="s">
        <v>55</v>
      </c>
      <c r="AB63" s="67"/>
      <c r="AC63" s="67"/>
      <c r="AD63" s="67" t="s">
        <v>55</v>
      </c>
      <c r="AE63" s="68">
        <f t="shared" si="2"/>
        <v>12.37</v>
      </c>
      <c r="AF63" s="67" t="s">
        <v>206</v>
      </c>
      <c r="AG63" s="67" t="s">
        <v>206</v>
      </c>
      <c r="AH63" s="67" t="s">
        <v>55</v>
      </c>
      <c r="AI63" s="67" t="s">
        <v>55</v>
      </c>
      <c r="AJ63" s="69" t="s">
        <v>226</v>
      </c>
      <c r="AK63" s="67" t="s">
        <v>208</v>
      </c>
      <c r="AL63" s="70"/>
      <c r="AM63" s="71"/>
      <c r="AN63" s="71"/>
      <c r="AO63" s="72"/>
      <c r="AP63" s="72"/>
      <c r="AQ63" s="72"/>
      <c r="AR63" s="76"/>
    </row>
    <row r="64" spans="1:44" s="97" customFormat="1" ht="126" customHeight="1" thickBot="1" x14ac:dyDescent="0.3">
      <c r="A64" s="5"/>
      <c r="B64" s="87" t="s">
        <v>259</v>
      </c>
      <c r="C64" s="88">
        <v>1</v>
      </c>
      <c r="D64" s="88" t="s">
        <v>260</v>
      </c>
      <c r="E64" s="88" t="s">
        <v>261</v>
      </c>
      <c r="F64" s="88" t="s">
        <v>262</v>
      </c>
      <c r="G64" s="59" t="e">
        <f>(IF(LEFT(B64)="П",ROUNDUP(SUMIF([2]ВО!S$1:S$65536,ХОВС!B64,[2]ВО!N$1:N$65536)*Kup,-1),IF(LEFT(B64)="В",ROUNDUP(SUM(SUMIF([2]ВО!T$1:T$65536,ХОВС!B64,[2]ВО!O$1:O$65536)*Kup,SUMIF([2]ВО!R$1:R$65536,ХОВС!B64,[2]ВО!M$1:M$65536)*Kup),-1),IF(LEFT(B64)="М",ROUNDUP(SUMIF([2]ВО!R$1:R$65536,ХОВС!B64,[2]ВО!M$1:M$65536)*Kup,-1)))))*1.1</f>
        <v>#VALUE!</v>
      </c>
      <c r="H64" s="88">
        <f>445+150</f>
        <v>595</v>
      </c>
      <c r="I64" s="88">
        <v>1415</v>
      </c>
      <c r="J64" s="88" t="s">
        <v>224</v>
      </c>
      <c r="K64" s="89">
        <v>11</v>
      </c>
      <c r="L64" s="88">
        <f>I64</f>
        <v>1415</v>
      </c>
      <c r="M64" s="90" t="s">
        <v>225</v>
      </c>
      <c r="N64" s="89">
        <v>-24</v>
      </c>
      <c r="O64" s="89">
        <v>20</v>
      </c>
      <c r="P64" s="91" t="e">
        <f t="shared" si="1"/>
        <v>#VALUE!</v>
      </c>
      <c r="Q64" s="91">
        <v>202.78</v>
      </c>
      <c r="R64" s="92" t="s">
        <v>203</v>
      </c>
      <c r="S64" s="93" t="s">
        <v>55</v>
      </c>
      <c r="T64" s="92" t="s">
        <v>246</v>
      </c>
      <c r="U64" s="89">
        <v>25</v>
      </c>
      <c r="V64" s="89">
        <v>20</v>
      </c>
      <c r="W64" s="94" t="e">
        <f>ROUND(G64*0.335*($U$61-V64),-1)</f>
        <v>#VALUE!</v>
      </c>
      <c r="X64" s="95" t="s">
        <v>263</v>
      </c>
      <c r="Y64" s="66"/>
      <c r="Z64" s="67" t="e">
        <f t="shared" si="3"/>
        <v>#VALUE!</v>
      </c>
      <c r="AA64" s="67" t="s">
        <v>55</v>
      </c>
      <c r="AB64" s="67"/>
      <c r="AC64" s="67"/>
      <c r="AD64" s="67" t="s">
        <v>55</v>
      </c>
      <c r="AE64" s="68">
        <f t="shared" si="2"/>
        <v>213.78</v>
      </c>
      <c r="AF64" s="67" t="s">
        <v>55</v>
      </c>
      <c r="AG64" s="67" t="s">
        <v>206</v>
      </c>
      <c r="AH64" s="67" t="s">
        <v>55</v>
      </c>
      <c r="AI64" s="67" t="s">
        <v>55</v>
      </c>
      <c r="AJ64" s="69" t="s">
        <v>264</v>
      </c>
      <c r="AK64" s="67" t="s">
        <v>208</v>
      </c>
      <c r="AL64" s="70"/>
      <c r="AM64" s="71"/>
      <c r="AN64" s="71" t="s">
        <v>265</v>
      </c>
      <c r="AO64" s="72" t="s">
        <v>266</v>
      </c>
      <c r="AP64" s="72" t="s">
        <v>267</v>
      </c>
      <c r="AQ64" s="72"/>
      <c r="AR64" s="96" t="s">
        <v>268</v>
      </c>
    </row>
    <row r="65" spans="1:44" s="29" customFormat="1" ht="71.25" x14ac:dyDescent="0.25">
      <c r="A65" s="5"/>
      <c r="B65" s="98" t="s">
        <v>269</v>
      </c>
      <c r="C65" s="77">
        <v>1</v>
      </c>
      <c r="D65" s="77" t="s">
        <v>270</v>
      </c>
      <c r="E65" s="77" t="s">
        <v>271</v>
      </c>
      <c r="F65" s="77" t="s">
        <v>272</v>
      </c>
      <c r="G65" s="99" t="e">
        <f>(IF(LEFT(B65)="П",ROUNDUP(SUMIF([2]ВО!S$1:S$65536,ХОВС!B65,[2]ВО!N$1:N$65536)*Kup,-1),IF(LEFT(B65)="В",ROUNDUP(SUM(SUMIF([2]ВО!T$1:T$65536,ХОВС!B65,[2]ВО!O$1:O$65536)*Kup,SUMIF([2]ВО!R$1:R$65536,ХОВС!B65,[2]ВО!M$1:M$65536)*Kup),-1),IF(LEFT(B65)="М",ROUNDUP(SUMIF([2]ВО!R$1:R$65536,ХОВС!B65,[2]ВО!M$1:M$65536)*Kup,-1)))))</f>
        <v>#VALUE!</v>
      </c>
      <c r="H65" s="77">
        <f>210+50</f>
        <v>260</v>
      </c>
      <c r="I65" s="100">
        <v>1461</v>
      </c>
      <c r="J65" s="77" t="s">
        <v>224</v>
      </c>
      <c r="K65" s="101">
        <v>0.55000000000000004</v>
      </c>
      <c r="L65" s="77">
        <f t="shared" si="4"/>
        <v>1461</v>
      </c>
      <c r="M65" s="102" t="s">
        <v>55</v>
      </c>
      <c r="N65" s="102" t="s">
        <v>55</v>
      </c>
      <c r="O65" s="102" t="s">
        <v>55</v>
      </c>
      <c r="P65" s="102" t="s">
        <v>55</v>
      </c>
      <c r="Q65" s="103">
        <f>SUM(Q7:Q8)+SUM(Q58:Q64)+Q54</f>
        <v>486.59800000000001</v>
      </c>
      <c r="R65" s="102" t="s">
        <v>55</v>
      </c>
      <c r="S65" s="102" t="s">
        <v>55</v>
      </c>
      <c r="T65" s="102" t="s">
        <v>55</v>
      </c>
      <c r="U65" s="104" t="s">
        <v>55</v>
      </c>
      <c r="V65" s="104" t="s">
        <v>55</v>
      </c>
      <c r="W65" s="103" t="s">
        <v>55</v>
      </c>
      <c r="X65" s="105" t="s">
        <v>55</v>
      </c>
      <c r="Y65" s="66"/>
      <c r="Z65" s="67" t="s">
        <v>55</v>
      </c>
      <c r="AA65" s="67" t="s">
        <v>55</v>
      </c>
      <c r="AB65" s="67"/>
      <c r="AC65" s="67"/>
      <c r="AD65" s="67" t="s">
        <v>55</v>
      </c>
      <c r="AE65" s="68" t="s">
        <v>55</v>
      </c>
      <c r="AF65" s="67" t="s">
        <v>55</v>
      </c>
      <c r="AG65" s="67" t="s">
        <v>55</v>
      </c>
      <c r="AH65" s="67" t="s">
        <v>55</v>
      </c>
      <c r="AI65" s="67" t="s">
        <v>55</v>
      </c>
      <c r="AJ65" s="69" t="s">
        <v>226</v>
      </c>
      <c r="AK65" s="67" t="s">
        <v>208</v>
      </c>
      <c r="AL65" s="70"/>
      <c r="AM65" s="71"/>
      <c r="AN65" s="71"/>
      <c r="AO65" s="72"/>
      <c r="AP65" s="72"/>
      <c r="AQ65" s="72"/>
      <c r="AR65" s="106"/>
    </row>
    <row r="66" spans="1:44" ht="42.75" x14ac:dyDescent="0.25">
      <c r="B66" s="79" t="s">
        <v>273</v>
      </c>
      <c r="C66" s="80">
        <v>1</v>
      </c>
      <c r="D66" s="80" t="s">
        <v>274</v>
      </c>
      <c r="E66" s="80" t="s">
        <v>233</v>
      </c>
      <c r="F66" s="100" t="s">
        <v>275</v>
      </c>
      <c r="G66" s="107" t="e">
        <f>(IF(LEFT(B66)="П",ROUNDUP(SUMIF([2]ВО!S$1:S$65536,ХОВС!B66,[2]ВО!N$1:N$65536)*Kup,-1),IF(LEFT(B66)="В",ROUNDUP(SUM(SUMIF([2]ВО!T$1:T$65536,ХОВС!B66,[2]ВО!O$1:O$65536)*Kup,SUMIF([2]ВО!R$1:R$65536,ХОВС!B66,[2]ВО!M$1:M$65536)*Kup),-1),IF(LEFT(B66)="М",ROUNDUP(SUMIF([2]ВО!R$1:R$65536,ХОВС!B66,[2]ВО!M$1:M$65536)*Kup,-1)))))*1.1</f>
        <v>#VALUE!</v>
      </c>
      <c r="H66" s="80">
        <f>220+50</f>
        <v>270</v>
      </c>
      <c r="I66" s="59">
        <v>1461</v>
      </c>
      <c r="J66" s="59" t="s">
        <v>224</v>
      </c>
      <c r="K66" s="60">
        <v>2.2000000000000002</v>
      </c>
      <c r="L66" s="59">
        <f t="shared" si="4"/>
        <v>1461</v>
      </c>
      <c r="M66" s="63" t="s">
        <v>55</v>
      </c>
      <c r="N66" s="63" t="s">
        <v>55</v>
      </c>
      <c r="O66" s="63" t="s">
        <v>55</v>
      </c>
      <c r="P66" s="63" t="s">
        <v>55</v>
      </c>
      <c r="Q66" s="62">
        <f>SUM(Q55:Q57)+SUM(Q53)+Q179</f>
        <v>96</v>
      </c>
      <c r="R66" s="63" t="s">
        <v>55</v>
      </c>
      <c r="S66" s="63" t="s">
        <v>55</v>
      </c>
      <c r="T66" s="63" t="s">
        <v>55</v>
      </c>
      <c r="U66" s="61" t="s">
        <v>55</v>
      </c>
      <c r="V66" s="61" t="s">
        <v>55</v>
      </c>
      <c r="W66" s="62" t="s">
        <v>55</v>
      </c>
      <c r="X66" s="65" t="s">
        <v>55</v>
      </c>
      <c r="Y66" s="66"/>
      <c r="Z66" s="67" t="s">
        <v>55</v>
      </c>
      <c r="AA66" s="67" t="s">
        <v>55</v>
      </c>
      <c r="AB66" s="67"/>
      <c r="AC66" s="67"/>
      <c r="AD66" s="67" t="s">
        <v>55</v>
      </c>
      <c r="AE66" s="68" t="s">
        <v>55</v>
      </c>
      <c r="AF66" s="67" t="s">
        <v>55</v>
      </c>
      <c r="AG66" s="67" t="s">
        <v>55</v>
      </c>
      <c r="AH66" s="67" t="s">
        <v>55</v>
      </c>
      <c r="AI66" s="67" t="s">
        <v>55</v>
      </c>
      <c r="AJ66" s="69" t="s">
        <v>226</v>
      </c>
      <c r="AK66" s="67" t="s">
        <v>208</v>
      </c>
      <c r="AL66" s="70"/>
      <c r="AM66" s="71"/>
      <c r="AN66" s="71"/>
      <c r="AO66" s="72"/>
      <c r="AP66" s="72"/>
      <c r="AQ66" s="72"/>
      <c r="AR66" s="106"/>
    </row>
    <row r="67" spans="1:44" ht="43.5" thickBot="1" x14ac:dyDescent="0.3">
      <c r="B67" s="108" t="s">
        <v>276</v>
      </c>
      <c r="C67" s="109">
        <v>1</v>
      </c>
      <c r="D67" s="109" t="s">
        <v>277</v>
      </c>
      <c r="E67" s="109" t="s">
        <v>233</v>
      </c>
      <c r="F67" s="110" t="s">
        <v>278</v>
      </c>
      <c r="G67" s="111" t="e">
        <f>(IF(LEFT(B67)="П",ROUNDUP(SUMIF([2]ВО!S$1:S$65536,ХОВС!B67,[2]ВО!N$1:N$65536)*Kup,-1),IF(LEFT(B67)="В",ROUNDUP(SUM(SUMIF([2]ВО!T$1:T$65536,ХОВС!B67,[2]ВО!O$1:O$65536)*Kup,SUMIF([2]ВО!R$1:R$65536,ХОВС!B67,[2]ВО!M$1:M$65536)*Kup),-1),IF(LEFT(B67)="М",ROUNDUP(SUMIF([2]ВО!R$1:R$65536,ХОВС!B67,[2]ВО!M$1:M$65536)*Kup,-1)))))*1.1</f>
        <v>#VALUE!</v>
      </c>
      <c r="H67" s="109">
        <f>240+50</f>
        <v>290</v>
      </c>
      <c r="I67" s="109">
        <v>1461</v>
      </c>
      <c r="J67" s="109" t="s">
        <v>224</v>
      </c>
      <c r="K67" s="112">
        <v>1.7</v>
      </c>
      <c r="L67" s="109">
        <f t="shared" si="4"/>
        <v>1461</v>
      </c>
      <c r="M67" s="113" t="s">
        <v>55</v>
      </c>
      <c r="N67" s="113" t="s">
        <v>55</v>
      </c>
      <c r="O67" s="113" t="s">
        <v>55</v>
      </c>
      <c r="P67" s="113" t="s">
        <v>55</v>
      </c>
      <c r="Q67" s="114" t="s">
        <v>55</v>
      </c>
      <c r="R67" s="113" t="s">
        <v>55</v>
      </c>
      <c r="S67" s="113" t="s">
        <v>55</v>
      </c>
      <c r="T67" s="113" t="s">
        <v>55</v>
      </c>
      <c r="U67" s="115" t="s">
        <v>55</v>
      </c>
      <c r="V67" s="115" t="s">
        <v>55</v>
      </c>
      <c r="W67" s="114" t="s">
        <v>55</v>
      </c>
      <c r="X67" s="116" t="s">
        <v>55</v>
      </c>
      <c r="Y67" s="117"/>
      <c r="Z67" s="118" t="s">
        <v>55</v>
      </c>
      <c r="AA67" s="118" t="s">
        <v>55</v>
      </c>
      <c r="AB67" s="118"/>
      <c r="AC67" s="118"/>
      <c r="AD67" s="118" t="s">
        <v>55</v>
      </c>
      <c r="AE67" s="119" t="s">
        <v>55</v>
      </c>
      <c r="AF67" s="118" t="s">
        <v>55</v>
      </c>
      <c r="AG67" s="118" t="s">
        <v>55</v>
      </c>
      <c r="AH67" s="118" t="s">
        <v>55</v>
      </c>
      <c r="AI67" s="118" t="s">
        <v>55</v>
      </c>
      <c r="AJ67" s="120" t="s">
        <v>226</v>
      </c>
      <c r="AK67" s="118" t="s">
        <v>208</v>
      </c>
      <c r="AL67" s="121"/>
      <c r="AM67" s="122"/>
      <c r="AN67" s="122"/>
      <c r="AO67" s="123"/>
      <c r="AP67" s="123"/>
      <c r="AQ67" s="123"/>
      <c r="AR67" s="124"/>
    </row>
    <row r="68" spans="1:44" ht="42.75" x14ac:dyDescent="0.25">
      <c r="B68" s="98" t="s">
        <v>279</v>
      </c>
      <c r="C68" s="77">
        <v>1</v>
      </c>
      <c r="D68" s="77" t="s">
        <v>280</v>
      </c>
      <c r="E68" s="77" t="s">
        <v>233</v>
      </c>
      <c r="F68" s="77" t="s">
        <v>278</v>
      </c>
      <c r="G68" s="77" t="e">
        <f>(IF(LEFT(B68)="П",ROUNDUP(SUMIF([2]ВО!S$1:S$65536,ХОВС!B68,[2]ВО!N$1:N$65536)*Kup,-1),IF(LEFT(B68)="В",ROUNDUP(SUM(SUMIF([2]ВО!T$1:T$65536,ХОВС!B68,[2]ВО!O$1:O$65536)*Kup,SUMIF([2]ВО!R$1:R$65536,ХОВС!B68,[2]ВО!M$1:M$65536)*Kup),-1),IF(LEFT(B68)="М",ROUNDUP(SUMIF([2]ВО!R$1:R$65536,ХОВС!B68,[2]ВО!M$1:M$65536)*Kup,-1)))))*1.1</f>
        <v>#VALUE!</v>
      </c>
      <c r="H68" s="77">
        <f>190+50</f>
        <v>240</v>
      </c>
      <c r="I68" s="77">
        <v>1461</v>
      </c>
      <c r="J68" s="77" t="s">
        <v>224</v>
      </c>
      <c r="K68" s="101">
        <v>1.7</v>
      </c>
      <c r="L68" s="77">
        <f t="shared" si="4"/>
        <v>1461</v>
      </c>
      <c r="M68" s="102" t="s">
        <v>55</v>
      </c>
      <c r="N68" s="102" t="s">
        <v>55</v>
      </c>
      <c r="O68" s="102" t="s">
        <v>55</v>
      </c>
      <c r="P68" s="102" t="s">
        <v>55</v>
      </c>
      <c r="Q68" s="103" t="s">
        <v>55</v>
      </c>
      <c r="R68" s="102" t="s">
        <v>55</v>
      </c>
      <c r="S68" s="102" t="s">
        <v>55</v>
      </c>
      <c r="T68" s="102" t="s">
        <v>55</v>
      </c>
      <c r="U68" s="104" t="s">
        <v>55</v>
      </c>
      <c r="V68" s="104" t="s">
        <v>55</v>
      </c>
      <c r="W68" s="103" t="s">
        <v>55</v>
      </c>
      <c r="X68" s="105" t="s">
        <v>55</v>
      </c>
      <c r="Y68" s="66"/>
      <c r="Z68" s="125" t="s">
        <v>55</v>
      </c>
      <c r="AA68" s="125" t="s">
        <v>55</v>
      </c>
      <c r="AB68" s="125"/>
      <c r="AC68" s="125"/>
      <c r="AD68" s="125" t="s">
        <v>55</v>
      </c>
      <c r="AE68" s="126" t="s">
        <v>55</v>
      </c>
      <c r="AF68" s="125" t="s">
        <v>55</v>
      </c>
      <c r="AG68" s="125" t="s">
        <v>55</v>
      </c>
      <c r="AH68" s="125" t="s">
        <v>55</v>
      </c>
      <c r="AI68" s="125" t="s">
        <v>55</v>
      </c>
      <c r="AJ68" s="127" t="s">
        <v>226</v>
      </c>
      <c r="AK68" s="125" t="s">
        <v>208</v>
      </c>
      <c r="AL68" s="70"/>
      <c r="AM68" s="71"/>
      <c r="AN68" s="71"/>
      <c r="AO68" s="72"/>
      <c r="AP68" s="72"/>
      <c r="AQ68" s="72"/>
      <c r="AR68" s="72"/>
    </row>
    <row r="69" spans="1:44" ht="42.75" x14ac:dyDescent="0.25">
      <c r="B69" s="58" t="s">
        <v>281</v>
      </c>
      <c r="C69" s="59">
        <v>1</v>
      </c>
      <c r="D69" s="59" t="s">
        <v>282</v>
      </c>
      <c r="E69" s="59" t="s">
        <v>233</v>
      </c>
      <c r="F69" s="77" t="s">
        <v>278</v>
      </c>
      <c r="G69" s="77" t="e">
        <f>(IF(LEFT(B69)="П",ROUNDUP(SUMIF([2]ВО!S$1:S$65536,ХОВС!B69,[2]ВО!N$1:N$65536)*Kup,-1),IF(LEFT(B69)="В",ROUNDUP(SUM(SUMIF([2]ВО!T$1:T$65536,ХОВС!B69,[2]ВО!O$1:O$65536)*Kup,SUMIF([2]ВО!R$1:R$65536,ХОВС!B69,[2]ВО!M$1:M$65536)*Kup),-1),IF(LEFT(B69)="М",ROUNDUP(SUMIF([2]ВО!R$1:R$65536,ХОВС!B69,[2]ВО!M$1:M$65536)*Kup,-1)))))*1.1</f>
        <v>#VALUE!</v>
      </c>
      <c r="H69" s="59">
        <f>220+50</f>
        <v>270</v>
      </c>
      <c r="I69" s="59">
        <v>1461</v>
      </c>
      <c r="J69" s="59" t="s">
        <v>224</v>
      </c>
      <c r="K69" s="60">
        <v>2.2000000000000002</v>
      </c>
      <c r="L69" s="59">
        <f t="shared" si="4"/>
        <v>1461</v>
      </c>
      <c r="M69" s="63" t="s">
        <v>55</v>
      </c>
      <c r="N69" s="63" t="s">
        <v>55</v>
      </c>
      <c r="O69" s="63" t="s">
        <v>55</v>
      </c>
      <c r="P69" s="63" t="s">
        <v>55</v>
      </c>
      <c r="Q69" s="62" t="s">
        <v>55</v>
      </c>
      <c r="R69" s="63" t="s">
        <v>55</v>
      </c>
      <c r="S69" s="63" t="s">
        <v>55</v>
      </c>
      <c r="T69" s="63" t="s">
        <v>55</v>
      </c>
      <c r="U69" s="61" t="s">
        <v>55</v>
      </c>
      <c r="V69" s="61" t="s">
        <v>55</v>
      </c>
      <c r="W69" s="62" t="s">
        <v>55</v>
      </c>
      <c r="X69" s="65" t="s">
        <v>55</v>
      </c>
      <c r="Y69" s="66"/>
      <c r="Z69" s="67" t="s">
        <v>55</v>
      </c>
      <c r="AA69" s="67" t="s">
        <v>55</v>
      </c>
      <c r="AB69" s="67"/>
      <c r="AC69" s="67"/>
      <c r="AD69" s="67" t="s">
        <v>55</v>
      </c>
      <c r="AE69" s="68" t="s">
        <v>55</v>
      </c>
      <c r="AF69" s="67" t="s">
        <v>55</v>
      </c>
      <c r="AG69" s="67" t="s">
        <v>55</v>
      </c>
      <c r="AH69" s="67" t="s">
        <v>55</v>
      </c>
      <c r="AI69" s="67" t="s">
        <v>55</v>
      </c>
      <c r="AJ69" s="69" t="s">
        <v>226</v>
      </c>
      <c r="AK69" s="67" t="s">
        <v>208</v>
      </c>
      <c r="AL69" s="70"/>
      <c r="AM69" s="71"/>
      <c r="AN69" s="71"/>
      <c r="AO69" s="72"/>
      <c r="AP69" s="72"/>
      <c r="AQ69" s="72"/>
      <c r="AR69" s="72"/>
    </row>
    <row r="70" spans="1:44" ht="42.75" x14ac:dyDescent="0.25">
      <c r="B70" s="58" t="s">
        <v>283</v>
      </c>
      <c r="C70" s="59">
        <v>2</v>
      </c>
      <c r="D70" s="59" t="s">
        <v>282</v>
      </c>
      <c r="E70" s="59" t="s">
        <v>233</v>
      </c>
      <c r="F70" s="77" t="s">
        <v>278</v>
      </c>
      <c r="G70" s="77" t="e">
        <f>(IF(LEFT(B70)="П",ROUNDUP(SUMIF([2]ВО!S$1:S$65536,ХОВС!B70,[2]ВО!N$1:N$65536)*Kup,-1),IF(LEFT(B70)="В",ROUNDUP(SUM(SUMIF([2]ВО!T$1:T$65536,ХОВС!B70,[2]ВО!O$1:O$65536)*Kup,SUMIF([2]ВО!R$1:R$65536,ХОВС!B70,[2]ВО!M$1:M$65536)*Kup),-1),IF(LEFT(B70)="М",ROUNDUP(SUMIF([2]ВО!R$1:R$65536,ХОВС!B70,[2]ВО!M$1:M$65536)*Kup,-1)))))*1.1</f>
        <v>#VALUE!</v>
      </c>
      <c r="H70" s="59">
        <f>220+50</f>
        <v>270</v>
      </c>
      <c r="I70" s="59">
        <v>1462</v>
      </c>
      <c r="J70" s="59" t="s">
        <v>284</v>
      </c>
      <c r="K70" s="60">
        <v>3.2</v>
      </c>
      <c r="L70" s="59">
        <f>I70</f>
        <v>1462</v>
      </c>
      <c r="M70" s="63"/>
      <c r="N70" s="63"/>
      <c r="O70" s="63"/>
      <c r="P70" s="63"/>
      <c r="Q70" s="62"/>
      <c r="R70" s="63"/>
      <c r="S70" s="63"/>
      <c r="T70" s="63"/>
      <c r="U70" s="61"/>
      <c r="V70" s="61"/>
      <c r="W70" s="62"/>
      <c r="X70" s="65"/>
      <c r="Y70" s="66"/>
      <c r="Z70" s="67"/>
      <c r="AA70" s="67"/>
      <c r="AB70" s="67"/>
      <c r="AC70" s="67"/>
      <c r="AD70" s="67"/>
      <c r="AE70" s="68"/>
      <c r="AF70" s="67"/>
      <c r="AG70" s="67"/>
      <c r="AH70" s="67"/>
      <c r="AI70" s="67"/>
      <c r="AJ70" s="69"/>
      <c r="AK70" s="67"/>
      <c r="AL70" s="70"/>
      <c r="AM70" s="71"/>
      <c r="AN70" s="71"/>
      <c r="AO70" s="72"/>
      <c r="AP70" s="72"/>
      <c r="AQ70" s="72"/>
      <c r="AR70" s="72"/>
    </row>
    <row r="71" spans="1:44" ht="42.75" x14ac:dyDescent="0.25">
      <c r="B71" s="58" t="s">
        <v>285</v>
      </c>
      <c r="C71" s="59">
        <v>1</v>
      </c>
      <c r="D71" s="59" t="s">
        <v>286</v>
      </c>
      <c r="E71" s="59" t="s">
        <v>287</v>
      </c>
      <c r="F71" s="59" t="s">
        <v>288</v>
      </c>
      <c r="G71" s="77" t="e">
        <f>(IF(LEFT(B71)="П",ROUNDUP(SUMIF([2]ВО!S$1:S$65536,ХОВС!B71,[2]ВО!N$1:N$65536)*Kup,-1),IF(LEFT(B71)="В",ROUNDUP(SUM(SUMIF([2]ВО!T$1:T$65536,ХОВС!B71,[2]ВО!O$1:O$65536)*Kup,SUMIF([2]ВО!R$1:R$65536,ХОВС!B71,[2]ВО!M$1:M$65536)*Kup),-1),IF(LEFT(B71)="М",ROUNDUP(SUMIF([2]ВО!R$1:R$65536,ХОВС!B71,[2]ВО!M$1:M$65536)*Kup,-1)))))*1.1</f>
        <v>#VALUE!</v>
      </c>
      <c r="H71" s="59">
        <f>155+50</f>
        <v>205</v>
      </c>
      <c r="I71" s="59">
        <v>2500</v>
      </c>
      <c r="J71" s="59" t="s">
        <v>216</v>
      </c>
      <c r="K71" s="60">
        <v>0.157</v>
      </c>
      <c r="L71" s="59">
        <f t="shared" si="4"/>
        <v>2500</v>
      </c>
      <c r="M71" s="63" t="s">
        <v>55</v>
      </c>
      <c r="N71" s="63" t="s">
        <v>55</v>
      </c>
      <c r="O71" s="63" t="s">
        <v>55</v>
      </c>
      <c r="P71" s="63" t="s">
        <v>55</v>
      </c>
      <c r="Q71" s="62" t="s">
        <v>55</v>
      </c>
      <c r="R71" s="63" t="s">
        <v>55</v>
      </c>
      <c r="S71" s="63" t="s">
        <v>55</v>
      </c>
      <c r="T71" s="63" t="s">
        <v>55</v>
      </c>
      <c r="U71" s="61" t="s">
        <v>55</v>
      </c>
      <c r="V71" s="61" t="s">
        <v>55</v>
      </c>
      <c r="W71" s="62" t="s">
        <v>55</v>
      </c>
      <c r="X71" s="65" t="s">
        <v>55</v>
      </c>
      <c r="Y71" s="66"/>
      <c r="Z71" s="67" t="s">
        <v>55</v>
      </c>
      <c r="AA71" s="67" t="s">
        <v>55</v>
      </c>
      <c r="AB71" s="67"/>
      <c r="AC71" s="67"/>
      <c r="AD71" s="67" t="s">
        <v>55</v>
      </c>
      <c r="AE71" s="68" t="s">
        <v>55</v>
      </c>
      <c r="AF71" s="67" t="s">
        <v>55</v>
      </c>
      <c r="AG71" s="67" t="s">
        <v>55</v>
      </c>
      <c r="AH71" s="67" t="s">
        <v>55</v>
      </c>
      <c r="AI71" s="67" t="s">
        <v>55</v>
      </c>
      <c r="AJ71" s="69" t="s">
        <v>226</v>
      </c>
      <c r="AK71" s="67" t="s">
        <v>208</v>
      </c>
      <c r="AL71" s="70"/>
      <c r="AM71" s="71"/>
      <c r="AN71" s="71"/>
      <c r="AO71" s="72"/>
      <c r="AP71" s="72"/>
      <c r="AQ71" s="72"/>
      <c r="AR71" s="72"/>
    </row>
    <row r="72" spans="1:44" ht="42.75" x14ac:dyDescent="0.25">
      <c r="B72" s="58" t="s">
        <v>289</v>
      </c>
      <c r="C72" s="59">
        <v>1</v>
      </c>
      <c r="D72" s="59" t="s">
        <v>290</v>
      </c>
      <c r="E72" s="59" t="s">
        <v>233</v>
      </c>
      <c r="F72" s="77" t="s">
        <v>234</v>
      </c>
      <c r="G72" s="77" t="e">
        <f>(IF(LEFT(B72)="П",ROUNDUP(SUMIF([2]ВО!S$1:S$65536,ХОВС!B72,[2]ВО!N$1:N$65536)*Kup,-1),IF(LEFT(B72)="В",ROUNDUP(SUM(SUMIF([2]ВО!T$1:T$65536,ХОВС!B72,[2]ВО!O$1:O$65536)*Kup,SUMIF([2]ВО!R$1:R$65536,ХОВС!B72,[2]ВО!M$1:M$65536)*Kup),-1),IF(LEFT(B72)="М",ROUNDUP(SUMIF([2]ВО!R$1:R$65536,ХОВС!B72,[2]ВО!M$1:M$65536)*Kup,-1)))))*1.1</f>
        <v>#VALUE!</v>
      </c>
      <c r="H72" s="59">
        <f>150+50</f>
        <v>200</v>
      </c>
      <c r="I72" s="59">
        <v>1461</v>
      </c>
      <c r="J72" s="59" t="s">
        <v>224</v>
      </c>
      <c r="K72" s="60">
        <v>0.94</v>
      </c>
      <c r="L72" s="59">
        <f t="shared" si="4"/>
        <v>1461</v>
      </c>
      <c r="M72" s="63" t="s">
        <v>55</v>
      </c>
      <c r="N72" s="63" t="s">
        <v>55</v>
      </c>
      <c r="O72" s="63" t="s">
        <v>55</v>
      </c>
      <c r="P72" s="63" t="s">
        <v>55</v>
      </c>
      <c r="Q72" s="62" t="s">
        <v>55</v>
      </c>
      <c r="R72" s="63" t="s">
        <v>55</v>
      </c>
      <c r="S72" s="63" t="s">
        <v>55</v>
      </c>
      <c r="T72" s="63" t="s">
        <v>55</v>
      </c>
      <c r="U72" s="61" t="s">
        <v>55</v>
      </c>
      <c r="V72" s="61" t="s">
        <v>55</v>
      </c>
      <c r="W72" s="62" t="s">
        <v>55</v>
      </c>
      <c r="X72" s="65" t="s">
        <v>55</v>
      </c>
      <c r="Y72" s="66"/>
      <c r="Z72" s="67" t="s">
        <v>55</v>
      </c>
      <c r="AA72" s="67" t="s">
        <v>55</v>
      </c>
      <c r="AB72" s="67"/>
      <c r="AC72" s="67"/>
      <c r="AD72" s="67" t="s">
        <v>55</v>
      </c>
      <c r="AE72" s="68" t="s">
        <v>55</v>
      </c>
      <c r="AF72" s="67" t="s">
        <v>55</v>
      </c>
      <c r="AG72" s="67" t="s">
        <v>55</v>
      </c>
      <c r="AH72" s="67" t="s">
        <v>55</v>
      </c>
      <c r="AI72" s="67" t="s">
        <v>55</v>
      </c>
      <c r="AJ72" s="69" t="s">
        <v>226</v>
      </c>
      <c r="AK72" s="67" t="s">
        <v>208</v>
      </c>
      <c r="AL72" s="70"/>
      <c r="AM72" s="71"/>
      <c r="AN72" s="71"/>
      <c r="AO72" s="72"/>
      <c r="AP72" s="72"/>
      <c r="AQ72" s="72"/>
      <c r="AR72" s="72"/>
    </row>
    <row r="73" spans="1:44" ht="57" x14ac:dyDescent="0.25">
      <c r="B73" s="79" t="s">
        <v>291</v>
      </c>
      <c r="C73" s="80">
        <v>1</v>
      </c>
      <c r="D73" s="80" t="s">
        <v>292</v>
      </c>
      <c r="E73" s="80" t="s">
        <v>233</v>
      </c>
      <c r="F73" s="77" t="s">
        <v>278</v>
      </c>
      <c r="G73" s="100" t="e">
        <f>(IF(LEFT(B73)="П",ROUNDUP(SUMIF([2]ВО!S$1:S$65536,ХОВС!B73,[2]ВО!N$1:N$65536)*Kup,-1),IF(LEFT(B73)="В",ROUNDUP(SUM(SUMIF([2]ВО!T$1:T$65536,ХОВС!B73,[2]ВО!O$1:O$65536)*Kup,SUMIF([2]ВО!R$1:R$65536,ХОВС!B73,[2]ВО!M$1:M$65536)*Kup),-1),IF(LEFT(B73)="М",ROUNDUP(SUMIF([2]ВО!R$1:R$65536,ХОВС!B73,[2]ВО!M$1:M$65536)*Kup,-1)))))*1.1</f>
        <v>#VALUE!</v>
      </c>
      <c r="H73" s="80">
        <v>300</v>
      </c>
      <c r="I73" s="59">
        <v>1461</v>
      </c>
      <c r="J73" s="59" t="s">
        <v>224</v>
      </c>
      <c r="K73" s="60">
        <v>1.7</v>
      </c>
      <c r="L73" s="59">
        <f t="shared" si="4"/>
        <v>1461</v>
      </c>
      <c r="M73" s="63" t="s">
        <v>55</v>
      </c>
      <c r="N73" s="63" t="s">
        <v>55</v>
      </c>
      <c r="O73" s="63" t="s">
        <v>55</v>
      </c>
      <c r="P73" s="63" t="s">
        <v>55</v>
      </c>
      <c r="Q73" s="62" t="s">
        <v>55</v>
      </c>
      <c r="R73" s="63" t="s">
        <v>55</v>
      </c>
      <c r="S73" s="63" t="s">
        <v>55</v>
      </c>
      <c r="T73" s="63" t="s">
        <v>55</v>
      </c>
      <c r="U73" s="61" t="s">
        <v>55</v>
      </c>
      <c r="V73" s="61" t="s">
        <v>55</v>
      </c>
      <c r="W73" s="62" t="s">
        <v>55</v>
      </c>
      <c r="X73" s="65" t="s">
        <v>55</v>
      </c>
      <c r="Y73" s="66"/>
      <c r="Z73" s="67" t="s">
        <v>55</v>
      </c>
      <c r="AA73" s="67" t="s">
        <v>55</v>
      </c>
      <c r="AB73" s="67"/>
      <c r="AC73" s="67"/>
      <c r="AD73" s="67" t="s">
        <v>55</v>
      </c>
      <c r="AE73" s="68" t="s">
        <v>55</v>
      </c>
      <c r="AF73" s="67" t="s">
        <v>55</v>
      </c>
      <c r="AG73" s="67" t="s">
        <v>55</v>
      </c>
      <c r="AH73" s="67" t="s">
        <v>55</v>
      </c>
      <c r="AI73" s="67" t="s">
        <v>55</v>
      </c>
      <c r="AJ73" s="69" t="s">
        <v>226</v>
      </c>
      <c r="AK73" s="67" t="s">
        <v>208</v>
      </c>
      <c r="AL73" s="70"/>
      <c r="AM73" s="71"/>
      <c r="AN73" s="71"/>
      <c r="AO73" s="72"/>
      <c r="AP73" s="72"/>
      <c r="AQ73" s="72"/>
      <c r="AR73" s="72"/>
    </row>
    <row r="74" spans="1:44" ht="57" x14ac:dyDescent="0.25">
      <c r="B74" s="79" t="s">
        <v>293</v>
      </c>
      <c r="C74" s="80">
        <v>1</v>
      </c>
      <c r="D74" s="80" t="s">
        <v>294</v>
      </c>
      <c r="E74" s="80" t="s">
        <v>233</v>
      </c>
      <c r="F74" s="77" t="s">
        <v>278</v>
      </c>
      <c r="G74" s="100" t="e">
        <f>(IF(LEFT(B74)="П",ROUNDUP(SUMIF([2]ВО!S$1:S$65536,ХОВС!B74,[2]ВО!N$1:N$65536)*Kup,-1),IF(LEFT(B74)="В",ROUNDUP(SUM(SUMIF([2]ВО!T$1:T$65536,ХОВС!B74,[2]ВО!O$1:O$65536)*Kup,SUMIF([2]ВО!R$1:R$65536,ХОВС!B74,[2]ВО!M$1:M$65536)*Kup),-1),IF(LEFT(B74)="М",ROUNDUP(SUMIF([2]ВО!R$1:R$65536,ХОВС!B74,[2]ВО!M$1:M$65536)*Kup,-1)))))*1.1</f>
        <v>#VALUE!</v>
      </c>
      <c r="H74" s="128">
        <f>200+50</f>
        <v>250</v>
      </c>
      <c r="I74" s="59">
        <v>1461</v>
      </c>
      <c r="J74" s="59" t="s">
        <v>224</v>
      </c>
      <c r="K74" s="60">
        <v>1.7</v>
      </c>
      <c r="L74" s="59">
        <f t="shared" si="4"/>
        <v>1461</v>
      </c>
      <c r="M74" s="63" t="s">
        <v>55</v>
      </c>
      <c r="N74" s="63" t="s">
        <v>55</v>
      </c>
      <c r="O74" s="63" t="s">
        <v>55</v>
      </c>
      <c r="P74" s="63" t="s">
        <v>55</v>
      </c>
      <c r="Q74" s="62" t="s">
        <v>55</v>
      </c>
      <c r="R74" s="63" t="s">
        <v>55</v>
      </c>
      <c r="S74" s="63" t="s">
        <v>55</v>
      </c>
      <c r="T74" s="63" t="s">
        <v>55</v>
      </c>
      <c r="U74" s="61" t="s">
        <v>55</v>
      </c>
      <c r="V74" s="61" t="s">
        <v>55</v>
      </c>
      <c r="W74" s="62" t="s">
        <v>55</v>
      </c>
      <c r="X74" s="65" t="s">
        <v>55</v>
      </c>
      <c r="Y74" s="66"/>
      <c r="Z74" s="67" t="s">
        <v>55</v>
      </c>
      <c r="AA74" s="67" t="s">
        <v>55</v>
      </c>
      <c r="AB74" s="67"/>
      <c r="AC74" s="67"/>
      <c r="AD74" s="67" t="s">
        <v>55</v>
      </c>
      <c r="AE74" s="68" t="s">
        <v>55</v>
      </c>
      <c r="AF74" s="67" t="s">
        <v>55</v>
      </c>
      <c r="AG74" s="67" t="s">
        <v>55</v>
      </c>
      <c r="AH74" s="67" t="s">
        <v>55</v>
      </c>
      <c r="AI74" s="67" t="s">
        <v>55</v>
      </c>
      <c r="AJ74" s="69" t="s">
        <v>226</v>
      </c>
      <c r="AK74" s="67" t="s">
        <v>208</v>
      </c>
      <c r="AL74" s="70"/>
      <c r="AM74" s="71"/>
      <c r="AN74" s="71"/>
      <c r="AO74" s="72"/>
      <c r="AP74" s="72"/>
      <c r="AQ74" s="72"/>
      <c r="AR74" s="72"/>
    </row>
    <row r="75" spans="1:44" ht="42.75" x14ac:dyDescent="0.25">
      <c r="B75" s="58" t="s">
        <v>295</v>
      </c>
      <c r="C75" s="59">
        <v>1</v>
      </c>
      <c r="D75" s="59" t="s">
        <v>296</v>
      </c>
      <c r="E75" s="59" t="s">
        <v>233</v>
      </c>
      <c r="F75" s="77" t="s">
        <v>297</v>
      </c>
      <c r="G75" s="77" t="e">
        <f>(IF(LEFT(B75)="П",ROUNDUP(SUMIF([2]ВО!S$1:S$65536,ХОВС!B75,[2]ВО!N$1:N$65536)*Kup,-1),IF(LEFT(B75)="В",ROUNDUP(SUM(SUMIF([2]ВО!T$1:T$65536,ХОВС!B75,[2]ВО!O$1:O$65536)*Kup,SUMIF([2]ВО!R$1:R$65536,ХОВС!B75,[2]ВО!M$1:M$65536)*Kup),-1),IF(LEFT(B75)="М",ROUNDUP(SUMIF([2]ВО!R$1:R$65536,ХОВС!B75,[2]ВО!M$1:M$65536)*Kup,-1)))))*1.1</f>
        <v>#VALUE!</v>
      </c>
      <c r="H75" s="59">
        <f>310+50</f>
        <v>360</v>
      </c>
      <c r="I75" s="59">
        <v>1461</v>
      </c>
      <c r="J75" s="59" t="s">
        <v>224</v>
      </c>
      <c r="K75" s="60">
        <v>2.8</v>
      </c>
      <c r="L75" s="59">
        <f t="shared" si="4"/>
        <v>1461</v>
      </c>
      <c r="M75" s="63" t="s">
        <v>55</v>
      </c>
      <c r="N75" s="63" t="s">
        <v>55</v>
      </c>
      <c r="O75" s="63" t="s">
        <v>55</v>
      </c>
      <c r="P75" s="63" t="s">
        <v>55</v>
      </c>
      <c r="Q75" s="62" t="s">
        <v>55</v>
      </c>
      <c r="R75" s="63" t="s">
        <v>55</v>
      </c>
      <c r="S75" s="63" t="s">
        <v>55</v>
      </c>
      <c r="T75" s="63" t="s">
        <v>55</v>
      </c>
      <c r="U75" s="61" t="s">
        <v>55</v>
      </c>
      <c r="V75" s="61" t="s">
        <v>55</v>
      </c>
      <c r="W75" s="62" t="s">
        <v>55</v>
      </c>
      <c r="X75" s="65" t="s">
        <v>55</v>
      </c>
      <c r="Y75" s="66"/>
      <c r="Z75" s="67" t="s">
        <v>55</v>
      </c>
      <c r="AA75" s="67" t="s">
        <v>55</v>
      </c>
      <c r="AB75" s="67"/>
      <c r="AC75" s="67"/>
      <c r="AD75" s="67" t="s">
        <v>55</v>
      </c>
      <c r="AE75" s="68" t="s">
        <v>55</v>
      </c>
      <c r="AF75" s="67" t="s">
        <v>55</v>
      </c>
      <c r="AG75" s="67" t="s">
        <v>55</v>
      </c>
      <c r="AH75" s="67" t="s">
        <v>55</v>
      </c>
      <c r="AI75" s="67" t="s">
        <v>55</v>
      </c>
      <c r="AJ75" s="69" t="s">
        <v>226</v>
      </c>
      <c r="AK75" s="67" t="s">
        <v>208</v>
      </c>
      <c r="AL75" s="70"/>
      <c r="AM75" s="71"/>
      <c r="AN75" s="71"/>
      <c r="AO75" s="72"/>
      <c r="AP75" s="72"/>
      <c r="AQ75" s="72"/>
      <c r="AR75" s="72"/>
    </row>
    <row r="76" spans="1:44" ht="42.75" x14ac:dyDescent="0.25">
      <c r="B76" s="58" t="s">
        <v>298</v>
      </c>
      <c r="C76" s="59">
        <v>1</v>
      </c>
      <c r="D76" s="59" t="s">
        <v>299</v>
      </c>
      <c r="E76" s="59" t="s">
        <v>233</v>
      </c>
      <c r="F76" s="77" t="s">
        <v>300</v>
      </c>
      <c r="G76" s="77" t="e">
        <f>(IF(LEFT(B76)="П",ROUNDUP(SUMIF([2]ВО!S$1:S$65536,ХОВС!B76,[2]ВО!N$1:N$65536)*Kup,-1),IF(LEFT(B76)="В",ROUNDUP(SUM(SUMIF([2]ВО!T$1:T$65536,ХОВС!B76,[2]ВО!O$1:O$65536)*Kup,SUMIF([2]ВО!R$1:R$65536,ХОВС!B76,[2]ВО!M$1:M$65536)*Kup),-1),IF(LEFT(B76)="М",ROUNDUP(SUMIF([2]ВО!R$1:R$65536,ХОВС!B76,[2]ВО!M$1:M$65536)*Kup,-1)))))*1.1</f>
        <v>#VALUE!</v>
      </c>
      <c r="H76" s="59">
        <f>170+50</f>
        <v>220</v>
      </c>
      <c r="I76" s="59">
        <v>1461</v>
      </c>
      <c r="J76" s="59" t="s">
        <v>224</v>
      </c>
      <c r="K76" s="60">
        <v>0.94</v>
      </c>
      <c r="L76" s="59">
        <f t="shared" si="4"/>
        <v>1461</v>
      </c>
      <c r="M76" s="63" t="s">
        <v>55</v>
      </c>
      <c r="N76" s="63" t="s">
        <v>55</v>
      </c>
      <c r="O76" s="63" t="s">
        <v>55</v>
      </c>
      <c r="P76" s="63" t="s">
        <v>55</v>
      </c>
      <c r="Q76" s="62" t="s">
        <v>55</v>
      </c>
      <c r="R76" s="63" t="s">
        <v>55</v>
      </c>
      <c r="S76" s="63" t="s">
        <v>55</v>
      </c>
      <c r="T76" s="63" t="s">
        <v>55</v>
      </c>
      <c r="U76" s="61" t="s">
        <v>55</v>
      </c>
      <c r="V76" s="61" t="s">
        <v>55</v>
      </c>
      <c r="W76" s="62" t="s">
        <v>55</v>
      </c>
      <c r="X76" s="65" t="s">
        <v>55</v>
      </c>
      <c r="Y76" s="66"/>
      <c r="Z76" s="67" t="s">
        <v>55</v>
      </c>
      <c r="AA76" s="67" t="s">
        <v>55</v>
      </c>
      <c r="AB76" s="67"/>
      <c r="AC76" s="67"/>
      <c r="AD76" s="67" t="s">
        <v>55</v>
      </c>
      <c r="AE76" s="68" t="s">
        <v>55</v>
      </c>
      <c r="AF76" s="67" t="s">
        <v>55</v>
      </c>
      <c r="AG76" s="67" t="s">
        <v>55</v>
      </c>
      <c r="AH76" s="67" t="s">
        <v>55</v>
      </c>
      <c r="AI76" s="67" t="s">
        <v>55</v>
      </c>
      <c r="AJ76" s="69" t="s">
        <v>226</v>
      </c>
      <c r="AK76" s="67" t="s">
        <v>208</v>
      </c>
      <c r="AL76" s="70"/>
      <c r="AM76" s="71"/>
      <c r="AN76" s="71"/>
      <c r="AO76" s="72"/>
      <c r="AP76" s="72"/>
      <c r="AQ76" s="72"/>
      <c r="AR76" s="72"/>
    </row>
    <row r="77" spans="1:44" ht="42.75" x14ac:dyDescent="0.25">
      <c r="B77" s="58" t="s">
        <v>301</v>
      </c>
      <c r="C77" s="59">
        <v>1</v>
      </c>
      <c r="D77" s="59" t="s">
        <v>302</v>
      </c>
      <c r="E77" s="59" t="s">
        <v>233</v>
      </c>
      <c r="F77" s="77" t="s">
        <v>297</v>
      </c>
      <c r="G77" s="77" t="e">
        <f>(IF(LEFT(B77)="П",ROUNDUP(SUMIF([2]ВО!S$1:S$65536,ХОВС!B77,[2]ВО!N$1:N$65536)*Kup,-1),IF(LEFT(B77)="В",ROUNDUP(SUM(SUMIF([2]ВО!T$1:T$65536,ХОВС!B77,[2]ВО!O$1:O$65536)*Kup,SUMIF([2]ВО!R$1:R$65536,ХОВС!B77,[2]ВО!M$1:M$65536)*Kup),-1),IF(LEFT(B77)="М",ROUNDUP(SUMIF([2]ВО!R$1:R$65536,ХОВС!B77,[2]ВО!M$1:M$65536)*Kup,-1)))))*1.1</f>
        <v>#VALUE!</v>
      </c>
      <c r="H77" s="59">
        <f>200+50</f>
        <v>250</v>
      </c>
      <c r="I77" s="59">
        <v>1461</v>
      </c>
      <c r="J77" s="59" t="s">
        <v>224</v>
      </c>
      <c r="K77" s="60">
        <v>2.8</v>
      </c>
      <c r="L77" s="59">
        <f t="shared" si="4"/>
        <v>1461</v>
      </c>
      <c r="M77" s="63" t="s">
        <v>55</v>
      </c>
      <c r="N77" s="63" t="s">
        <v>55</v>
      </c>
      <c r="O77" s="63" t="s">
        <v>55</v>
      </c>
      <c r="P77" s="63" t="s">
        <v>55</v>
      </c>
      <c r="Q77" s="62" t="s">
        <v>55</v>
      </c>
      <c r="R77" s="63" t="s">
        <v>55</v>
      </c>
      <c r="S77" s="63" t="s">
        <v>55</v>
      </c>
      <c r="T77" s="63" t="s">
        <v>55</v>
      </c>
      <c r="U77" s="61" t="s">
        <v>55</v>
      </c>
      <c r="V77" s="61" t="s">
        <v>55</v>
      </c>
      <c r="W77" s="62" t="s">
        <v>55</v>
      </c>
      <c r="X77" s="65" t="s">
        <v>55</v>
      </c>
      <c r="Y77" s="66"/>
      <c r="Z77" s="67" t="s">
        <v>55</v>
      </c>
      <c r="AA77" s="67" t="s">
        <v>55</v>
      </c>
      <c r="AB77" s="67"/>
      <c r="AC77" s="67"/>
      <c r="AD77" s="67" t="s">
        <v>55</v>
      </c>
      <c r="AE77" s="68" t="s">
        <v>55</v>
      </c>
      <c r="AF77" s="67" t="s">
        <v>55</v>
      </c>
      <c r="AG77" s="67" t="s">
        <v>55</v>
      </c>
      <c r="AH77" s="67" t="s">
        <v>55</v>
      </c>
      <c r="AI77" s="67" t="s">
        <v>55</v>
      </c>
      <c r="AJ77" s="69" t="s">
        <v>226</v>
      </c>
      <c r="AK77" s="67" t="s">
        <v>208</v>
      </c>
      <c r="AL77" s="70"/>
      <c r="AM77" s="71"/>
      <c r="AN77" s="71"/>
      <c r="AO77" s="72"/>
      <c r="AP77" s="72"/>
      <c r="AQ77" s="72"/>
      <c r="AR77" s="72"/>
    </row>
    <row r="78" spans="1:44" ht="28.5" x14ac:dyDescent="0.25">
      <c r="B78" s="58" t="s">
        <v>303</v>
      </c>
      <c r="C78" s="59">
        <v>1</v>
      </c>
      <c r="D78" s="59" t="s">
        <v>304</v>
      </c>
      <c r="E78" s="59" t="s">
        <v>214</v>
      </c>
      <c r="F78" s="59" t="s">
        <v>215</v>
      </c>
      <c r="G78" s="77" t="e">
        <f>(IF(LEFT(B78)="П",ROUNDUP(SUMIF([2]ВО!S$1:S$65536,ХОВС!B78,[2]ВО!N$1:N$65536)*Kup,-1),IF(LEFT(B78)="В",ROUNDUP(SUM(SUMIF([2]ВО!T$1:T$65536,ХОВС!B78,[2]ВО!O$1:O$65536)*Kup,SUMIF([2]ВО!R$1:R$65536,ХОВС!B78,[2]ВО!M$1:M$65536)*Kup),-1),IF(LEFT(B78)="М",ROUNDUP(SUMIF([2]ВО!R$1:R$65536,ХОВС!B78,[2]ВО!M$1:M$65536)*Kup,-1)))))*1.1</f>
        <v>#VALUE!</v>
      </c>
      <c r="H78" s="59">
        <f>120+50</f>
        <v>170</v>
      </c>
      <c r="I78" s="59">
        <v>2600</v>
      </c>
      <c r="J78" s="59" t="s">
        <v>216</v>
      </c>
      <c r="K78" s="60">
        <v>7.0999999999999994E-2</v>
      </c>
      <c r="L78" s="59">
        <f t="shared" si="4"/>
        <v>2600</v>
      </c>
      <c r="M78" s="63" t="s">
        <v>55</v>
      </c>
      <c r="N78" s="63" t="s">
        <v>55</v>
      </c>
      <c r="O78" s="63" t="s">
        <v>55</v>
      </c>
      <c r="P78" s="63" t="s">
        <v>55</v>
      </c>
      <c r="Q78" s="62" t="s">
        <v>55</v>
      </c>
      <c r="R78" s="63" t="s">
        <v>55</v>
      </c>
      <c r="S78" s="63" t="s">
        <v>55</v>
      </c>
      <c r="T78" s="63" t="s">
        <v>55</v>
      </c>
      <c r="U78" s="61" t="s">
        <v>55</v>
      </c>
      <c r="V78" s="61" t="s">
        <v>55</v>
      </c>
      <c r="W78" s="62" t="s">
        <v>55</v>
      </c>
      <c r="X78" s="65" t="s">
        <v>55</v>
      </c>
      <c r="Y78" s="66"/>
      <c r="Z78" s="67" t="s">
        <v>55</v>
      </c>
      <c r="AA78" s="67" t="s">
        <v>55</v>
      </c>
      <c r="AB78" s="67"/>
      <c r="AC78" s="67"/>
      <c r="AD78" s="67" t="s">
        <v>55</v>
      </c>
      <c r="AE78" s="68" t="s">
        <v>55</v>
      </c>
      <c r="AF78" s="67" t="s">
        <v>206</v>
      </c>
      <c r="AG78" s="67" t="s">
        <v>55</v>
      </c>
      <c r="AH78" s="67" t="s">
        <v>55</v>
      </c>
      <c r="AI78" s="67" t="s">
        <v>55</v>
      </c>
      <c r="AJ78" s="67" t="s">
        <v>207</v>
      </c>
      <c r="AK78" s="67" t="s">
        <v>208</v>
      </c>
      <c r="AL78" s="70"/>
      <c r="AM78" s="71"/>
      <c r="AN78" s="71"/>
      <c r="AO78" s="72"/>
      <c r="AP78" s="72"/>
      <c r="AQ78" s="72"/>
      <c r="AR78" s="72"/>
    </row>
    <row r="79" spans="1:44" ht="30" x14ac:dyDescent="0.25">
      <c r="B79" s="58" t="s">
        <v>305</v>
      </c>
      <c r="C79" s="59">
        <v>1</v>
      </c>
      <c r="D79" s="59" t="s">
        <v>213</v>
      </c>
      <c r="E79" s="59" t="s">
        <v>214</v>
      </c>
      <c r="F79" s="59" t="s">
        <v>215</v>
      </c>
      <c r="G79" s="77" t="e">
        <f>(IF(LEFT(B79)="П",ROUNDUP(SUMIF([2]ВО!S$1:S$65536,ХОВС!B79,[2]ВО!N$1:N$65536)*Kup,-1),IF(LEFT(B79)="В",ROUNDUP(SUM(SUMIF([2]ВО!T$1:T$65536,ХОВС!B79,[2]ВО!O$1:O$65536)*Kup,SUMIF([2]ВО!R$1:R$65536,ХОВС!B79,[2]ВО!M$1:M$65536)*Kup),-1),IF(LEFT(B79)="М",ROUNDUP(SUMIF([2]ВО!R$1:R$65536,ХОВС!B79,[2]ВО!M$1:M$65536)*Kup,-1)))))*1.1</f>
        <v>#VALUE!</v>
      </c>
      <c r="H79" s="59">
        <f xml:space="preserve"> 100+50</f>
        <v>150</v>
      </c>
      <c r="I79" s="59">
        <v>2450</v>
      </c>
      <c r="J79" s="59" t="s">
        <v>216</v>
      </c>
      <c r="K79" s="60">
        <v>7.0999999999999994E-2</v>
      </c>
      <c r="L79" s="59">
        <f t="shared" si="4"/>
        <v>2450</v>
      </c>
      <c r="M79" s="63" t="s">
        <v>55</v>
      </c>
      <c r="N79" s="63" t="s">
        <v>55</v>
      </c>
      <c r="O79" s="63" t="s">
        <v>55</v>
      </c>
      <c r="P79" s="63" t="s">
        <v>55</v>
      </c>
      <c r="Q79" s="62" t="s">
        <v>55</v>
      </c>
      <c r="R79" s="63" t="s">
        <v>55</v>
      </c>
      <c r="S79" s="63" t="s">
        <v>55</v>
      </c>
      <c r="T79" s="63" t="s">
        <v>55</v>
      </c>
      <c r="U79" s="61" t="s">
        <v>55</v>
      </c>
      <c r="V79" s="61" t="s">
        <v>55</v>
      </c>
      <c r="W79" s="62" t="s">
        <v>55</v>
      </c>
      <c r="X79" s="65" t="s">
        <v>55</v>
      </c>
      <c r="Y79" s="66"/>
      <c r="Z79" s="67" t="s">
        <v>55</v>
      </c>
      <c r="AA79" s="67" t="s">
        <v>55</v>
      </c>
      <c r="AB79" s="67"/>
      <c r="AC79" s="67"/>
      <c r="AD79" s="67" t="s">
        <v>55</v>
      </c>
      <c r="AE79" s="68">
        <f>K79*C79</f>
        <v>7.0999999999999994E-2</v>
      </c>
      <c r="AF79" s="67" t="s">
        <v>206</v>
      </c>
      <c r="AG79" s="67" t="s">
        <v>55</v>
      </c>
      <c r="AH79" s="67" t="s">
        <v>55</v>
      </c>
      <c r="AI79" s="67" t="s">
        <v>55</v>
      </c>
      <c r="AJ79" s="69" t="s">
        <v>226</v>
      </c>
      <c r="AK79" s="67" t="s">
        <v>208</v>
      </c>
      <c r="AL79" s="72"/>
      <c r="AM79" s="72"/>
      <c r="AN79" s="72"/>
      <c r="AO79" s="72"/>
      <c r="AP79" s="72"/>
      <c r="AQ79" s="72"/>
      <c r="AR79" s="72"/>
    </row>
    <row r="80" spans="1:44" ht="30" x14ac:dyDescent="0.25">
      <c r="B80" s="58" t="s">
        <v>306</v>
      </c>
      <c r="C80" s="59">
        <v>1</v>
      </c>
      <c r="D80" s="59" t="s">
        <v>307</v>
      </c>
      <c r="E80" s="59" t="s">
        <v>214</v>
      </c>
      <c r="F80" s="59" t="s">
        <v>215</v>
      </c>
      <c r="G80" s="77" t="e">
        <f>(IF(LEFT(B80)="П",ROUNDUP(SUMIF([2]ВО!S$1:S$65536,ХОВС!B80,[2]ВО!N$1:N$65536)*Kup,-1),IF(LEFT(B80)="В",ROUNDUP(SUM(SUMIF([2]ВО!T$1:T$65536,ХОВС!B80,[2]ВО!O$1:O$65536)*Kup,SUMIF([2]ВО!R$1:R$65536,ХОВС!B80,[2]ВО!M$1:M$65536)*Kup),-1),IF(LEFT(B80)="М",ROUNDUP(SUMIF([2]ВО!R$1:R$65536,ХОВС!B80,[2]ВО!M$1:M$65536)*Kup,-1)))))*1.1</f>
        <v>#VALUE!</v>
      </c>
      <c r="H80" s="59">
        <f>120+50</f>
        <v>170</v>
      </c>
      <c r="I80" s="59">
        <v>2450</v>
      </c>
      <c r="J80" s="59" t="s">
        <v>216</v>
      </c>
      <c r="K80" s="60">
        <v>7.0999999999999994E-2</v>
      </c>
      <c r="L80" s="59">
        <f t="shared" si="4"/>
        <v>2450</v>
      </c>
      <c r="M80" s="63" t="s">
        <v>55</v>
      </c>
      <c r="N80" s="63" t="s">
        <v>55</v>
      </c>
      <c r="O80" s="63" t="s">
        <v>55</v>
      </c>
      <c r="P80" s="63" t="s">
        <v>55</v>
      </c>
      <c r="Q80" s="62" t="s">
        <v>55</v>
      </c>
      <c r="R80" s="63" t="s">
        <v>55</v>
      </c>
      <c r="S80" s="63" t="s">
        <v>55</v>
      </c>
      <c r="T80" s="63" t="s">
        <v>55</v>
      </c>
      <c r="U80" s="61" t="s">
        <v>55</v>
      </c>
      <c r="V80" s="61" t="s">
        <v>55</v>
      </c>
      <c r="W80" s="62" t="s">
        <v>55</v>
      </c>
      <c r="X80" s="65" t="s">
        <v>55</v>
      </c>
      <c r="Y80" s="66"/>
      <c r="Z80" s="67" t="s">
        <v>55</v>
      </c>
      <c r="AA80" s="67" t="s">
        <v>55</v>
      </c>
      <c r="AB80" s="67"/>
      <c r="AC80" s="67"/>
      <c r="AD80" s="67" t="s">
        <v>55</v>
      </c>
      <c r="AE80" s="68">
        <f t="shared" ref="AE80:AE94" si="5">K80*C80</f>
        <v>7.0999999999999994E-2</v>
      </c>
      <c r="AF80" s="67" t="s">
        <v>206</v>
      </c>
      <c r="AG80" s="67" t="s">
        <v>55</v>
      </c>
      <c r="AH80" s="67" t="s">
        <v>55</v>
      </c>
      <c r="AI80" s="67" t="s">
        <v>55</v>
      </c>
      <c r="AJ80" s="69" t="s">
        <v>226</v>
      </c>
      <c r="AK80" s="67" t="s">
        <v>208</v>
      </c>
      <c r="AL80" s="72"/>
      <c r="AM80" s="72"/>
      <c r="AN80" s="72"/>
      <c r="AO80" s="72"/>
      <c r="AP80" s="72"/>
      <c r="AQ80" s="72"/>
      <c r="AR80" s="72"/>
    </row>
    <row r="81" spans="1:44" ht="28.5" x14ac:dyDescent="0.25">
      <c r="B81" s="58" t="s">
        <v>308</v>
      </c>
      <c r="C81" s="59">
        <v>1</v>
      </c>
      <c r="D81" s="59" t="s">
        <v>309</v>
      </c>
      <c r="E81" s="59" t="s">
        <v>214</v>
      </c>
      <c r="F81" s="59" t="s">
        <v>230</v>
      </c>
      <c r="G81" s="77" t="e">
        <f>(IF(LEFT(B81)="П",ROUNDUP(SUMIF([2]ВО!S$1:S$65536,ХОВС!B81,[2]ВО!N$1:N$65536)*Kup,-1),IF(LEFT(B81)="В",ROUNDUP(SUM(SUMIF([2]ВО!T$1:T$65536,ХОВС!B81,[2]ВО!O$1:O$65536)*Kup,SUMIF([2]ВО!R$1:R$65536,ХОВС!B81,[2]ВО!M$1:M$65536)*Kup),-1),IF(LEFT(B81)="М",ROUNDUP(SUMIF([2]ВО!R$1:R$65536,ХОВС!B81,[2]ВО!M$1:M$65536)*Kup,-1)))))*1.1</f>
        <v>#VALUE!</v>
      </c>
      <c r="H81" s="59">
        <v>300</v>
      </c>
      <c r="I81" s="59">
        <v>2550</v>
      </c>
      <c r="J81" s="59" t="s">
        <v>216</v>
      </c>
      <c r="K81" s="60">
        <v>0.29499999999999998</v>
      </c>
      <c r="L81" s="59">
        <f>I81</f>
        <v>2550</v>
      </c>
      <c r="M81" s="63" t="s">
        <v>55</v>
      </c>
      <c r="N81" s="63" t="s">
        <v>55</v>
      </c>
      <c r="O81" s="63" t="s">
        <v>55</v>
      </c>
      <c r="P81" s="63" t="s">
        <v>55</v>
      </c>
      <c r="Q81" s="62" t="s">
        <v>55</v>
      </c>
      <c r="R81" s="63" t="s">
        <v>55</v>
      </c>
      <c r="S81" s="63" t="s">
        <v>55</v>
      </c>
      <c r="T81" s="63" t="s">
        <v>55</v>
      </c>
      <c r="U81" s="61" t="s">
        <v>55</v>
      </c>
      <c r="V81" s="61" t="s">
        <v>55</v>
      </c>
      <c r="W81" s="62" t="s">
        <v>55</v>
      </c>
      <c r="X81" s="65" t="s">
        <v>55</v>
      </c>
      <c r="Y81" s="66"/>
      <c r="Z81" s="67" t="s">
        <v>55</v>
      </c>
      <c r="AA81" s="67" t="s">
        <v>55</v>
      </c>
      <c r="AB81" s="67"/>
      <c r="AC81" s="67"/>
      <c r="AD81" s="67" t="s">
        <v>55</v>
      </c>
      <c r="AE81" s="68">
        <f t="shared" si="5"/>
        <v>0.29499999999999998</v>
      </c>
      <c r="AF81" s="67" t="s">
        <v>55</v>
      </c>
      <c r="AG81" s="67" t="s">
        <v>55</v>
      </c>
      <c r="AH81" s="67" t="s">
        <v>55</v>
      </c>
      <c r="AI81" s="67" t="s">
        <v>55</v>
      </c>
      <c r="AJ81" s="69" t="s">
        <v>207</v>
      </c>
      <c r="AK81" s="67" t="s">
        <v>208</v>
      </c>
      <c r="AL81" s="72"/>
      <c r="AM81" s="72"/>
      <c r="AN81" s="72"/>
      <c r="AO81" s="72"/>
      <c r="AP81" s="72"/>
      <c r="AQ81" s="72"/>
      <c r="AR81" s="72"/>
    </row>
    <row r="82" spans="1:44" ht="42.75" x14ac:dyDescent="0.25">
      <c r="A82" s="5" t="s">
        <v>310</v>
      </c>
      <c r="B82" s="58" t="s">
        <v>311</v>
      </c>
      <c r="C82" s="59">
        <v>1</v>
      </c>
      <c r="D82" s="59" t="s">
        <v>255</v>
      </c>
      <c r="E82" s="59" t="s">
        <v>214</v>
      </c>
      <c r="F82" s="59" t="s">
        <v>230</v>
      </c>
      <c r="G82" s="77" t="e">
        <f>(IF(LEFT(B82)="П",ROUNDUP(SUMIF([2]ВО!S$1:S$65536,ХОВС!B82,[2]ВО!N$1:N$65536)*Kup,-1),IF(LEFT(B82)="В",ROUNDUP(SUM(SUMIF([2]ВО!T$1:T$65536,ХОВС!B82,[2]ВО!O$1:O$65536)*Kup,SUMIF([2]ВО!R$1:R$65536,ХОВС!B82,[2]ВО!M$1:M$65536)*Kup),-1),IF(LEFT(B82)="М",ROUNDUP(SUMIF([2]ВО!R$1:R$65536,ХОВС!B82,[2]ВО!M$1:M$65536)*Kup,-1)))))*1.1</f>
        <v>#VALUE!</v>
      </c>
      <c r="H82" s="59">
        <f>120+50</f>
        <v>170</v>
      </c>
      <c r="I82" s="59">
        <v>930</v>
      </c>
      <c r="J82" s="59" t="s">
        <v>216</v>
      </c>
      <c r="K82" s="60">
        <v>0.23</v>
      </c>
      <c r="L82" s="59">
        <f>I82</f>
        <v>930</v>
      </c>
      <c r="M82" s="63" t="s">
        <v>55</v>
      </c>
      <c r="N82" s="63" t="s">
        <v>55</v>
      </c>
      <c r="O82" s="63" t="s">
        <v>55</v>
      </c>
      <c r="P82" s="63" t="s">
        <v>55</v>
      </c>
      <c r="Q82" s="62" t="s">
        <v>55</v>
      </c>
      <c r="R82" s="63" t="s">
        <v>55</v>
      </c>
      <c r="S82" s="63" t="s">
        <v>55</v>
      </c>
      <c r="T82" s="63" t="s">
        <v>55</v>
      </c>
      <c r="U82" s="61" t="s">
        <v>55</v>
      </c>
      <c r="V82" s="61" t="s">
        <v>55</v>
      </c>
      <c r="W82" s="62" t="s">
        <v>55</v>
      </c>
      <c r="X82" s="65" t="s">
        <v>55</v>
      </c>
      <c r="Y82" s="66"/>
      <c r="Z82" s="67" t="s">
        <v>55</v>
      </c>
      <c r="AA82" s="67" t="s">
        <v>55</v>
      </c>
      <c r="AB82" s="67"/>
      <c r="AC82" s="67"/>
      <c r="AD82" s="67" t="s">
        <v>55</v>
      </c>
      <c r="AE82" s="68">
        <f t="shared" si="5"/>
        <v>0.23</v>
      </c>
      <c r="AF82" s="67" t="s">
        <v>55</v>
      </c>
      <c r="AG82" s="67" t="s">
        <v>55</v>
      </c>
      <c r="AH82" s="67" t="s">
        <v>55</v>
      </c>
      <c r="AI82" s="67" t="s">
        <v>55</v>
      </c>
      <c r="AJ82" s="69" t="s">
        <v>226</v>
      </c>
      <c r="AK82" s="67" t="s">
        <v>208</v>
      </c>
      <c r="AL82" s="70"/>
      <c r="AM82" s="71"/>
      <c r="AN82" s="71"/>
      <c r="AO82" s="72"/>
      <c r="AP82" s="72"/>
      <c r="AQ82" s="72"/>
      <c r="AR82" s="72"/>
    </row>
    <row r="83" spans="1:44" ht="30" x14ac:dyDescent="0.25">
      <c r="A83" s="5" t="s">
        <v>312</v>
      </c>
      <c r="B83" s="58" t="s">
        <v>18</v>
      </c>
      <c r="C83" s="59">
        <v>1</v>
      </c>
      <c r="D83" s="59" t="s">
        <v>313</v>
      </c>
      <c r="E83" s="59" t="s">
        <v>214</v>
      </c>
      <c r="F83" s="59" t="s">
        <v>215</v>
      </c>
      <c r="G83" s="77" t="e">
        <f>(IF(LEFT(B83)="П",ROUNDUP(SUMIF([2]ВО!S$1:S$65536,ХОВС!B83,[2]ВО!N$1:N$65536)*Kup,-1),IF(LEFT(B83)="В",ROUNDUP(SUM(SUMIF([2]ВО!T$1:T$65536,ХОВС!B83,[2]ВО!O$1:O$65536)*Kup,SUMIF([2]ВО!R$1:R$65536,ХОВС!B83,[2]ВО!M$1:M$65536)*Kup),-1),IF(LEFT(B83)="М",ROUNDUP(SUMIF([2]ВО!R$1:R$65536,ХОВС!B83,[2]ВО!M$1:M$65536)*Kup,-1)))))*1.1</f>
        <v>#VALUE!</v>
      </c>
      <c r="H83" s="59">
        <f>60+60</f>
        <v>120</v>
      </c>
      <c r="I83" s="59">
        <v>2500</v>
      </c>
      <c r="J83" s="59" t="s">
        <v>216</v>
      </c>
      <c r="K83" s="60">
        <v>0.105</v>
      </c>
      <c r="L83" s="59">
        <f t="shared" ref="L83:L107" si="6">I83</f>
        <v>2500</v>
      </c>
      <c r="M83" s="63" t="s">
        <v>55</v>
      </c>
      <c r="N83" s="63" t="s">
        <v>55</v>
      </c>
      <c r="O83" s="63" t="s">
        <v>55</v>
      </c>
      <c r="P83" s="63" t="s">
        <v>55</v>
      </c>
      <c r="Q83" s="62" t="s">
        <v>55</v>
      </c>
      <c r="R83" s="63" t="s">
        <v>55</v>
      </c>
      <c r="S83" s="63" t="s">
        <v>55</v>
      </c>
      <c r="T83" s="63" t="s">
        <v>55</v>
      </c>
      <c r="U83" s="61" t="s">
        <v>55</v>
      </c>
      <c r="V83" s="61" t="s">
        <v>55</v>
      </c>
      <c r="W83" s="62" t="s">
        <v>55</v>
      </c>
      <c r="X83" s="65" t="s">
        <v>55</v>
      </c>
      <c r="Y83" s="66"/>
      <c r="Z83" s="67" t="s">
        <v>55</v>
      </c>
      <c r="AA83" s="67" t="s">
        <v>55</v>
      </c>
      <c r="AB83" s="67"/>
      <c r="AC83" s="67"/>
      <c r="AD83" s="67" t="s">
        <v>55</v>
      </c>
      <c r="AE83" s="68">
        <f t="shared" si="5"/>
        <v>0.105</v>
      </c>
      <c r="AF83" s="67" t="s">
        <v>55</v>
      </c>
      <c r="AG83" s="67" t="s">
        <v>55</v>
      </c>
      <c r="AH83" s="67" t="s">
        <v>55</v>
      </c>
      <c r="AI83" s="67" t="s">
        <v>55</v>
      </c>
      <c r="AJ83" s="69" t="s">
        <v>226</v>
      </c>
      <c r="AK83" s="67" t="s">
        <v>208</v>
      </c>
      <c r="AL83" s="70"/>
      <c r="AM83" s="71"/>
      <c r="AN83" s="71"/>
      <c r="AO83" s="72"/>
      <c r="AP83" s="72"/>
      <c r="AQ83" s="72"/>
      <c r="AR83" s="72"/>
    </row>
    <row r="84" spans="1:44" ht="28.5" x14ac:dyDescent="0.25">
      <c r="B84" s="58" t="s">
        <v>140</v>
      </c>
      <c r="C84" s="59">
        <v>1</v>
      </c>
      <c r="D84" s="59" t="s">
        <v>314</v>
      </c>
      <c r="E84" s="59" t="s">
        <v>214</v>
      </c>
      <c r="F84" s="59" t="s">
        <v>288</v>
      </c>
      <c r="G84" s="77" t="e">
        <f>(IF(LEFT(B84)="П",ROUNDUP(SUMIF([2]ВО!S$1:S$65536,ХОВС!B84,[2]ВО!N$1:N$65536)*Kup,-1),IF(LEFT(B84)="В",ROUNDUP(SUM(SUMIF([2]ВО!T$1:T$65536,ХОВС!B84,[2]ВО!O$1:O$65536)*Kup,SUMIF([2]ВО!R$1:R$65536,ХОВС!B84,[2]ВО!M$1:M$65536)*Kup),-1),IF(LEFT(B84)="М",ROUNDUP(SUMIF([2]ВО!R$1:R$65536,ХОВС!B84,[2]ВО!M$1:M$65536)*Kup,-1)))))*1.1</f>
        <v>#VALUE!</v>
      </c>
      <c r="H84" s="59">
        <f>200+50</f>
        <v>250</v>
      </c>
      <c r="I84" s="59">
        <v>2550</v>
      </c>
      <c r="J84" s="59" t="s">
        <v>216</v>
      </c>
      <c r="K84" s="60">
        <v>0.157</v>
      </c>
      <c r="L84" s="59">
        <f t="shared" si="6"/>
        <v>2550</v>
      </c>
      <c r="M84" s="63" t="s">
        <v>55</v>
      </c>
      <c r="N84" s="63" t="s">
        <v>55</v>
      </c>
      <c r="O84" s="63" t="s">
        <v>55</v>
      </c>
      <c r="P84" s="63" t="s">
        <v>55</v>
      </c>
      <c r="Q84" s="62" t="s">
        <v>55</v>
      </c>
      <c r="R84" s="63" t="s">
        <v>55</v>
      </c>
      <c r="S84" s="63" t="s">
        <v>55</v>
      </c>
      <c r="T84" s="63" t="s">
        <v>55</v>
      </c>
      <c r="U84" s="61" t="s">
        <v>55</v>
      </c>
      <c r="V84" s="61" t="s">
        <v>55</v>
      </c>
      <c r="W84" s="62" t="s">
        <v>55</v>
      </c>
      <c r="X84" s="65" t="s">
        <v>55</v>
      </c>
      <c r="Y84" s="66"/>
      <c r="Z84" s="67" t="s">
        <v>55</v>
      </c>
      <c r="AA84" s="67" t="s">
        <v>55</v>
      </c>
      <c r="AB84" s="67"/>
      <c r="AC84" s="67"/>
      <c r="AD84" s="67" t="s">
        <v>55</v>
      </c>
      <c r="AE84" s="68">
        <f t="shared" si="5"/>
        <v>0.157</v>
      </c>
      <c r="AF84" s="67" t="s">
        <v>55</v>
      </c>
      <c r="AG84" s="67" t="s">
        <v>55</v>
      </c>
      <c r="AH84" s="67" t="s">
        <v>55</v>
      </c>
      <c r="AI84" s="67" t="s">
        <v>55</v>
      </c>
      <c r="AJ84" s="69" t="s">
        <v>207</v>
      </c>
      <c r="AK84" s="67" t="s">
        <v>208</v>
      </c>
      <c r="AL84" s="72"/>
      <c r="AM84" s="72"/>
      <c r="AN84" s="72"/>
      <c r="AO84" s="72"/>
      <c r="AP84" s="72"/>
      <c r="AQ84" s="72"/>
      <c r="AR84" s="72"/>
    </row>
    <row r="85" spans="1:44" ht="42.75" x14ac:dyDescent="0.25">
      <c r="B85" s="79" t="s">
        <v>315</v>
      </c>
      <c r="C85" s="80">
        <v>1</v>
      </c>
      <c r="D85" s="80" t="s">
        <v>316</v>
      </c>
      <c r="E85" s="80" t="s">
        <v>214</v>
      </c>
      <c r="F85" s="80" t="s">
        <v>288</v>
      </c>
      <c r="G85" s="100" t="e">
        <f>(IF(LEFT(B85)="П",ROUNDUP(SUMIF([2]ВО!S$1:S$65536,ХОВС!B85,[2]ВО!N$1:N$65536)*Kup,-1),IF(LEFT(B85)="В",ROUNDUP(SUM(SUMIF([2]ВО!T$1:T$65536,ХОВС!B85,[2]ВО!O$1:O$65536)*Kup,SUMIF([2]ВО!R$1:R$65536,ХОВС!B85,[2]ВО!M$1:M$65536)*Kup),-1),IF(LEFT(B85)="М",ROUNDUP(SUMIF([2]ВО!R$1:R$65536,ХОВС!B85,[2]ВО!M$1:M$65536)*Kup,-1)))))*1.1</f>
        <v>#VALUE!</v>
      </c>
      <c r="H85" s="80">
        <f>150+50</f>
        <v>200</v>
      </c>
      <c r="I85" s="59">
        <v>2450</v>
      </c>
      <c r="J85" s="59" t="s">
        <v>216</v>
      </c>
      <c r="K85" s="60">
        <v>0.105</v>
      </c>
      <c r="L85" s="59">
        <f t="shared" si="6"/>
        <v>2450</v>
      </c>
      <c r="M85" s="63" t="s">
        <v>55</v>
      </c>
      <c r="N85" s="63" t="s">
        <v>55</v>
      </c>
      <c r="O85" s="63" t="s">
        <v>55</v>
      </c>
      <c r="P85" s="63" t="s">
        <v>55</v>
      </c>
      <c r="Q85" s="62"/>
      <c r="R85" s="63" t="s">
        <v>55</v>
      </c>
      <c r="S85" s="63" t="s">
        <v>55</v>
      </c>
      <c r="T85" s="63" t="s">
        <v>55</v>
      </c>
      <c r="U85" s="61" t="s">
        <v>55</v>
      </c>
      <c r="V85" s="61" t="s">
        <v>55</v>
      </c>
      <c r="W85" s="62" t="s">
        <v>55</v>
      </c>
      <c r="X85" s="65" t="s">
        <v>55</v>
      </c>
      <c r="Y85" s="66"/>
      <c r="Z85" s="67" t="s">
        <v>55</v>
      </c>
      <c r="AA85" s="67" t="s">
        <v>55</v>
      </c>
      <c r="AB85" s="67"/>
      <c r="AC85" s="67"/>
      <c r="AD85" s="67" t="s">
        <v>55</v>
      </c>
      <c r="AE85" s="68">
        <f t="shared" si="5"/>
        <v>0.105</v>
      </c>
      <c r="AF85" s="67" t="s">
        <v>206</v>
      </c>
      <c r="AG85" s="67" t="s">
        <v>55</v>
      </c>
      <c r="AH85" s="67" t="s">
        <v>55</v>
      </c>
      <c r="AI85" s="67" t="s">
        <v>55</v>
      </c>
      <c r="AJ85" s="69" t="s">
        <v>226</v>
      </c>
      <c r="AK85" s="67" t="s">
        <v>208</v>
      </c>
      <c r="AL85" s="70"/>
      <c r="AM85" s="71"/>
      <c r="AN85" s="71"/>
      <c r="AO85" s="72"/>
      <c r="AP85" s="72"/>
      <c r="AQ85" s="72"/>
      <c r="AR85" s="72"/>
    </row>
    <row r="86" spans="1:44" ht="42.75" x14ac:dyDescent="0.25">
      <c r="B86" s="58" t="s">
        <v>317</v>
      </c>
      <c r="C86" s="59">
        <v>1</v>
      </c>
      <c r="D86" s="59" t="s">
        <v>318</v>
      </c>
      <c r="E86" s="59" t="s">
        <v>214</v>
      </c>
      <c r="F86" s="59" t="s">
        <v>215</v>
      </c>
      <c r="G86" s="77" t="e">
        <f>(IF(LEFT(B86)="П",ROUNDUP(SUMIF([2]ВО!S$1:S$65536,ХОВС!B86,[2]ВО!N$1:N$65536)*Kup,-1),IF(LEFT(B86)="В",ROUNDUP(SUM(SUMIF([2]ВО!T$1:T$65536,ХОВС!B86,[2]ВО!O$1:O$65536)*Kup,SUMIF([2]ВО!R$1:R$65536,ХОВС!B86,[2]ВО!M$1:M$65536)*Kup),-1),IF(LEFT(B86)="М",ROUNDUP(SUMIF([2]ВО!R$1:R$65536,ХОВС!B86,[2]ВО!M$1:M$65536)*Kup,-1)))))*1.1</f>
        <v>#VALUE!</v>
      </c>
      <c r="H86" s="59">
        <f>130+50</f>
        <v>180</v>
      </c>
      <c r="I86" s="59">
        <v>2450</v>
      </c>
      <c r="J86" s="59" t="s">
        <v>216</v>
      </c>
      <c r="K86" s="60">
        <v>0.105</v>
      </c>
      <c r="L86" s="59">
        <f t="shared" si="6"/>
        <v>2450</v>
      </c>
      <c r="M86" s="63" t="s">
        <v>55</v>
      </c>
      <c r="N86" s="63" t="s">
        <v>55</v>
      </c>
      <c r="O86" s="63" t="s">
        <v>55</v>
      </c>
      <c r="P86" s="63" t="s">
        <v>55</v>
      </c>
      <c r="Q86" s="62" t="s">
        <v>55</v>
      </c>
      <c r="R86" s="63" t="s">
        <v>55</v>
      </c>
      <c r="S86" s="63" t="s">
        <v>55</v>
      </c>
      <c r="T86" s="63" t="s">
        <v>55</v>
      </c>
      <c r="U86" s="61" t="s">
        <v>55</v>
      </c>
      <c r="V86" s="61" t="s">
        <v>55</v>
      </c>
      <c r="W86" s="62" t="s">
        <v>55</v>
      </c>
      <c r="X86" s="65" t="s">
        <v>55</v>
      </c>
      <c r="Y86" s="66"/>
      <c r="Z86" s="67" t="s">
        <v>55</v>
      </c>
      <c r="AA86" s="67" t="s">
        <v>55</v>
      </c>
      <c r="AB86" s="67"/>
      <c r="AC86" s="67"/>
      <c r="AD86" s="67" t="s">
        <v>55</v>
      </c>
      <c r="AE86" s="68">
        <f t="shared" si="5"/>
        <v>0.105</v>
      </c>
      <c r="AF86" s="67" t="s">
        <v>55</v>
      </c>
      <c r="AG86" s="67" t="s">
        <v>55</v>
      </c>
      <c r="AH86" s="67" t="s">
        <v>55</v>
      </c>
      <c r="AI86" s="67" t="s">
        <v>55</v>
      </c>
      <c r="AJ86" s="69" t="s">
        <v>226</v>
      </c>
      <c r="AK86" s="67" t="s">
        <v>208</v>
      </c>
      <c r="AL86" s="70"/>
      <c r="AM86" s="71"/>
      <c r="AN86" s="71"/>
      <c r="AO86" s="72"/>
      <c r="AP86" s="72"/>
      <c r="AQ86" s="72"/>
      <c r="AR86" s="72"/>
    </row>
    <row r="87" spans="1:44" ht="30" x14ac:dyDescent="0.25">
      <c r="A87" s="5" t="s">
        <v>319</v>
      </c>
      <c r="B87" s="58" t="s">
        <v>320</v>
      </c>
      <c r="C87" s="59">
        <v>1</v>
      </c>
      <c r="D87" s="59" t="s">
        <v>321</v>
      </c>
      <c r="E87" s="59" t="s">
        <v>214</v>
      </c>
      <c r="F87" s="59" t="s">
        <v>288</v>
      </c>
      <c r="G87" s="77" t="e">
        <f>(IF(LEFT(B87)="П",ROUNDUP(SUMIF([2]ВО!S$1:S$65536,ХОВС!B87,[2]ВО!N$1:N$65536)*Kup,-1),IF(LEFT(B87)="В",ROUNDUP(SUM(SUMIF([2]ВО!T$1:T$65536,ХОВС!B87,[2]ВО!O$1:O$65536)*Kup,SUMIF([2]ВО!R$1:R$65536,ХОВС!B87,[2]ВО!M$1:M$65536)*Kup),-1),IF(LEFT(B87)="М",ROUNDUP(SUMIF([2]ВО!R$1:R$65536,ХОВС!B87,[2]ВО!M$1:M$65536)*Kup,-1)))))*1.1</f>
        <v>#VALUE!</v>
      </c>
      <c r="H87" s="59">
        <f>240+50</f>
        <v>290</v>
      </c>
      <c r="I87" s="59">
        <v>2450</v>
      </c>
      <c r="J87" s="59" t="s">
        <v>216</v>
      </c>
      <c r="K87" s="60">
        <v>0.157</v>
      </c>
      <c r="L87" s="59">
        <f t="shared" si="6"/>
        <v>2450</v>
      </c>
      <c r="M87" s="63" t="s">
        <v>55</v>
      </c>
      <c r="N87" s="63" t="s">
        <v>55</v>
      </c>
      <c r="O87" s="63" t="s">
        <v>55</v>
      </c>
      <c r="P87" s="63" t="s">
        <v>55</v>
      </c>
      <c r="Q87" s="62" t="s">
        <v>55</v>
      </c>
      <c r="R87" s="63" t="s">
        <v>55</v>
      </c>
      <c r="S87" s="63" t="s">
        <v>55</v>
      </c>
      <c r="T87" s="63" t="s">
        <v>55</v>
      </c>
      <c r="U87" s="61" t="s">
        <v>55</v>
      </c>
      <c r="V87" s="61" t="s">
        <v>55</v>
      </c>
      <c r="W87" s="62" t="s">
        <v>55</v>
      </c>
      <c r="X87" s="65" t="s">
        <v>55</v>
      </c>
      <c r="Y87" s="66"/>
      <c r="Z87" s="67" t="s">
        <v>55</v>
      </c>
      <c r="AA87" s="67" t="s">
        <v>55</v>
      </c>
      <c r="AB87" s="67"/>
      <c r="AC87" s="67"/>
      <c r="AD87" s="67" t="s">
        <v>55</v>
      </c>
      <c r="AE87" s="68">
        <f t="shared" si="5"/>
        <v>0.157</v>
      </c>
      <c r="AF87" s="67" t="s">
        <v>206</v>
      </c>
      <c r="AG87" s="67" t="s">
        <v>55</v>
      </c>
      <c r="AH87" s="67" t="s">
        <v>55</v>
      </c>
      <c r="AI87" s="67" t="s">
        <v>55</v>
      </c>
      <c r="AJ87" s="69" t="s">
        <v>322</v>
      </c>
      <c r="AK87" s="67" t="s">
        <v>208</v>
      </c>
      <c r="AL87" s="70"/>
      <c r="AM87" s="71"/>
      <c r="AN87" s="71"/>
      <c r="AO87" s="72"/>
      <c r="AP87" s="72"/>
      <c r="AQ87" s="72"/>
      <c r="AR87" s="72"/>
    </row>
    <row r="88" spans="1:44" ht="30" x14ac:dyDescent="0.25">
      <c r="A88" s="5" t="s">
        <v>319</v>
      </c>
      <c r="B88" s="58" t="s">
        <v>323</v>
      </c>
      <c r="C88" s="59">
        <v>1</v>
      </c>
      <c r="D88" s="59" t="s">
        <v>321</v>
      </c>
      <c r="E88" s="59" t="s">
        <v>214</v>
      </c>
      <c r="F88" s="59" t="s">
        <v>288</v>
      </c>
      <c r="G88" s="77" t="e">
        <f>(IF(LEFT(B88)="П",ROUNDUP(SUMIF([2]ВО!S$1:S$65536,ХОВС!B88,[2]ВО!N$1:N$65536)*Kup,-1),IF(LEFT(B88)="В",ROUNDUP(SUM(SUMIF([2]ВО!T$1:T$65536,ХОВС!B88,[2]ВО!O$1:O$65536)*Kup,SUMIF([2]ВО!R$1:R$65536,ХОВС!B88,[2]ВО!M$1:M$65536)*Kup),-1),IF(LEFT(B88)="М",ROUNDUP(SUMIF([2]ВО!R$1:R$65536,ХОВС!B88,[2]ВО!M$1:M$65536)*Kup,-1)))))*1.1</f>
        <v>#VALUE!</v>
      </c>
      <c r="H88" s="59">
        <f>230+50</f>
        <v>280</v>
      </c>
      <c r="I88" s="59">
        <v>2450</v>
      </c>
      <c r="J88" s="59" t="s">
        <v>216</v>
      </c>
      <c r="K88" s="60">
        <v>0.157</v>
      </c>
      <c r="L88" s="59">
        <f>I88</f>
        <v>2450</v>
      </c>
      <c r="M88" s="63" t="s">
        <v>55</v>
      </c>
      <c r="N88" s="63" t="s">
        <v>55</v>
      </c>
      <c r="O88" s="63" t="s">
        <v>55</v>
      </c>
      <c r="P88" s="63" t="s">
        <v>55</v>
      </c>
      <c r="Q88" s="62" t="s">
        <v>55</v>
      </c>
      <c r="R88" s="63" t="s">
        <v>55</v>
      </c>
      <c r="S88" s="63" t="s">
        <v>55</v>
      </c>
      <c r="T88" s="63" t="s">
        <v>55</v>
      </c>
      <c r="U88" s="61" t="s">
        <v>55</v>
      </c>
      <c r="V88" s="61" t="s">
        <v>55</v>
      </c>
      <c r="W88" s="62" t="s">
        <v>55</v>
      </c>
      <c r="X88" s="65" t="s">
        <v>55</v>
      </c>
      <c r="Y88" s="66"/>
      <c r="Z88" s="67" t="s">
        <v>55</v>
      </c>
      <c r="AA88" s="67" t="s">
        <v>55</v>
      </c>
      <c r="AB88" s="67"/>
      <c r="AC88" s="67"/>
      <c r="AD88" s="67" t="s">
        <v>55</v>
      </c>
      <c r="AE88" s="68">
        <f>K88*C88</f>
        <v>0.157</v>
      </c>
      <c r="AF88" s="67" t="s">
        <v>206</v>
      </c>
      <c r="AG88" s="67" t="s">
        <v>55</v>
      </c>
      <c r="AH88" s="67" t="s">
        <v>55</v>
      </c>
      <c r="AI88" s="67" t="s">
        <v>55</v>
      </c>
      <c r="AJ88" s="69" t="s">
        <v>322</v>
      </c>
      <c r="AK88" s="67" t="s">
        <v>208</v>
      </c>
      <c r="AL88" s="70"/>
      <c r="AM88" s="71"/>
      <c r="AN88" s="71"/>
      <c r="AO88" s="72"/>
      <c r="AP88" s="72"/>
      <c r="AQ88" s="72"/>
      <c r="AR88" s="72"/>
    </row>
    <row r="89" spans="1:44" ht="28.5" x14ac:dyDescent="0.25">
      <c r="B89" s="58" t="s">
        <v>324</v>
      </c>
      <c r="C89" s="59">
        <v>1</v>
      </c>
      <c r="D89" s="59" t="s">
        <v>321</v>
      </c>
      <c r="E89" s="59" t="s">
        <v>214</v>
      </c>
      <c r="F89" s="59" t="s">
        <v>288</v>
      </c>
      <c r="G89" s="77" t="e">
        <f>(IF(LEFT(B89)="П",ROUNDUP(SUMIF([2]ВО!S$1:S$65536,ХОВС!B89,[2]ВО!N$1:N$65536)*Kup,-1),IF(LEFT(B89)="В",ROUNDUP(SUM(SUMIF([2]ВО!T$1:T$65536,ХОВС!B89,[2]ВО!O$1:O$65536)*Kup,SUMIF([2]ВО!R$1:R$65536,ХОВС!B89,[2]ВО!M$1:M$65536)*Kup),-1),IF(LEFT(B89)="М",ROUNDUP(SUMIF([2]ВО!R$1:R$65536,ХОВС!B89,[2]ВО!M$1:M$65536)*Kup,-1)))))*1.1</f>
        <v>#VALUE!</v>
      </c>
      <c r="H89" s="59">
        <v>330</v>
      </c>
      <c r="I89" s="59">
        <v>2450</v>
      </c>
      <c r="J89" s="59" t="s">
        <v>216</v>
      </c>
      <c r="K89" s="60">
        <v>0.157</v>
      </c>
      <c r="L89" s="59">
        <f>I89</f>
        <v>2450</v>
      </c>
      <c r="M89" s="63"/>
      <c r="N89" s="63"/>
      <c r="O89" s="63"/>
      <c r="P89" s="63"/>
      <c r="Q89" s="62"/>
      <c r="R89" s="63"/>
      <c r="S89" s="63"/>
      <c r="T89" s="63"/>
      <c r="U89" s="61"/>
      <c r="V89" s="61"/>
      <c r="W89" s="62"/>
      <c r="X89" s="65"/>
      <c r="Y89" s="66"/>
      <c r="Z89" s="67"/>
      <c r="AA89" s="67"/>
      <c r="AB89" s="67"/>
      <c r="AC89" s="67"/>
      <c r="AD89" s="67"/>
      <c r="AE89" s="68"/>
      <c r="AF89" s="67"/>
      <c r="AG89" s="67"/>
      <c r="AH89" s="67"/>
      <c r="AI89" s="67"/>
      <c r="AJ89" s="69"/>
      <c r="AK89" s="67"/>
      <c r="AL89" s="70"/>
      <c r="AM89" s="71"/>
      <c r="AN89" s="71"/>
      <c r="AO89" s="72"/>
      <c r="AP89" s="72"/>
      <c r="AQ89" s="72"/>
      <c r="AR89" s="72"/>
    </row>
    <row r="90" spans="1:44" ht="28.5" x14ac:dyDescent="0.25">
      <c r="B90" s="58" t="s">
        <v>325</v>
      </c>
      <c r="C90" s="59">
        <v>1</v>
      </c>
      <c r="D90" s="59" t="s">
        <v>321</v>
      </c>
      <c r="E90" s="59" t="s">
        <v>214</v>
      </c>
      <c r="F90" s="59" t="s">
        <v>288</v>
      </c>
      <c r="G90" s="77" t="e">
        <f>(IF(LEFT(B90)="П",ROUNDUP(SUMIF([2]ВО!S$1:S$65536,ХОВС!B90,[2]ВО!N$1:N$65536)*Kup,-1),IF(LEFT(B90)="В",ROUNDUP(SUM(SUMIF([2]ВО!T$1:T$65536,ХОВС!B90,[2]ВО!O$1:O$65536)*Kup,SUMIF([2]ВО!R$1:R$65536,ХОВС!B90,[2]ВО!M$1:M$65536)*Kup),-1),IF(LEFT(B90)="М",ROUNDUP(SUMIF([2]ВО!R$1:R$65536,ХОВС!B90,[2]ВО!M$1:M$65536)*Kup,-1)))))*1.1</f>
        <v>#VALUE!</v>
      </c>
      <c r="H90" s="59">
        <v>330</v>
      </c>
      <c r="I90" s="59">
        <v>2450</v>
      </c>
      <c r="J90" s="59" t="s">
        <v>216</v>
      </c>
      <c r="K90" s="60">
        <v>0.157</v>
      </c>
      <c r="L90" s="59">
        <f>I90</f>
        <v>2450</v>
      </c>
      <c r="M90" s="63"/>
      <c r="N90" s="63"/>
      <c r="O90" s="63"/>
      <c r="P90" s="63"/>
      <c r="Q90" s="62"/>
      <c r="R90" s="63"/>
      <c r="S90" s="63"/>
      <c r="T90" s="63"/>
      <c r="U90" s="61"/>
      <c r="V90" s="61"/>
      <c r="W90" s="62"/>
      <c r="X90" s="65"/>
      <c r="Y90" s="66"/>
      <c r="Z90" s="67"/>
      <c r="AA90" s="67"/>
      <c r="AB90" s="67"/>
      <c r="AC90" s="67"/>
      <c r="AD90" s="67"/>
      <c r="AE90" s="68"/>
      <c r="AF90" s="67"/>
      <c r="AG90" s="67"/>
      <c r="AH90" s="67"/>
      <c r="AI90" s="67"/>
      <c r="AJ90" s="69"/>
      <c r="AK90" s="67"/>
      <c r="AL90" s="70"/>
      <c r="AM90" s="71"/>
      <c r="AN90" s="71"/>
      <c r="AO90" s="72"/>
      <c r="AP90" s="72"/>
      <c r="AQ90" s="72"/>
      <c r="AR90" s="72"/>
    </row>
    <row r="91" spans="1:44" ht="30" x14ac:dyDescent="0.25">
      <c r="B91" s="58" t="s">
        <v>326</v>
      </c>
      <c r="C91" s="59">
        <v>1</v>
      </c>
      <c r="D91" s="59" t="s">
        <v>327</v>
      </c>
      <c r="E91" s="59" t="s">
        <v>214</v>
      </c>
      <c r="F91" s="59" t="s">
        <v>328</v>
      </c>
      <c r="G91" s="77" t="e">
        <f>(IF(LEFT(B91)="П",ROUNDUP(SUMIF([2]ВО!S$1:S$65536,ХОВС!B91,[2]ВО!N$1:N$65536)*Kup,-1),IF(LEFT(B91)="В",ROUNDUP(SUM(SUMIF([2]ВО!T$1:T$65536,ХОВС!B91,[2]ВО!O$1:O$65536)*Kup,SUMIF([2]ВО!R$1:R$65536,ХОВС!B91,[2]ВО!M$1:M$65536)*Kup),-1),IF(LEFT(B91)="М",ROUNDUP(SUMIF([2]ВО!R$1:R$65536,ХОВС!B91,[2]ВО!M$1:M$65536)*Kup,-1)))))*1.1</f>
        <v>#VALUE!</v>
      </c>
      <c r="H91" s="59">
        <f>150+50</f>
        <v>200</v>
      </c>
      <c r="I91" s="59">
        <v>2600</v>
      </c>
      <c r="J91" s="59" t="s">
        <v>216</v>
      </c>
      <c r="K91" s="60">
        <v>0.23</v>
      </c>
      <c r="L91" s="59">
        <f>I91</f>
        <v>2600</v>
      </c>
      <c r="M91" s="63" t="s">
        <v>55</v>
      </c>
      <c r="N91" s="63" t="s">
        <v>55</v>
      </c>
      <c r="O91" s="63" t="s">
        <v>55</v>
      </c>
      <c r="P91" s="63" t="s">
        <v>55</v>
      </c>
      <c r="Q91" s="62"/>
      <c r="R91" s="63" t="s">
        <v>55</v>
      </c>
      <c r="S91" s="63" t="s">
        <v>55</v>
      </c>
      <c r="T91" s="63" t="s">
        <v>55</v>
      </c>
      <c r="U91" s="61" t="s">
        <v>55</v>
      </c>
      <c r="V91" s="61" t="s">
        <v>55</v>
      </c>
      <c r="W91" s="62" t="s">
        <v>55</v>
      </c>
      <c r="X91" s="65" t="s">
        <v>55</v>
      </c>
      <c r="Y91" s="66"/>
      <c r="Z91" s="67" t="s">
        <v>55</v>
      </c>
      <c r="AA91" s="67" t="s">
        <v>55</v>
      </c>
      <c r="AB91" s="67"/>
      <c r="AC91" s="67"/>
      <c r="AD91" s="67" t="s">
        <v>55</v>
      </c>
      <c r="AE91" s="68">
        <f t="shared" si="5"/>
        <v>0.23</v>
      </c>
      <c r="AF91" s="67" t="s">
        <v>206</v>
      </c>
      <c r="AG91" s="67" t="s">
        <v>55</v>
      </c>
      <c r="AH91" s="67" t="s">
        <v>55</v>
      </c>
      <c r="AI91" s="67" t="s">
        <v>55</v>
      </c>
      <c r="AJ91" s="69" t="s">
        <v>226</v>
      </c>
      <c r="AK91" s="67" t="s">
        <v>208</v>
      </c>
      <c r="AL91" s="70"/>
      <c r="AM91" s="71"/>
      <c r="AN91" s="71"/>
      <c r="AO91" s="72"/>
      <c r="AP91" s="72"/>
      <c r="AQ91" s="72"/>
      <c r="AR91" s="72"/>
    </row>
    <row r="92" spans="1:44" ht="30" x14ac:dyDescent="0.25">
      <c r="B92" s="58" t="s">
        <v>329</v>
      </c>
      <c r="C92" s="59">
        <v>1</v>
      </c>
      <c r="D92" s="59" t="s">
        <v>327</v>
      </c>
      <c r="E92" s="59" t="s">
        <v>214</v>
      </c>
      <c r="F92" s="59" t="s">
        <v>230</v>
      </c>
      <c r="G92" s="77" t="e">
        <f>(IF(LEFT(B92)="П",ROUNDUP(SUMIF([2]ВО!S$1:S$65536,ХОВС!B92,[2]ВО!N$1:N$65536)*Kup,-1),IF(LEFT(B92)="В",ROUNDUP(SUM(SUMIF([2]ВО!T$1:T$65536,ХОВС!B92,[2]ВО!O$1:O$65536)*Kup,SUMIF([2]ВО!R$1:R$65536,ХОВС!B92,[2]ВО!M$1:M$65536)*Kup),-1),IF(LEFT(B92)="М",ROUNDUP(SUMIF([2]ВО!R$1:R$65536,ХОВС!B92,[2]ВО!M$1:M$65536)*Kup,-1)))))*1.1</f>
        <v>#VALUE!</v>
      </c>
      <c r="H92" s="59">
        <f>180+50</f>
        <v>230</v>
      </c>
      <c r="I92" s="59">
        <v>2600</v>
      </c>
      <c r="J92" s="59" t="s">
        <v>216</v>
      </c>
      <c r="K92" s="60">
        <v>0.23</v>
      </c>
      <c r="L92" s="59">
        <f>I92</f>
        <v>2600</v>
      </c>
      <c r="M92" s="63" t="s">
        <v>55</v>
      </c>
      <c r="N92" s="63" t="s">
        <v>55</v>
      </c>
      <c r="O92" s="63" t="s">
        <v>55</v>
      </c>
      <c r="P92" s="63" t="s">
        <v>55</v>
      </c>
      <c r="Q92" s="62" t="s">
        <v>55</v>
      </c>
      <c r="R92" s="63" t="s">
        <v>55</v>
      </c>
      <c r="S92" s="63" t="s">
        <v>55</v>
      </c>
      <c r="T92" s="63" t="s">
        <v>55</v>
      </c>
      <c r="U92" s="61" t="s">
        <v>55</v>
      </c>
      <c r="V92" s="61" t="s">
        <v>55</v>
      </c>
      <c r="W92" s="62" t="s">
        <v>55</v>
      </c>
      <c r="X92" s="65" t="s">
        <v>55</v>
      </c>
      <c r="Y92" s="66"/>
      <c r="Z92" s="67" t="s">
        <v>55</v>
      </c>
      <c r="AA92" s="67" t="s">
        <v>55</v>
      </c>
      <c r="AB92" s="67"/>
      <c r="AC92" s="67"/>
      <c r="AD92" s="67" t="s">
        <v>55</v>
      </c>
      <c r="AE92" s="68">
        <f t="shared" si="5"/>
        <v>0.23</v>
      </c>
      <c r="AF92" s="67" t="s">
        <v>55</v>
      </c>
      <c r="AG92" s="67" t="s">
        <v>55</v>
      </c>
      <c r="AH92" s="67" t="s">
        <v>55</v>
      </c>
      <c r="AI92" s="67" t="s">
        <v>55</v>
      </c>
      <c r="AJ92" s="69" t="s">
        <v>226</v>
      </c>
      <c r="AK92" s="67" t="s">
        <v>208</v>
      </c>
      <c r="AL92" s="70"/>
      <c r="AM92" s="71"/>
      <c r="AN92" s="71"/>
      <c r="AO92" s="72"/>
      <c r="AP92" s="72"/>
      <c r="AQ92" s="72"/>
      <c r="AR92" s="72"/>
    </row>
    <row r="93" spans="1:44" ht="30" x14ac:dyDescent="0.25">
      <c r="B93" s="58" t="s">
        <v>330</v>
      </c>
      <c r="C93" s="59">
        <v>1</v>
      </c>
      <c r="D93" s="59" t="s">
        <v>327</v>
      </c>
      <c r="E93" s="59" t="s">
        <v>214</v>
      </c>
      <c r="F93" s="59" t="s">
        <v>331</v>
      </c>
      <c r="G93" s="77" t="e">
        <f>(IF(LEFT(B93)="П",ROUNDUP(SUMIF([2]ВО!S$1:S$65536,ХОВС!B93,[2]ВО!N$1:N$65536)*Kup,-1),IF(LEFT(B93)="В",ROUNDUP(SUM(SUMIF([2]ВО!T$1:T$65536,ХОВС!B93,[2]ВО!O$1:O$65536)*Kup,SUMIF([2]ВО!R$1:R$65536,ХОВС!B93,[2]ВО!M$1:M$65536)*Kup),-1),IF(LEFT(B93)="М",ROUNDUP(SUMIF([2]ВО!R$1:R$65536,ХОВС!B93,[2]ВО!M$1:M$65536)*Kup,-1)))))*1.1</f>
        <v>#VALUE!</v>
      </c>
      <c r="H93" s="59">
        <f>170+50</f>
        <v>220</v>
      </c>
      <c r="I93" s="59">
        <v>2500</v>
      </c>
      <c r="J93" s="59" t="s">
        <v>216</v>
      </c>
      <c r="K93" s="60">
        <v>0.29499999999999998</v>
      </c>
      <c r="L93" s="59">
        <f t="shared" si="6"/>
        <v>2500</v>
      </c>
      <c r="M93" s="63" t="s">
        <v>55</v>
      </c>
      <c r="N93" s="63" t="s">
        <v>55</v>
      </c>
      <c r="O93" s="63" t="s">
        <v>55</v>
      </c>
      <c r="P93" s="63" t="s">
        <v>55</v>
      </c>
      <c r="Q93" s="62" t="s">
        <v>55</v>
      </c>
      <c r="R93" s="63" t="s">
        <v>55</v>
      </c>
      <c r="S93" s="63" t="s">
        <v>55</v>
      </c>
      <c r="T93" s="63" t="s">
        <v>55</v>
      </c>
      <c r="U93" s="61" t="s">
        <v>55</v>
      </c>
      <c r="V93" s="61" t="s">
        <v>55</v>
      </c>
      <c r="W93" s="62" t="s">
        <v>55</v>
      </c>
      <c r="X93" s="65" t="s">
        <v>55</v>
      </c>
      <c r="Y93" s="66"/>
      <c r="Z93" s="67" t="s">
        <v>55</v>
      </c>
      <c r="AA93" s="67" t="s">
        <v>55</v>
      </c>
      <c r="AB93" s="67"/>
      <c r="AC93" s="67"/>
      <c r="AD93" s="67" t="s">
        <v>55</v>
      </c>
      <c r="AE93" s="68">
        <f t="shared" si="5"/>
        <v>0.29499999999999998</v>
      </c>
      <c r="AF93" s="67" t="s">
        <v>206</v>
      </c>
      <c r="AG93" s="67" t="s">
        <v>55</v>
      </c>
      <c r="AH93" s="67" t="s">
        <v>55</v>
      </c>
      <c r="AI93" s="67" t="s">
        <v>55</v>
      </c>
      <c r="AJ93" s="69" t="s">
        <v>332</v>
      </c>
      <c r="AK93" s="67" t="s">
        <v>208</v>
      </c>
      <c r="AL93" s="70"/>
      <c r="AM93" s="71"/>
      <c r="AN93" s="71"/>
      <c r="AO93" s="72"/>
      <c r="AP93" s="72"/>
      <c r="AQ93" s="72"/>
      <c r="AR93" s="72"/>
    </row>
    <row r="94" spans="1:44" ht="30" x14ac:dyDescent="0.25">
      <c r="B94" s="58" t="s">
        <v>333</v>
      </c>
      <c r="C94" s="59">
        <v>1</v>
      </c>
      <c r="D94" s="59" t="s">
        <v>327</v>
      </c>
      <c r="E94" s="59" t="s">
        <v>214</v>
      </c>
      <c r="F94" s="59" t="s">
        <v>331</v>
      </c>
      <c r="G94" s="77" t="e">
        <f>(IF(LEFT(B94)="П",ROUNDUP(SUMIF([2]ВО!S$1:S$65536,ХОВС!B94,[2]ВО!N$1:N$65536)*Kup,-1),IF(LEFT(B94)="В",ROUNDUP(SUM(SUMIF([2]ВО!T$1:T$65536,ХОВС!B94,[2]ВО!O$1:O$65536)*Kup,SUMIF([2]ВО!R$1:R$65536,ХОВС!B94,[2]ВО!M$1:M$65536)*Kup),-1),IF(LEFT(B94)="М",ROUNDUP(SUMIF([2]ВО!R$1:R$65536,ХОВС!B94,[2]ВО!M$1:M$65536)*Kup,-1)))))*1.1</f>
        <v>#VALUE!</v>
      </c>
      <c r="H94" s="59">
        <f>290</f>
        <v>290</v>
      </c>
      <c r="I94" s="59">
        <v>2500</v>
      </c>
      <c r="J94" s="59" t="s">
        <v>216</v>
      </c>
      <c r="K94" s="60">
        <v>0.29499999999999998</v>
      </c>
      <c r="L94" s="59">
        <f t="shared" si="6"/>
        <v>2500</v>
      </c>
      <c r="M94" s="63" t="s">
        <v>55</v>
      </c>
      <c r="N94" s="63" t="s">
        <v>55</v>
      </c>
      <c r="O94" s="63" t="s">
        <v>55</v>
      </c>
      <c r="P94" s="63" t="s">
        <v>55</v>
      </c>
      <c r="Q94" s="62" t="s">
        <v>55</v>
      </c>
      <c r="R94" s="63" t="s">
        <v>55</v>
      </c>
      <c r="S94" s="63" t="s">
        <v>55</v>
      </c>
      <c r="T94" s="63" t="s">
        <v>55</v>
      </c>
      <c r="U94" s="61" t="s">
        <v>55</v>
      </c>
      <c r="V94" s="61" t="s">
        <v>55</v>
      </c>
      <c r="W94" s="62" t="s">
        <v>55</v>
      </c>
      <c r="X94" s="65" t="s">
        <v>55</v>
      </c>
      <c r="Y94" s="66"/>
      <c r="Z94" s="67" t="s">
        <v>55</v>
      </c>
      <c r="AA94" s="67" t="s">
        <v>55</v>
      </c>
      <c r="AB94" s="67"/>
      <c r="AC94" s="67"/>
      <c r="AD94" s="67" t="s">
        <v>55</v>
      </c>
      <c r="AE94" s="68">
        <f t="shared" si="5"/>
        <v>0.29499999999999998</v>
      </c>
      <c r="AF94" s="67" t="s">
        <v>206</v>
      </c>
      <c r="AG94" s="67" t="s">
        <v>55</v>
      </c>
      <c r="AH94" s="67" t="s">
        <v>55</v>
      </c>
      <c r="AI94" s="67" t="s">
        <v>55</v>
      </c>
      <c r="AJ94" s="69" t="s">
        <v>226</v>
      </c>
      <c r="AK94" s="67" t="s">
        <v>208</v>
      </c>
      <c r="AL94" s="70"/>
      <c r="AM94" s="71"/>
      <c r="AN94" s="71"/>
      <c r="AO94" s="72"/>
      <c r="AP94" s="72"/>
      <c r="AQ94" s="72"/>
      <c r="AR94" s="72"/>
    </row>
    <row r="95" spans="1:44" ht="30" x14ac:dyDescent="0.25">
      <c r="B95" s="58" t="s">
        <v>334</v>
      </c>
      <c r="C95" s="59">
        <v>1</v>
      </c>
      <c r="D95" s="59" t="s">
        <v>327</v>
      </c>
      <c r="E95" s="59" t="s">
        <v>214</v>
      </c>
      <c r="F95" s="59" t="s">
        <v>331</v>
      </c>
      <c r="G95" s="77" t="e">
        <f>(IF(LEFT(B95)="П",ROUNDUP(SUMIF([2]ВО!S$1:S$65536,ХОВС!B95,[2]ВО!N$1:N$65536)*Kup,-1),IF(LEFT(B95)="В",ROUNDUP(SUM(SUMIF([2]ВО!T$1:T$65536,ХОВС!B95,[2]ВО!O$1:O$65536)*Kup,SUMIF([2]ВО!R$1:R$65536,ХОВС!B95,[2]ВО!M$1:M$65536)*Kup),-1),IF(LEFT(B95)="М",ROUNDUP(SUMIF([2]ВО!R$1:R$65536,ХОВС!B95,[2]ВО!M$1:M$65536)*Kup,-1)))))</f>
        <v>#VALUE!</v>
      </c>
      <c r="H95" s="59">
        <f>260+50</f>
        <v>310</v>
      </c>
      <c r="I95" s="59">
        <v>2500</v>
      </c>
      <c r="J95" s="59" t="s">
        <v>216</v>
      </c>
      <c r="K95" s="60">
        <v>0.29499999999999998</v>
      </c>
      <c r="L95" s="59">
        <f t="shared" si="6"/>
        <v>2500</v>
      </c>
      <c r="M95" s="63" t="s">
        <v>55</v>
      </c>
      <c r="N95" s="63" t="s">
        <v>55</v>
      </c>
      <c r="O95" s="63" t="s">
        <v>55</v>
      </c>
      <c r="P95" s="63" t="s">
        <v>55</v>
      </c>
      <c r="Q95" s="62" t="s">
        <v>55</v>
      </c>
      <c r="R95" s="63" t="s">
        <v>55</v>
      </c>
      <c r="S95" s="63" t="s">
        <v>55</v>
      </c>
      <c r="T95" s="63" t="s">
        <v>55</v>
      </c>
      <c r="U95" s="61" t="s">
        <v>55</v>
      </c>
      <c r="V95" s="61" t="s">
        <v>55</v>
      </c>
      <c r="W95" s="62" t="s">
        <v>55</v>
      </c>
      <c r="X95" s="65" t="s">
        <v>55</v>
      </c>
      <c r="Y95" s="66"/>
      <c r="Z95" s="67" t="s">
        <v>55</v>
      </c>
      <c r="AA95" s="67" t="s">
        <v>55</v>
      </c>
      <c r="AB95" s="67"/>
      <c r="AC95" s="67"/>
      <c r="AD95" s="67" t="s">
        <v>55</v>
      </c>
      <c r="AE95" s="68" t="s">
        <v>55</v>
      </c>
      <c r="AF95" s="67" t="s">
        <v>55</v>
      </c>
      <c r="AG95" s="67" t="s">
        <v>55</v>
      </c>
      <c r="AH95" s="67" t="s">
        <v>55</v>
      </c>
      <c r="AI95" s="67" t="s">
        <v>55</v>
      </c>
      <c r="AJ95" s="69" t="s">
        <v>226</v>
      </c>
      <c r="AK95" s="67" t="s">
        <v>208</v>
      </c>
      <c r="AL95" s="70"/>
      <c r="AM95" s="71"/>
      <c r="AN95" s="71"/>
      <c r="AO95" s="72"/>
      <c r="AP95" s="72"/>
      <c r="AQ95" s="72"/>
      <c r="AR95" s="72"/>
    </row>
    <row r="96" spans="1:44" ht="43.5" customHeight="1" x14ac:dyDescent="0.25">
      <c r="B96" s="58" t="s">
        <v>335</v>
      </c>
      <c r="C96" s="59">
        <v>1</v>
      </c>
      <c r="D96" s="59" t="s">
        <v>336</v>
      </c>
      <c r="E96" s="59" t="s">
        <v>233</v>
      </c>
      <c r="F96" s="59" t="s">
        <v>278</v>
      </c>
      <c r="G96" s="77" t="e">
        <f>(IF(LEFT(B96)="П",ROUNDUP(SUMIF([2]ВО!S$1:S$65536,ХОВС!B96,[2]ВО!N$1:N$65536)*Kup,-1),IF(LEFT(B96)="В",ROUNDUP(SUM(SUMIF([2]ВО!T$1:T$65536,ХОВС!B96,[2]ВО!O$1:O$65536)*Kup,SUMIF([2]ВО!R$1:R$65536,ХОВС!B96,[2]ВО!M$1:M$65536)*Kup),-1),IF(LEFT(B96)="М",ROUNDUP(SUMIF([2]ВО!R$1:R$65536,ХОВС!B96,[2]ВО!M$1:M$65536)*Kup,-1)))))</f>
        <v>#VALUE!</v>
      </c>
      <c r="H96" s="59">
        <f>310+50</f>
        <v>360</v>
      </c>
      <c r="I96" s="59">
        <v>2500</v>
      </c>
      <c r="J96" s="59" t="s">
        <v>216</v>
      </c>
      <c r="K96" s="60">
        <v>2.2000000000000002</v>
      </c>
      <c r="L96" s="59">
        <f t="shared" si="6"/>
        <v>2500</v>
      </c>
      <c r="M96" s="63" t="s">
        <v>55</v>
      </c>
      <c r="N96" s="63" t="s">
        <v>55</v>
      </c>
      <c r="O96" s="63" t="s">
        <v>55</v>
      </c>
      <c r="P96" s="63" t="s">
        <v>55</v>
      </c>
      <c r="Q96" s="62" t="s">
        <v>55</v>
      </c>
      <c r="R96" s="63" t="s">
        <v>55</v>
      </c>
      <c r="S96" s="63" t="s">
        <v>55</v>
      </c>
      <c r="T96" s="63" t="s">
        <v>55</v>
      </c>
      <c r="U96" s="61" t="s">
        <v>55</v>
      </c>
      <c r="V96" s="61" t="s">
        <v>55</v>
      </c>
      <c r="W96" s="62" t="s">
        <v>55</v>
      </c>
      <c r="X96" s="65" t="s">
        <v>55</v>
      </c>
      <c r="Y96" s="66"/>
      <c r="Z96" s="67" t="s">
        <v>55</v>
      </c>
      <c r="AA96" s="67" t="s">
        <v>55</v>
      </c>
      <c r="AB96" s="67"/>
      <c r="AC96" s="67"/>
      <c r="AD96" s="67" t="s">
        <v>55</v>
      </c>
      <c r="AE96" s="68" t="s">
        <v>55</v>
      </c>
      <c r="AF96" s="67" t="s">
        <v>55</v>
      </c>
      <c r="AG96" s="67" t="s">
        <v>55</v>
      </c>
      <c r="AH96" s="67" t="s">
        <v>55</v>
      </c>
      <c r="AI96" s="67" t="s">
        <v>55</v>
      </c>
      <c r="AJ96" s="69" t="s">
        <v>226</v>
      </c>
      <c r="AK96" s="67" t="s">
        <v>208</v>
      </c>
      <c r="AL96" s="70"/>
      <c r="AM96" s="71"/>
      <c r="AN96" s="71"/>
      <c r="AO96" s="72"/>
      <c r="AP96" s="72"/>
      <c r="AQ96" s="72"/>
      <c r="AR96" s="72"/>
    </row>
    <row r="97" spans="1:44" ht="28.5" x14ac:dyDescent="0.25">
      <c r="B97" s="58" t="s">
        <v>337</v>
      </c>
      <c r="C97" s="59">
        <v>1</v>
      </c>
      <c r="D97" s="59" t="s">
        <v>338</v>
      </c>
      <c r="E97" s="59" t="s">
        <v>214</v>
      </c>
      <c r="F97" s="59" t="s">
        <v>230</v>
      </c>
      <c r="G97" s="77" t="e">
        <f>(IF(LEFT(B97)="П",ROUNDUP(SUMIF([2]ВО!S$1:S$65536,ХОВС!B97,[2]ВО!N$1:N$65536)*Kup,-1),IF(LEFT(B97)="В",ROUNDUP(SUM(SUMIF([2]ВО!T$1:T$65536,ХОВС!B97,[2]ВО!O$1:O$65536)*Kup,SUMIF([2]ВО!R$1:R$65536,ХОВС!B97,[2]ВО!M$1:M$65536)*Kup),-1),IF(LEFT(B97)="М",ROUNDUP(SUMIF([2]ВО!R$1:R$65536,ХОВС!B97,[2]ВО!M$1:M$65536)*Kup,-1)))))*1.1</f>
        <v>#VALUE!</v>
      </c>
      <c r="H97" s="59">
        <f>410+50</f>
        <v>460</v>
      </c>
      <c r="I97" s="59">
        <v>2600</v>
      </c>
      <c r="J97" s="59" t="s">
        <v>216</v>
      </c>
      <c r="K97" s="60">
        <v>0.29499999999999998</v>
      </c>
      <c r="L97" s="59">
        <f t="shared" si="6"/>
        <v>2600</v>
      </c>
      <c r="M97" s="63" t="s">
        <v>55</v>
      </c>
      <c r="N97" s="63" t="s">
        <v>55</v>
      </c>
      <c r="O97" s="63" t="s">
        <v>55</v>
      </c>
      <c r="P97" s="63" t="s">
        <v>55</v>
      </c>
      <c r="Q97" s="62" t="s">
        <v>55</v>
      </c>
      <c r="R97" s="63" t="s">
        <v>55</v>
      </c>
      <c r="S97" s="63" t="s">
        <v>55</v>
      </c>
      <c r="T97" s="63" t="s">
        <v>55</v>
      </c>
      <c r="U97" s="61" t="s">
        <v>55</v>
      </c>
      <c r="V97" s="61" t="s">
        <v>55</v>
      </c>
      <c r="W97" s="62" t="s">
        <v>55</v>
      </c>
      <c r="X97" s="65" t="s">
        <v>55</v>
      </c>
      <c r="Y97" s="66"/>
      <c r="Z97" s="67" t="s">
        <v>55</v>
      </c>
      <c r="AA97" s="67" t="s">
        <v>55</v>
      </c>
      <c r="AB97" s="67"/>
      <c r="AC97" s="67"/>
      <c r="AD97" s="67" t="s">
        <v>55</v>
      </c>
      <c r="AE97" s="68" t="s">
        <v>55</v>
      </c>
      <c r="AF97" s="67" t="s">
        <v>206</v>
      </c>
      <c r="AG97" s="67" t="s">
        <v>55</v>
      </c>
      <c r="AH97" s="67" t="s">
        <v>55</v>
      </c>
      <c r="AI97" s="67" t="s">
        <v>55</v>
      </c>
      <c r="AJ97" s="67" t="s">
        <v>207</v>
      </c>
      <c r="AK97" s="67" t="s">
        <v>208</v>
      </c>
      <c r="AL97" s="70"/>
      <c r="AM97" s="71"/>
      <c r="AN97" s="71"/>
      <c r="AO97" s="72"/>
      <c r="AP97" s="72"/>
      <c r="AQ97" s="72"/>
      <c r="AR97" s="72"/>
    </row>
    <row r="98" spans="1:44" ht="30" x14ac:dyDescent="0.25">
      <c r="B98" s="58" t="s">
        <v>339</v>
      </c>
      <c r="C98" s="59">
        <v>1</v>
      </c>
      <c r="D98" s="59" t="s">
        <v>313</v>
      </c>
      <c r="E98" s="59" t="s">
        <v>214</v>
      </c>
      <c r="F98" s="59" t="s">
        <v>288</v>
      </c>
      <c r="G98" s="77" t="e">
        <f>(IF(LEFT(B98)="П",ROUNDUP(SUMIF([2]ВО!S$1:S$65536,ХОВС!B98,[2]ВО!N$1:N$65536)*Kup,-1),IF(LEFT(B98)="В",ROUNDUP(SUM(SUMIF([2]ВО!T$1:T$65536,ХОВС!B98,[2]ВО!O$1:O$65536)*Kup,SUMIF([2]ВО!R$1:R$65536,ХОВС!B98,[2]ВО!M$1:M$65536)*Kup),-1),IF(LEFT(B98)="М",ROUNDUP(SUMIF([2]ВО!R$1:R$65536,ХОВС!B98,[2]ВО!M$1:M$65536)*Kup,-1)))))*1.1</f>
        <v>#VALUE!</v>
      </c>
      <c r="H98" s="59">
        <f>380+50</f>
        <v>430</v>
      </c>
      <c r="I98" s="59">
        <v>2600</v>
      </c>
      <c r="J98" s="59" t="s">
        <v>216</v>
      </c>
      <c r="K98" s="60">
        <v>0.29499999999999998</v>
      </c>
      <c r="L98" s="59">
        <f t="shared" si="6"/>
        <v>2600</v>
      </c>
      <c r="M98" s="63" t="s">
        <v>55</v>
      </c>
      <c r="N98" s="63" t="s">
        <v>55</v>
      </c>
      <c r="O98" s="63" t="s">
        <v>55</v>
      </c>
      <c r="P98" s="63" t="s">
        <v>55</v>
      </c>
      <c r="Q98" s="62" t="s">
        <v>55</v>
      </c>
      <c r="R98" s="63" t="s">
        <v>55</v>
      </c>
      <c r="S98" s="63" t="s">
        <v>55</v>
      </c>
      <c r="T98" s="63" t="s">
        <v>55</v>
      </c>
      <c r="U98" s="61" t="s">
        <v>55</v>
      </c>
      <c r="V98" s="61" t="s">
        <v>55</v>
      </c>
      <c r="W98" s="62" t="s">
        <v>55</v>
      </c>
      <c r="X98" s="65" t="s">
        <v>55</v>
      </c>
      <c r="Y98" s="66"/>
      <c r="Z98" s="67" t="s">
        <v>55</v>
      </c>
      <c r="AA98" s="67" t="s">
        <v>55</v>
      </c>
      <c r="AB98" s="67"/>
      <c r="AC98" s="67"/>
      <c r="AD98" s="67" t="s">
        <v>55</v>
      </c>
      <c r="AE98" s="68">
        <f t="shared" ref="AE98:AE111" si="7">K98*C98</f>
        <v>0.29499999999999998</v>
      </c>
      <c r="AF98" s="67" t="s">
        <v>206</v>
      </c>
      <c r="AG98" s="67" t="s">
        <v>55</v>
      </c>
      <c r="AH98" s="67" t="s">
        <v>55</v>
      </c>
      <c r="AI98" s="67" t="s">
        <v>55</v>
      </c>
      <c r="AJ98" s="69" t="s">
        <v>226</v>
      </c>
      <c r="AK98" s="67" t="s">
        <v>208</v>
      </c>
      <c r="AL98" s="72"/>
      <c r="AM98" s="72"/>
      <c r="AN98" s="72"/>
      <c r="AO98" s="72"/>
      <c r="AP98" s="72"/>
      <c r="AQ98" s="72"/>
      <c r="AR98" s="72"/>
    </row>
    <row r="99" spans="1:44" ht="30.75" thickBot="1" x14ac:dyDescent="0.3">
      <c r="B99" s="129" t="s">
        <v>340</v>
      </c>
      <c r="C99" s="130">
        <v>1</v>
      </c>
      <c r="D99" s="130" t="s">
        <v>338</v>
      </c>
      <c r="E99" s="130" t="s">
        <v>214</v>
      </c>
      <c r="F99" s="130" t="s">
        <v>288</v>
      </c>
      <c r="G99" s="131" t="e">
        <f>(IF(LEFT(B99)="П",ROUNDUP(SUMIF([2]ВО!S$1:S$65536,ХОВС!B99,[2]ВО!N$1:N$65536)*Kup,-1),IF(LEFT(B99)="В",ROUNDUP(SUM(SUMIF([2]ВО!T$1:T$65536,ХОВС!B99,[2]ВО!O$1:O$65536)*Kup,SUMIF([2]ВО!R$1:R$65536,ХОВС!B99,[2]ВО!M$1:M$65536)*Kup),-1),IF(LEFT(B99)="М",ROUNDUP(SUMIF([2]ВО!R$1:R$65536,ХОВС!B99,[2]ВО!M$1:M$65536)*Kup,-1)))))*1.1</f>
        <v>#VALUE!</v>
      </c>
      <c r="H99" s="130">
        <f>320+50</f>
        <v>370</v>
      </c>
      <c r="I99" s="130">
        <v>2600</v>
      </c>
      <c r="J99" s="130" t="s">
        <v>216</v>
      </c>
      <c r="K99" s="60">
        <v>0.29499999999999998</v>
      </c>
      <c r="L99" s="130">
        <f t="shared" si="6"/>
        <v>2600</v>
      </c>
      <c r="M99" s="132" t="s">
        <v>55</v>
      </c>
      <c r="N99" s="132" t="s">
        <v>55</v>
      </c>
      <c r="O99" s="132" t="s">
        <v>55</v>
      </c>
      <c r="P99" s="132" t="s">
        <v>55</v>
      </c>
      <c r="Q99" s="133"/>
      <c r="R99" s="132" t="s">
        <v>55</v>
      </c>
      <c r="S99" s="132" t="s">
        <v>55</v>
      </c>
      <c r="T99" s="132" t="s">
        <v>55</v>
      </c>
      <c r="U99" s="134" t="s">
        <v>55</v>
      </c>
      <c r="V99" s="134" t="s">
        <v>55</v>
      </c>
      <c r="W99" s="133" t="s">
        <v>55</v>
      </c>
      <c r="X99" s="135" t="s">
        <v>55</v>
      </c>
      <c r="Y99" s="66"/>
      <c r="Z99" s="67" t="s">
        <v>55</v>
      </c>
      <c r="AA99" s="67" t="s">
        <v>55</v>
      </c>
      <c r="AB99" s="67"/>
      <c r="AC99" s="67"/>
      <c r="AD99" s="67" t="s">
        <v>55</v>
      </c>
      <c r="AE99" s="68">
        <f t="shared" si="7"/>
        <v>0.29499999999999998</v>
      </c>
      <c r="AF99" s="67" t="s">
        <v>206</v>
      </c>
      <c r="AG99" s="67" t="s">
        <v>55</v>
      </c>
      <c r="AH99" s="67" t="s">
        <v>55</v>
      </c>
      <c r="AI99" s="67" t="s">
        <v>55</v>
      </c>
      <c r="AJ99" s="69" t="s">
        <v>226</v>
      </c>
      <c r="AK99" s="67" t="s">
        <v>208</v>
      </c>
      <c r="AL99" s="70"/>
      <c r="AM99" s="71"/>
      <c r="AN99" s="71"/>
      <c r="AO99" s="72"/>
      <c r="AP99" s="72"/>
      <c r="AQ99" s="72"/>
      <c r="AR99" s="72"/>
    </row>
    <row r="100" spans="1:44" ht="29.25" thickBot="1" x14ac:dyDescent="0.3">
      <c r="B100" s="136" t="s">
        <v>341</v>
      </c>
      <c r="C100" s="137">
        <v>1</v>
      </c>
      <c r="D100" s="137" t="s">
        <v>342</v>
      </c>
      <c r="E100" s="137" t="s">
        <v>214</v>
      </c>
      <c r="F100" s="137" t="s">
        <v>215</v>
      </c>
      <c r="G100" s="137" t="e">
        <f>(IF(LEFT(B100)="П",ROUNDUP(SUMIF([2]ВО!S$1:S$65536,ХОВС!B100,[2]ВО!N$1:N$65536)*Kup,-1),IF(LEFT(B100)="В",ROUNDUP(SUM(SUMIF([2]ВО!T$1:T$65536,ХОВС!B100,[2]ВО!O$1:O$65536)*Kup,SUMIF([2]ВО!R$1:R$65536,ХОВС!B100,[2]ВО!M$1:M$65536)*Kup),-1),IF(LEFT(B100)="М",ROUNDUP(SUMIF([2]ВО!R$1:R$65536,ХОВС!B100,[2]ВО!M$1:M$65536)*Kup,-1)))))*1.1</f>
        <v>#VALUE!</v>
      </c>
      <c r="H100" s="137">
        <f>85+50</f>
        <v>135</v>
      </c>
      <c r="I100" s="138">
        <v>2500</v>
      </c>
      <c r="J100" s="138" t="s">
        <v>216</v>
      </c>
      <c r="K100" s="60">
        <v>0.29499999999999998</v>
      </c>
      <c r="L100" s="138">
        <f t="shared" si="6"/>
        <v>2500</v>
      </c>
      <c r="M100" s="139" t="s">
        <v>55</v>
      </c>
      <c r="N100" s="139" t="s">
        <v>55</v>
      </c>
      <c r="O100" s="139" t="s">
        <v>55</v>
      </c>
      <c r="P100" s="139" t="s">
        <v>55</v>
      </c>
      <c r="Q100" s="140" t="s">
        <v>55</v>
      </c>
      <c r="R100" s="139" t="s">
        <v>55</v>
      </c>
      <c r="S100" s="139" t="s">
        <v>55</v>
      </c>
      <c r="T100" s="139" t="s">
        <v>55</v>
      </c>
      <c r="U100" s="141" t="s">
        <v>55</v>
      </c>
      <c r="V100" s="141" t="s">
        <v>55</v>
      </c>
      <c r="W100" s="140" t="s">
        <v>55</v>
      </c>
      <c r="X100" s="142" t="s">
        <v>55</v>
      </c>
      <c r="Y100" s="66"/>
      <c r="Z100" s="67" t="s">
        <v>55</v>
      </c>
      <c r="AA100" s="67" t="s">
        <v>55</v>
      </c>
      <c r="AB100" s="67"/>
      <c r="AC100" s="67"/>
      <c r="AD100" s="67" t="s">
        <v>55</v>
      </c>
      <c r="AE100" s="68">
        <f t="shared" si="7"/>
        <v>0.29499999999999998</v>
      </c>
      <c r="AF100" s="67" t="s">
        <v>55</v>
      </c>
      <c r="AG100" s="67" t="s">
        <v>55</v>
      </c>
      <c r="AH100" s="67" t="s">
        <v>55</v>
      </c>
      <c r="AI100" s="67" t="s">
        <v>55</v>
      </c>
      <c r="AJ100" s="69" t="s">
        <v>207</v>
      </c>
      <c r="AK100" s="67" t="s">
        <v>208</v>
      </c>
      <c r="AL100" s="72"/>
      <c r="AM100" s="72"/>
      <c r="AN100" s="72"/>
      <c r="AO100" s="72"/>
      <c r="AP100" s="72"/>
      <c r="AQ100" s="72"/>
      <c r="AR100" s="72"/>
    </row>
    <row r="101" spans="1:44" ht="30" x14ac:dyDescent="0.25">
      <c r="B101" s="98" t="s">
        <v>343</v>
      </c>
      <c r="C101" s="77">
        <v>1</v>
      </c>
      <c r="D101" s="77" t="s">
        <v>344</v>
      </c>
      <c r="E101" s="77" t="s">
        <v>214</v>
      </c>
      <c r="F101" s="77" t="s">
        <v>288</v>
      </c>
      <c r="G101" s="77" t="e">
        <f>(IF(LEFT(B101)="П",ROUNDUP(SUMIF([2]ВО!S$1:S$65536,ХОВС!B101,[2]ВО!N$1:N$65536)*Kup,-1),IF(LEFT(B101)="В",ROUNDUP(SUM(SUMIF([2]ВО!T$1:T$65536,ХОВС!B101,[2]ВО!O$1:O$65536)*Kup,SUMIF([2]ВО!R$1:R$65536,ХОВС!B101,[2]ВО!M$1:M$65536)*Kup),-1),IF(LEFT(B101)="М",ROUNDUP(SUMIF([2]ВО!R$1:R$65536,ХОВС!B101,[2]ВО!M$1:M$65536)*Kup,-1)))))*1.1</f>
        <v>#VALUE!</v>
      </c>
      <c r="H101" s="77">
        <f>240+50</f>
        <v>290</v>
      </c>
      <c r="I101" s="77">
        <v>2550</v>
      </c>
      <c r="J101" s="77" t="s">
        <v>216</v>
      </c>
      <c r="K101" s="101">
        <v>0.157</v>
      </c>
      <c r="L101" s="77">
        <f t="shared" si="6"/>
        <v>2550</v>
      </c>
      <c r="M101" s="102" t="s">
        <v>55</v>
      </c>
      <c r="N101" s="102" t="s">
        <v>55</v>
      </c>
      <c r="O101" s="102" t="s">
        <v>55</v>
      </c>
      <c r="P101" s="102" t="s">
        <v>55</v>
      </c>
      <c r="Q101" s="103" t="s">
        <v>55</v>
      </c>
      <c r="R101" s="102" t="s">
        <v>55</v>
      </c>
      <c r="S101" s="102" t="s">
        <v>55</v>
      </c>
      <c r="T101" s="102" t="s">
        <v>55</v>
      </c>
      <c r="U101" s="104" t="s">
        <v>55</v>
      </c>
      <c r="V101" s="104" t="s">
        <v>55</v>
      </c>
      <c r="W101" s="103" t="s">
        <v>55</v>
      </c>
      <c r="X101" s="105" t="s">
        <v>55</v>
      </c>
      <c r="Y101" s="66"/>
      <c r="Z101" s="67" t="s">
        <v>55</v>
      </c>
      <c r="AA101" s="67" t="s">
        <v>55</v>
      </c>
      <c r="AB101" s="67"/>
      <c r="AC101" s="67"/>
      <c r="AD101" s="67" t="s">
        <v>55</v>
      </c>
      <c r="AE101" s="68">
        <f t="shared" si="7"/>
        <v>0.157</v>
      </c>
      <c r="AF101" s="67" t="s">
        <v>55</v>
      </c>
      <c r="AG101" s="67" t="s">
        <v>55</v>
      </c>
      <c r="AH101" s="67" t="s">
        <v>55</v>
      </c>
      <c r="AI101" s="67" t="s">
        <v>55</v>
      </c>
      <c r="AJ101" s="69" t="s">
        <v>226</v>
      </c>
      <c r="AK101" s="67" t="s">
        <v>208</v>
      </c>
      <c r="AL101" s="70"/>
      <c r="AM101" s="71"/>
      <c r="AN101" s="71"/>
      <c r="AO101" s="72"/>
      <c r="AP101" s="72"/>
      <c r="AQ101" s="72"/>
      <c r="AR101" s="72"/>
    </row>
    <row r="102" spans="1:44" ht="30" x14ac:dyDescent="0.25">
      <c r="B102" s="58" t="s">
        <v>345</v>
      </c>
      <c r="C102" s="59">
        <v>1</v>
      </c>
      <c r="D102" s="59" t="s">
        <v>338</v>
      </c>
      <c r="E102" s="59" t="s">
        <v>214</v>
      </c>
      <c r="F102" s="59" t="s">
        <v>230</v>
      </c>
      <c r="G102" s="77" t="e">
        <f>(IF(LEFT(B102)="П",ROUNDUP(SUMIF([2]ВО!S$1:S$65536,ХОВС!B102,[2]ВО!N$1:N$65536)*Kup,-1),IF(LEFT(B102)="В",ROUNDUP(SUM(SUMIF([2]ВО!T$1:T$65536,ХОВС!B102,[2]ВО!O$1:O$65536)*Kup,SUMIF([2]ВО!R$1:R$65536,ХОВС!B102,[2]ВО!M$1:M$65536)*Kup),-1),IF(LEFT(B102)="М",ROUNDUP(SUMIF([2]ВО!R$1:R$65536,ХОВС!B102,[2]ВО!M$1:M$65536)*Kup,-1)))))*1.1</f>
        <v>#VALUE!</v>
      </c>
      <c r="H102" s="59">
        <f>280+50</f>
        <v>330</v>
      </c>
      <c r="I102" s="59">
        <v>2550</v>
      </c>
      <c r="J102" s="59" t="s">
        <v>216</v>
      </c>
      <c r="K102" s="60">
        <v>0.23</v>
      </c>
      <c r="L102" s="59">
        <f t="shared" si="6"/>
        <v>2550</v>
      </c>
      <c r="M102" s="63" t="s">
        <v>55</v>
      </c>
      <c r="N102" s="63" t="s">
        <v>55</v>
      </c>
      <c r="O102" s="63" t="s">
        <v>55</v>
      </c>
      <c r="P102" s="63" t="s">
        <v>55</v>
      </c>
      <c r="Q102" s="62" t="s">
        <v>55</v>
      </c>
      <c r="R102" s="63" t="s">
        <v>55</v>
      </c>
      <c r="S102" s="63" t="s">
        <v>55</v>
      </c>
      <c r="T102" s="63" t="s">
        <v>55</v>
      </c>
      <c r="U102" s="61" t="s">
        <v>55</v>
      </c>
      <c r="V102" s="61" t="s">
        <v>55</v>
      </c>
      <c r="W102" s="62" t="s">
        <v>55</v>
      </c>
      <c r="X102" s="65" t="s">
        <v>55</v>
      </c>
      <c r="Y102" s="66"/>
      <c r="Z102" s="67" t="s">
        <v>55</v>
      </c>
      <c r="AA102" s="67" t="s">
        <v>55</v>
      </c>
      <c r="AB102" s="67"/>
      <c r="AC102" s="67"/>
      <c r="AD102" s="67" t="s">
        <v>55</v>
      </c>
      <c r="AE102" s="68">
        <f t="shared" si="7"/>
        <v>0.23</v>
      </c>
      <c r="AF102" s="67" t="s">
        <v>55</v>
      </c>
      <c r="AG102" s="67" t="s">
        <v>55</v>
      </c>
      <c r="AH102" s="67" t="s">
        <v>55</v>
      </c>
      <c r="AI102" s="67" t="s">
        <v>55</v>
      </c>
      <c r="AJ102" s="69" t="s">
        <v>226</v>
      </c>
      <c r="AK102" s="67" t="s">
        <v>208</v>
      </c>
      <c r="AL102" s="70"/>
      <c r="AM102" s="71"/>
      <c r="AN102" s="71"/>
      <c r="AO102" s="72"/>
      <c r="AP102" s="72"/>
      <c r="AQ102" s="72"/>
      <c r="AR102" s="72"/>
    </row>
    <row r="103" spans="1:44" ht="28.5" x14ac:dyDescent="0.25">
      <c r="A103" s="5" t="s">
        <v>312</v>
      </c>
      <c r="B103" s="58" t="s">
        <v>346</v>
      </c>
      <c r="C103" s="59">
        <v>1</v>
      </c>
      <c r="D103" s="59" t="s">
        <v>347</v>
      </c>
      <c r="E103" s="59" t="s">
        <v>214</v>
      </c>
      <c r="F103" s="59" t="s">
        <v>215</v>
      </c>
      <c r="G103" s="77" t="e">
        <f>(IF(LEFT(B103)="П",ROUNDUP(SUMIF([2]ВО!S$1:S$65536,ХОВС!B103,[2]ВО!N$1:N$65536)*Kup,-1),IF(LEFT(B103)="В",ROUNDUP(SUM(SUMIF([2]ВО!T$1:T$65536,ХОВС!B103,[2]ВО!O$1:O$65536)*Kup,SUMIF([2]ВО!R$1:R$65536,ХОВС!B103,[2]ВО!M$1:M$65536)*Kup),-1),IF(LEFT(B103)="М",ROUNDUP(SUMIF([2]ВО!R$1:R$65536,ХОВС!B103,[2]ВО!M$1:M$65536)*Kup,-1)))))*1.1</f>
        <v>#VALUE!</v>
      </c>
      <c r="H103" s="59">
        <f>110+50</f>
        <v>160</v>
      </c>
      <c r="I103" s="59">
        <v>2550</v>
      </c>
      <c r="J103" s="59" t="s">
        <v>216</v>
      </c>
      <c r="K103" s="60">
        <v>0.06</v>
      </c>
      <c r="L103" s="59">
        <f t="shared" si="6"/>
        <v>2550</v>
      </c>
      <c r="M103" s="63" t="s">
        <v>55</v>
      </c>
      <c r="N103" s="63" t="s">
        <v>55</v>
      </c>
      <c r="O103" s="63" t="s">
        <v>55</v>
      </c>
      <c r="P103" s="63" t="s">
        <v>55</v>
      </c>
      <c r="Q103" s="62" t="s">
        <v>55</v>
      </c>
      <c r="R103" s="63" t="s">
        <v>55</v>
      </c>
      <c r="S103" s="63" t="s">
        <v>55</v>
      </c>
      <c r="T103" s="63" t="s">
        <v>55</v>
      </c>
      <c r="U103" s="61" t="s">
        <v>55</v>
      </c>
      <c r="V103" s="61" t="s">
        <v>55</v>
      </c>
      <c r="W103" s="62" t="s">
        <v>55</v>
      </c>
      <c r="X103" s="65" t="s">
        <v>55</v>
      </c>
      <c r="Y103" s="66"/>
      <c r="Z103" s="67" t="s">
        <v>55</v>
      </c>
      <c r="AA103" s="67" t="s">
        <v>55</v>
      </c>
      <c r="AB103" s="67"/>
      <c r="AC103" s="67"/>
      <c r="AD103" s="67" t="s">
        <v>55</v>
      </c>
      <c r="AE103" s="68">
        <f t="shared" si="7"/>
        <v>0.06</v>
      </c>
      <c r="AF103" s="67" t="s">
        <v>55</v>
      </c>
      <c r="AG103" s="67" t="s">
        <v>55</v>
      </c>
      <c r="AH103" s="67" t="s">
        <v>55</v>
      </c>
      <c r="AI103" s="67" t="s">
        <v>55</v>
      </c>
      <c r="AJ103" s="69" t="s">
        <v>207</v>
      </c>
      <c r="AK103" s="67" t="s">
        <v>208</v>
      </c>
      <c r="AL103" s="72"/>
      <c r="AM103" s="72"/>
      <c r="AN103" s="72"/>
      <c r="AO103" s="72"/>
      <c r="AP103" s="72"/>
      <c r="AQ103" s="72"/>
      <c r="AR103" s="72"/>
    </row>
    <row r="104" spans="1:44" ht="28.5" x14ac:dyDescent="0.25">
      <c r="B104" s="58" t="s">
        <v>348</v>
      </c>
      <c r="C104" s="59">
        <v>1</v>
      </c>
      <c r="D104" s="59" t="s">
        <v>347</v>
      </c>
      <c r="E104" s="59" t="s">
        <v>214</v>
      </c>
      <c r="F104" s="59" t="s">
        <v>215</v>
      </c>
      <c r="G104" s="77" t="e">
        <f>(IF(LEFT(B104)="П",ROUNDUP(SUMIF([2]ВО!S$1:S$65536,ХОВС!B104,[2]ВО!N$1:N$65536)*Kup,-1),IF(LEFT(B104)="В",ROUNDUP(SUM(SUMIF([2]ВО!T$1:T$65536,ХОВС!B104,[2]ВО!O$1:O$65536)*Kup,SUMIF([2]ВО!R$1:R$65536,ХОВС!B104,[2]ВО!M$1:M$65536)*Kup),-1),IF(LEFT(B104)="М",ROUNDUP(SUMIF([2]ВО!R$1:R$65536,ХОВС!B104,[2]ВО!M$1:M$65536)*Kup,-1)))))*1.1</f>
        <v>#VALUE!</v>
      </c>
      <c r="H104" s="59">
        <f>110+50</f>
        <v>160</v>
      </c>
      <c r="I104" s="59">
        <v>2550</v>
      </c>
      <c r="J104" s="59" t="s">
        <v>216</v>
      </c>
      <c r="K104" s="60">
        <v>0.06</v>
      </c>
      <c r="L104" s="59">
        <f>I104</f>
        <v>2550</v>
      </c>
      <c r="M104" s="63"/>
      <c r="N104" s="63"/>
      <c r="O104" s="63"/>
      <c r="P104" s="63"/>
      <c r="Q104" s="62"/>
      <c r="R104" s="63"/>
      <c r="S104" s="63"/>
      <c r="T104" s="63"/>
      <c r="U104" s="61"/>
      <c r="V104" s="61"/>
      <c r="W104" s="62"/>
      <c r="X104" s="65"/>
      <c r="Y104" s="66"/>
      <c r="Z104" s="67"/>
      <c r="AA104" s="67"/>
      <c r="AB104" s="67"/>
      <c r="AC104" s="67"/>
      <c r="AD104" s="67"/>
      <c r="AE104" s="68"/>
      <c r="AF104" s="67"/>
      <c r="AG104" s="67"/>
      <c r="AH104" s="67"/>
      <c r="AI104" s="67"/>
      <c r="AJ104" s="69"/>
      <c r="AK104" s="67"/>
      <c r="AL104" s="72"/>
      <c r="AM104" s="72"/>
      <c r="AN104" s="72"/>
      <c r="AO104" s="72"/>
      <c r="AP104" s="72"/>
      <c r="AQ104" s="72"/>
      <c r="AR104" s="72"/>
    </row>
    <row r="105" spans="1:44" ht="42.75" x14ac:dyDescent="0.25">
      <c r="A105" s="5" t="s">
        <v>312</v>
      </c>
      <c r="B105" s="58" t="s">
        <v>349</v>
      </c>
      <c r="C105" s="59">
        <v>1</v>
      </c>
      <c r="D105" s="59" t="s">
        <v>350</v>
      </c>
      <c r="E105" s="59" t="s">
        <v>214</v>
      </c>
      <c r="F105" s="59" t="s">
        <v>215</v>
      </c>
      <c r="G105" s="77" t="e">
        <f>(IF(LEFT(B105)="П",ROUNDUP(SUMIF([2]ВО!S$1:S$65536,ХОВС!B105,[2]ВО!N$1:N$65536)*Kup,-1),IF(LEFT(B105)="В",ROUNDUP(SUM(SUMIF([2]ВО!T$1:T$65536,ХОВС!B105,[2]ВО!O$1:O$65536)*Kup,SUMIF([2]ВО!R$1:R$65536,ХОВС!B105,[2]ВО!M$1:M$65536)*Kup),-1),IF(LEFT(B105)="М",ROUNDUP(SUMIF([2]ВО!R$1:R$65536,ХОВС!B105,[2]ВО!M$1:M$65536)*Kup,-1)))))*1.1</f>
        <v>#VALUE!</v>
      </c>
      <c r="H105" s="59">
        <f>200+50</f>
        <v>250</v>
      </c>
      <c r="I105" s="59">
        <v>2450</v>
      </c>
      <c r="J105" s="59" t="s">
        <v>216</v>
      </c>
      <c r="K105" s="60">
        <v>0.105</v>
      </c>
      <c r="L105" s="59">
        <f t="shared" si="6"/>
        <v>2450</v>
      </c>
      <c r="M105" s="63" t="s">
        <v>55</v>
      </c>
      <c r="N105" s="63" t="s">
        <v>55</v>
      </c>
      <c r="O105" s="63" t="s">
        <v>55</v>
      </c>
      <c r="P105" s="63" t="s">
        <v>55</v>
      </c>
      <c r="Q105" s="62"/>
      <c r="R105" s="63" t="s">
        <v>55</v>
      </c>
      <c r="S105" s="63" t="s">
        <v>55</v>
      </c>
      <c r="T105" s="63" t="s">
        <v>55</v>
      </c>
      <c r="U105" s="61" t="s">
        <v>55</v>
      </c>
      <c r="V105" s="61" t="s">
        <v>55</v>
      </c>
      <c r="W105" s="62" t="s">
        <v>55</v>
      </c>
      <c r="X105" s="65" t="s">
        <v>55</v>
      </c>
      <c r="Y105" s="66"/>
      <c r="Z105" s="67" t="s">
        <v>55</v>
      </c>
      <c r="AA105" s="67" t="s">
        <v>55</v>
      </c>
      <c r="AB105" s="67"/>
      <c r="AC105" s="67"/>
      <c r="AD105" s="67" t="s">
        <v>55</v>
      </c>
      <c r="AE105" s="68">
        <f t="shared" si="7"/>
        <v>0.105</v>
      </c>
      <c r="AF105" s="67" t="s">
        <v>206</v>
      </c>
      <c r="AG105" s="67" t="s">
        <v>55</v>
      </c>
      <c r="AH105" s="67" t="s">
        <v>55</v>
      </c>
      <c r="AI105" s="67" t="s">
        <v>55</v>
      </c>
      <c r="AJ105" s="69" t="s">
        <v>226</v>
      </c>
      <c r="AK105" s="67" t="s">
        <v>208</v>
      </c>
      <c r="AL105" s="70"/>
      <c r="AM105" s="71"/>
      <c r="AN105" s="71"/>
      <c r="AO105" s="72"/>
      <c r="AP105" s="72"/>
      <c r="AQ105" s="72"/>
      <c r="AR105" s="72"/>
    </row>
    <row r="106" spans="1:44" ht="30" x14ac:dyDescent="0.25">
      <c r="B106" s="58" t="s">
        <v>351</v>
      </c>
      <c r="C106" s="59">
        <v>1</v>
      </c>
      <c r="D106" s="59" t="s">
        <v>327</v>
      </c>
      <c r="E106" s="59" t="s">
        <v>214</v>
      </c>
      <c r="F106" s="59" t="s">
        <v>288</v>
      </c>
      <c r="G106" s="77" t="e">
        <f>(IF(LEFT(B106)="П",ROUNDUP(SUMIF([2]ВО!S$1:S$65536,ХОВС!B106,[2]ВО!N$1:N$65536)*Kup,-1),IF(LEFT(B106)="В",ROUNDUP(SUM(SUMIF([2]ВО!T$1:T$65536,ХОВС!B106,[2]ВО!O$1:O$65536)*Kup,SUMIF([2]ВО!R$1:R$65536,ХОВС!B106,[2]ВО!M$1:M$65536)*Kup),-1),IF(LEFT(B106)="М",ROUNDUP(SUMIF([2]ВО!R$1:R$65536,ХОВС!B106,[2]ВО!M$1:M$65536)*Kup,-1)))))*1.1</f>
        <v>#VALUE!</v>
      </c>
      <c r="H106" s="59">
        <f>120+50</f>
        <v>170</v>
      </c>
      <c r="I106" s="59">
        <v>2600</v>
      </c>
      <c r="J106" s="59" t="s">
        <v>216</v>
      </c>
      <c r="K106" s="60">
        <v>0.157</v>
      </c>
      <c r="L106" s="59">
        <f t="shared" si="6"/>
        <v>2600</v>
      </c>
      <c r="M106" s="63" t="s">
        <v>55</v>
      </c>
      <c r="N106" s="63" t="s">
        <v>55</v>
      </c>
      <c r="O106" s="63" t="s">
        <v>55</v>
      </c>
      <c r="P106" s="63" t="s">
        <v>55</v>
      </c>
      <c r="Q106" s="62" t="s">
        <v>55</v>
      </c>
      <c r="R106" s="63" t="s">
        <v>55</v>
      </c>
      <c r="S106" s="63" t="s">
        <v>55</v>
      </c>
      <c r="T106" s="63" t="s">
        <v>55</v>
      </c>
      <c r="U106" s="61" t="s">
        <v>55</v>
      </c>
      <c r="V106" s="61" t="s">
        <v>55</v>
      </c>
      <c r="W106" s="62" t="s">
        <v>55</v>
      </c>
      <c r="X106" s="65" t="s">
        <v>55</v>
      </c>
      <c r="Y106" s="66"/>
      <c r="Z106" s="67" t="s">
        <v>55</v>
      </c>
      <c r="AA106" s="67" t="s">
        <v>55</v>
      </c>
      <c r="AB106" s="67"/>
      <c r="AC106" s="67"/>
      <c r="AD106" s="67" t="s">
        <v>55</v>
      </c>
      <c r="AE106" s="68">
        <f t="shared" si="7"/>
        <v>0.157</v>
      </c>
      <c r="AF106" s="67" t="s">
        <v>55</v>
      </c>
      <c r="AG106" s="67" t="s">
        <v>55</v>
      </c>
      <c r="AH106" s="67" t="s">
        <v>55</v>
      </c>
      <c r="AI106" s="67" t="s">
        <v>55</v>
      </c>
      <c r="AJ106" s="69" t="s">
        <v>226</v>
      </c>
      <c r="AK106" s="67" t="s">
        <v>208</v>
      </c>
      <c r="AL106" s="70"/>
      <c r="AM106" s="71"/>
      <c r="AN106" s="71"/>
      <c r="AO106" s="72"/>
      <c r="AP106" s="72"/>
      <c r="AQ106" s="72"/>
      <c r="AR106" s="72"/>
    </row>
    <row r="107" spans="1:44" ht="30" x14ac:dyDescent="0.25">
      <c r="B107" s="58" t="s">
        <v>352</v>
      </c>
      <c r="C107" s="59">
        <v>1</v>
      </c>
      <c r="D107" s="59" t="s">
        <v>353</v>
      </c>
      <c r="E107" s="59" t="s">
        <v>214</v>
      </c>
      <c r="F107" s="59" t="s">
        <v>331</v>
      </c>
      <c r="G107" s="77" t="e">
        <f>(IF(LEFT(B107)="П",ROUNDUP(SUMIF([2]ВО!S$1:S$65536,ХОВС!B107,[2]ВО!N$1:N$65536)*Kup,-1),IF(LEFT(B107)="В",ROUNDUP(SUM(SUMIF([2]ВО!T$1:T$65536,ХОВС!B107,[2]ВО!O$1:O$65536)*Kup,SUMIF([2]ВО!R$1:R$65536,ХОВС!B107,[2]ВО!M$1:M$65536)*Kup),-1),IF(LEFT(B107)="М",ROUNDUP(SUMIF([2]ВО!R$1:R$65536,ХОВС!B107,[2]ВО!M$1:M$65536)*Kup,-1)))))*1.1</f>
        <v>#VALUE!</v>
      </c>
      <c r="H107" s="59">
        <f>230+50</f>
        <v>280</v>
      </c>
      <c r="I107" s="59">
        <v>2600</v>
      </c>
      <c r="J107" s="59" t="s">
        <v>216</v>
      </c>
      <c r="K107" s="60">
        <v>0.3</v>
      </c>
      <c r="L107" s="59">
        <f t="shared" si="6"/>
        <v>2600</v>
      </c>
      <c r="M107" s="63" t="s">
        <v>55</v>
      </c>
      <c r="N107" s="63" t="s">
        <v>55</v>
      </c>
      <c r="O107" s="63" t="s">
        <v>55</v>
      </c>
      <c r="P107" s="63" t="s">
        <v>55</v>
      </c>
      <c r="Q107" s="62" t="s">
        <v>55</v>
      </c>
      <c r="R107" s="63" t="s">
        <v>55</v>
      </c>
      <c r="S107" s="63" t="s">
        <v>55</v>
      </c>
      <c r="T107" s="63" t="s">
        <v>55</v>
      </c>
      <c r="U107" s="61" t="s">
        <v>55</v>
      </c>
      <c r="V107" s="61" t="s">
        <v>55</v>
      </c>
      <c r="W107" s="62" t="s">
        <v>55</v>
      </c>
      <c r="X107" s="65" t="s">
        <v>55</v>
      </c>
      <c r="Y107" s="66"/>
      <c r="Z107" s="67" t="s">
        <v>55</v>
      </c>
      <c r="AA107" s="67" t="s">
        <v>55</v>
      </c>
      <c r="AB107" s="67"/>
      <c r="AC107" s="67"/>
      <c r="AD107" s="67" t="s">
        <v>55</v>
      </c>
      <c r="AE107" s="68">
        <f t="shared" si="7"/>
        <v>0.3</v>
      </c>
      <c r="AF107" s="67" t="s">
        <v>206</v>
      </c>
      <c r="AG107" s="67" t="s">
        <v>55</v>
      </c>
      <c r="AH107" s="67" t="s">
        <v>55</v>
      </c>
      <c r="AI107" s="67" t="s">
        <v>55</v>
      </c>
      <c r="AJ107" s="69" t="s">
        <v>322</v>
      </c>
      <c r="AK107" s="67" t="s">
        <v>208</v>
      </c>
      <c r="AL107" s="70"/>
      <c r="AM107" s="71"/>
      <c r="AN107" s="71"/>
      <c r="AO107" s="72"/>
      <c r="AP107" s="72"/>
      <c r="AQ107" s="72"/>
      <c r="AR107" s="72"/>
    </row>
    <row r="108" spans="1:44" ht="15" x14ac:dyDescent="0.25">
      <c r="B108" s="79" t="s">
        <v>354</v>
      </c>
      <c r="C108" s="80"/>
      <c r="D108" s="80"/>
      <c r="E108" s="80" t="s">
        <v>287</v>
      </c>
      <c r="F108" s="80"/>
      <c r="G108" s="100" t="e">
        <f>(IF(LEFT(B108)="П",ROUNDUP(SUMIF([2]ВО!S$1:S$65536,ХОВС!B108,[2]ВО!N$1:N$65536)*Kup,-1),IF(LEFT(B108)="В",ROUNDUP(SUM(SUMIF([2]ВО!T$1:T$65536,ХОВС!B108,[2]ВО!O$1:O$65536)*Kup,SUMIF([2]ВО!R$1:R$65536,ХОВС!B108,[2]ВО!M$1:M$65536)*Kup),-1),IF(LEFT(B108)="М",ROUNDUP(SUMIF([2]ВО!R$1:R$65536,ХОВС!B108,[2]ВО!M$1:M$65536)*Kup,-1)))))*1.1</f>
        <v>#VALUE!</v>
      </c>
      <c r="H108" s="80">
        <v>200</v>
      </c>
      <c r="I108" s="59"/>
      <c r="J108" s="59"/>
      <c r="K108" s="60"/>
      <c r="L108" s="59"/>
      <c r="M108" s="63"/>
      <c r="N108" s="63"/>
      <c r="O108" s="63"/>
      <c r="P108" s="63"/>
      <c r="Q108" s="62"/>
      <c r="R108" s="63"/>
      <c r="S108" s="63"/>
      <c r="T108" s="63"/>
      <c r="U108" s="61"/>
      <c r="V108" s="61"/>
      <c r="W108" s="62"/>
      <c r="X108" s="65"/>
      <c r="Y108" s="66"/>
      <c r="Z108" s="67"/>
      <c r="AA108" s="67"/>
      <c r="AB108" s="67"/>
      <c r="AC108" s="67"/>
      <c r="AD108" s="67"/>
      <c r="AE108" s="68"/>
      <c r="AF108" s="67"/>
      <c r="AG108" s="67"/>
      <c r="AH108" s="67"/>
      <c r="AI108" s="67"/>
      <c r="AJ108" s="69"/>
      <c r="AK108" s="67"/>
      <c r="AL108" s="70"/>
      <c r="AM108" s="71"/>
      <c r="AN108" s="71"/>
      <c r="AO108" s="72"/>
      <c r="AP108" s="72"/>
      <c r="AQ108" s="72"/>
      <c r="AR108" s="72"/>
    </row>
    <row r="109" spans="1:44" ht="42.75" x14ac:dyDescent="0.25">
      <c r="B109" s="58" t="s">
        <v>355</v>
      </c>
      <c r="C109" s="59">
        <v>1</v>
      </c>
      <c r="D109" s="59" t="s">
        <v>222</v>
      </c>
      <c r="E109" s="59" t="s">
        <v>233</v>
      </c>
      <c r="F109" s="59" t="s">
        <v>278</v>
      </c>
      <c r="G109" s="77" t="e">
        <f>(IF(LEFT(B109)="П",ROUNDUP(SUMIF([2]ВО!S$1:S$65536,ХОВС!B109,[2]ВО!N$1:N$65536)*Kup,-1),IF(LEFT(B109)="В",ROUNDUP(SUM(SUMIF([2]ВО!T$1:T$65536,ХОВС!B109,[2]ВО!O$1:O$65536)*Kup,SUMIF([2]ВО!R$1:R$65536,ХОВС!B109,[2]ВО!M$1:M$65536)*Kup),-1),IF(LEFT(B109)="М",ROUNDUP(SUMIF([2]ВО!R$1:R$65536,ХОВС!B109,[2]ВО!M$1:M$65536)*Kup,-1)))))*1.1</f>
        <v>#VALUE!</v>
      </c>
      <c r="H109" s="59">
        <f>150+100</f>
        <v>250</v>
      </c>
      <c r="I109" s="59">
        <v>2500</v>
      </c>
      <c r="J109" s="59" t="s">
        <v>216</v>
      </c>
      <c r="K109" s="60">
        <v>1.7</v>
      </c>
      <c r="L109" s="59">
        <f t="shared" ref="L109:L146" si="8">I109</f>
        <v>2500</v>
      </c>
      <c r="M109" s="63" t="s">
        <v>55</v>
      </c>
      <c r="N109" s="63" t="s">
        <v>55</v>
      </c>
      <c r="O109" s="63" t="s">
        <v>55</v>
      </c>
      <c r="P109" s="63" t="s">
        <v>55</v>
      </c>
      <c r="Q109" s="62" t="s">
        <v>55</v>
      </c>
      <c r="R109" s="63" t="s">
        <v>55</v>
      </c>
      <c r="S109" s="63" t="s">
        <v>55</v>
      </c>
      <c r="T109" s="63" t="s">
        <v>55</v>
      </c>
      <c r="U109" s="61" t="s">
        <v>55</v>
      </c>
      <c r="V109" s="61" t="s">
        <v>55</v>
      </c>
      <c r="W109" s="62" t="s">
        <v>55</v>
      </c>
      <c r="X109" s="65" t="s">
        <v>55</v>
      </c>
      <c r="Y109" s="66"/>
      <c r="Z109" s="67" t="s">
        <v>55</v>
      </c>
      <c r="AA109" s="67" t="s">
        <v>55</v>
      </c>
      <c r="AB109" s="67"/>
      <c r="AC109" s="67"/>
      <c r="AD109" s="67" t="s">
        <v>55</v>
      </c>
      <c r="AE109" s="68">
        <f t="shared" si="7"/>
        <v>1.7</v>
      </c>
      <c r="AF109" s="67" t="s">
        <v>55</v>
      </c>
      <c r="AG109" s="67" t="s">
        <v>55</v>
      </c>
      <c r="AH109" s="67" t="s">
        <v>55</v>
      </c>
      <c r="AI109" s="67" t="s">
        <v>55</v>
      </c>
      <c r="AJ109" s="69" t="s">
        <v>226</v>
      </c>
      <c r="AK109" s="67" t="s">
        <v>208</v>
      </c>
      <c r="AL109" s="70"/>
      <c r="AM109" s="71"/>
      <c r="AN109" s="71"/>
      <c r="AO109" s="72"/>
      <c r="AP109" s="72"/>
      <c r="AQ109" s="72"/>
      <c r="AR109" s="72"/>
    </row>
    <row r="110" spans="1:44" ht="42.75" x14ac:dyDescent="0.25">
      <c r="B110" s="58" t="s">
        <v>356</v>
      </c>
      <c r="C110" s="59">
        <v>1</v>
      </c>
      <c r="D110" s="59" t="s">
        <v>357</v>
      </c>
      <c r="E110" s="59" t="s">
        <v>214</v>
      </c>
      <c r="F110" s="59" t="s">
        <v>215</v>
      </c>
      <c r="G110" s="77" t="e">
        <f>(IF(LEFT(B110)="П",ROUNDUP(SUMIF([2]ВО!S$1:S$65536,ХОВС!B110,[2]ВО!N$1:N$65536)*Kup,-1),IF(LEFT(B110)="В",ROUNDUP(SUM(SUMIF([2]ВО!T$1:T$65536,ХОВС!B110,[2]ВО!O$1:O$65536)*Kup,SUMIF([2]ВО!R$1:R$65536,ХОВС!B110,[2]ВО!M$1:M$65536)*Kup),-1),IF(LEFT(B110)="М",ROUNDUP(SUMIF([2]ВО!R$1:R$65536,ХОВС!B110,[2]ВО!M$1:M$65536)*Kup,-1)))))*1.1</f>
        <v>#VALUE!</v>
      </c>
      <c r="H110" s="59">
        <v>200</v>
      </c>
      <c r="I110" s="59">
        <v>2450</v>
      </c>
      <c r="J110" s="59" t="s">
        <v>216</v>
      </c>
      <c r="K110" s="60">
        <v>0.06</v>
      </c>
      <c r="L110" s="59">
        <f t="shared" si="8"/>
        <v>2450</v>
      </c>
      <c r="M110" s="63" t="s">
        <v>55</v>
      </c>
      <c r="N110" s="63" t="s">
        <v>55</v>
      </c>
      <c r="O110" s="63" t="s">
        <v>55</v>
      </c>
      <c r="P110" s="63" t="s">
        <v>55</v>
      </c>
      <c r="Q110" s="62" t="s">
        <v>55</v>
      </c>
      <c r="R110" s="63" t="s">
        <v>55</v>
      </c>
      <c r="S110" s="63" t="s">
        <v>55</v>
      </c>
      <c r="T110" s="63" t="s">
        <v>55</v>
      </c>
      <c r="U110" s="61" t="s">
        <v>55</v>
      </c>
      <c r="V110" s="61" t="s">
        <v>55</v>
      </c>
      <c r="W110" s="62" t="s">
        <v>55</v>
      </c>
      <c r="X110" s="65" t="s">
        <v>55</v>
      </c>
      <c r="Y110" s="66"/>
      <c r="Z110" s="67" t="s">
        <v>55</v>
      </c>
      <c r="AA110" s="67" t="s">
        <v>55</v>
      </c>
      <c r="AB110" s="67"/>
      <c r="AC110" s="67"/>
      <c r="AD110" s="67" t="s">
        <v>55</v>
      </c>
      <c r="AE110" s="68">
        <f t="shared" si="7"/>
        <v>0.06</v>
      </c>
      <c r="AF110" s="67" t="s">
        <v>206</v>
      </c>
      <c r="AG110" s="67" t="s">
        <v>55</v>
      </c>
      <c r="AH110" s="67" t="s">
        <v>55</v>
      </c>
      <c r="AI110" s="67" t="s">
        <v>55</v>
      </c>
      <c r="AJ110" s="69" t="s">
        <v>332</v>
      </c>
      <c r="AK110" s="67" t="s">
        <v>208</v>
      </c>
      <c r="AL110" s="70"/>
      <c r="AM110" s="71"/>
      <c r="AN110" s="71"/>
      <c r="AO110" s="72"/>
      <c r="AP110" s="72"/>
      <c r="AQ110" s="72"/>
      <c r="AR110" s="72"/>
    </row>
    <row r="111" spans="1:44" ht="57" x14ac:dyDescent="0.25">
      <c r="A111" s="5" t="s">
        <v>358</v>
      </c>
      <c r="B111" s="58" t="s">
        <v>359</v>
      </c>
      <c r="C111" s="59">
        <v>1</v>
      </c>
      <c r="D111" s="59" t="s">
        <v>360</v>
      </c>
      <c r="E111" s="59" t="s">
        <v>214</v>
      </c>
      <c r="F111" s="59" t="s">
        <v>215</v>
      </c>
      <c r="G111" s="77" t="e">
        <f>(IF(LEFT(B111)="П",ROUNDUP(SUMIF([2]ВО!S$1:S$65536,ХОВС!B111,[2]ВО!N$1:N$65536)*Kup,-1),IF(LEFT(B111)="В",ROUNDUP(SUM(SUMIF([2]ВО!T$1:T$65536,ХОВС!B111,[2]ВО!O$1:O$65536)*Kup,SUMIF([2]ВО!R$1:R$65536,ХОВС!B111,[2]ВО!M$1:M$65536)*Kup),-1),IF(LEFT(B111)="М",ROUNDUP(SUMIF([2]ВО!R$1:R$65536,ХОВС!B111,[2]ВО!M$1:M$65536)*Kup,-1)))))*1.1</f>
        <v>#VALUE!</v>
      </c>
      <c r="H111" s="59">
        <f>370+50</f>
        <v>420</v>
      </c>
      <c r="I111" s="59">
        <v>2450</v>
      </c>
      <c r="J111" s="59" t="s">
        <v>216</v>
      </c>
      <c r="K111" s="60">
        <v>0.16700000000000001</v>
      </c>
      <c r="L111" s="59">
        <f t="shared" si="8"/>
        <v>2450</v>
      </c>
      <c r="M111" s="63" t="s">
        <v>55</v>
      </c>
      <c r="N111" s="63" t="s">
        <v>55</v>
      </c>
      <c r="O111" s="63" t="s">
        <v>55</v>
      </c>
      <c r="P111" s="63" t="s">
        <v>55</v>
      </c>
      <c r="Q111" s="62" t="s">
        <v>55</v>
      </c>
      <c r="R111" s="63" t="s">
        <v>55</v>
      </c>
      <c r="S111" s="63" t="s">
        <v>55</v>
      </c>
      <c r="T111" s="63" t="s">
        <v>55</v>
      </c>
      <c r="U111" s="61" t="s">
        <v>55</v>
      </c>
      <c r="V111" s="61" t="s">
        <v>55</v>
      </c>
      <c r="W111" s="62" t="s">
        <v>55</v>
      </c>
      <c r="X111" s="65" t="s">
        <v>55</v>
      </c>
      <c r="Y111" s="66"/>
      <c r="Z111" s="67" t="s">
        <v>55</v>
      </c>
      <c r="AA111" s="67" t="s">
        <v>55</v>
      </c>
      <c r="AB111" s="67"/>
      <c r="AC111" s="67"/>
      <c r="AD111" s="67" t="s">
        <v>55</v>
      </c>
      <c r="AE111" s="68">
        <f t="shared" si="7"/>
        <v>0.16700000000000001</v>
      </c>
      <c r="AF111" s="67" t="s">
        <v>206</v>
      </c>
      <c r="AG111" s="67" t="s">
        <v>55</v>
      </c>
      <c r="AH111" s="67" t="s">
        <v>55</v>
      </c>
      <c r="AI111" s="67" t="s">
        <v>55</v>
      </c>
      <c r="AJ111" s="69" t="s">
        <v>226</v>
      </c>
      <c r="AK111" s="67" t="s">
        <v>208</v>
      </c>
      <c r="AL111" s="70"/>
      <c r="AM111" s="71"/>
      <c r="AN111" s="71"/>
      <c r="AO111" s="72"/>
      <c r="AP111" s="72"/>
      <c r="AQ111" s="72"/>
      <c r="AR111" s="72"/>
    </row>
    <row r="112" spans="1:44" ht="30" x14ac:dyDescent="0.25">
      <c r="B112" s="58" t="s">
        <v>361</v>
      </c>
      <c r="C112" s="59">
        <v>1</v>
      </c>
      <c r="D112" s="59" t="s">
        <v>344</v>
      </c>
      <c r="E112" s="59" t="s">
        <v>214</v>
      </c>
      <c r="F112" s="59" t="s">
        <v>230</v>
      </c>
      <c r="G112" s="77" t="e">
        <f>(IF(LEFT(B112)="П",ROUNDUP(SUMIF([2]ВО!S$1:S$65536,ХОВС!B112,[2]ВО!N$1:N$65536)*Kup,-1),IF(LEFT(B112)="В",ROUNDUP(SUM(SUMIF([2]ВО!T$1:T$65536,ХОВС!B112,[2]ВО!O$1:O$65536)*Kup,SUMIF([2]ВО!R$1:R$65536,ХОВС!B112,[2]ВО!M$1:M$65536)*Kup),-1),IF(LEFT(B112)="М",ROUNDUP(SUMIF([2]ВО!R$1:R$65536,ХОВС!B112,[2]ВО!M$1:M$65536)*Kup,-1)))))*1.1</f>
        <v>#VALUE!</v>
      </c>
      <c r="H112" s="59">
        <f>170+50</f>
        <v>220</v>
      </c>
      <c r="I112" s="59">
        <v>2550</v>
      </c>
      <c r="J112" s="59" t="s">
        <v>216</v>
      </c>
      <c r="K112" s="60">
        <v>0.23</v>
      </c>
      <c r="L112" s="59">
        <f t="shared" si="8"/>
        <v>2550</v>
      </c>
      <c r="M112" s="63" t="s">
        <v>55</v>
      </c>
      <c r="N112" s="63" t="s">
        <v>55</v>
      </c>
      <c r="O112" s="63" t="s">
        <v>55</v>
      </c>
      <c r="P112" s="63" t="s">
        <v>55</v>
      </c>
      <c r="Q112" s="62" t="s">
        <v>55</v>
      </c>
      <c r="R112" s="63" t="s">
        <v>55</v>
      </c>
      <c r="S112" s="63" t="s">
        <v>55</v>
      </c>
      <c r="T112" s="63" t="s">
        <v>55</v>
      </c>
      <c r="U112" s="61" t="s">
        <v>55</v>
      </c>
      <c r="V112" s="61" t="s">
        <v>55</v>
      </c>
      <c r="W112" s="62" t="s">
        <v>55</v>
      </c>
      <c r="X112" s="65" t="s">
        <v>55</v>
      </c>
      <c r="Y112" s="66"/>
      <c r="Z112" s="67" t="s">
        <v>55</v>
      </c>
      <c r="AA112" s="67" t="s">
        <v>55</v>
      </c>
      <c r="AB112" s="67"/>
      <c r="AC112" s="67"/>
      <c r="AD112" s="67" t="s">
        <v>55</v>
      </c>
      <c r="AE112" s="68" t="s">
        <v>55</v>
      </c>
      <c r="AF112" s="67" t="s">
        <v>55</v>
      </c>
      <c r="AG112" s="67" t="s">
        <v>55</v>
      </c>
      <c r="AH112" s="67" t="s">
        <v>55</v>
      </c>
      <c r="AI112" s="67" t="s">
        <v>55</v>
      </c>
      <c r="AJ112" s="69" t="s">
        <v>226</v>
      </c>
      <c r="AK112" s="67" t="s">
        <v>208</v>
      </c>
      <c r="AL112" s="70"/>
      <c r="AM112" s="71"/>
      <c r="AN112" s="71"/>
      <c r="AO112" s="72"/>
      <c r="AP112" s="72"/>
      <c r="AQ112" s="72"/>
      <c r="AR112" s="72"/>
    </row>
    <row r="113" spans="2:44" ht="42.75" x14ac:dyDescent="0.25">
      <c r="B113" s="58" t="s">
        <v>362</v>
      </c>
      <c r="C113" s="59">
        <v>1</v>
      </c>
      <c r="D113" s="59" t="s">
        <v>363</v>
      </c>
      <c r="E113" s="59" t="s">
        <v>214</v>
      </c>
      <c r="F113" s="59" t="s">
        <v>331</v>
      </c>
      <c r="G113" s="77" t="e">
        <f>(IF(LEFT(B113)="П",ROUNDUP(SUMIF([2]ВО!S$1:S$65536,ХОВС!B113,[2]ВО!N$1:N$65536)*Kup,-1),IF(LEFT(B113)="В",ROUNDUP(SUM(SUMIF([2]ВО!T$1:T$65536,ХОВС!B113,[2]ВО!O$1:O$65536)*Kup,SUMIF([2]ВО!R$1:R$65536,ХОВС!B113,[2]ВО!M$1:M$65536)*Kup),-1),IF(LEFT(B113)="М",ROUNDUP(SUMIF([2]ВО!R$1:R$65536,ХОВС!B113,[2]ВО!M$1:M$65536)*Kup,-1)))))*1.1</f>
        <v>#VALUE!</v>
      </c>
      <c r="H113" s="59">
        <f>260+50</f>
        <v>310</v>
      </c>
      <c r="I113" s="59">
        <v>2450</v>
      </c>
      <c r="J113" s="59" t="s">
        <v>216</v>
      </c>
      <c r="K113" s="60">
        <v>0.3</v>
      </c>
      <c r="L113" s="59">
        <f t="shared" si="8"/>
        <v>2450</v>
      </c>
      <c r="M113" s="63" t="s">
        <v>55</v>
      </c>
      <c r="N113" s="63" t="s">
        <v>55</v>
      </c>
      <c r="O113" s="63" t="s">
        <v>55</v>
      </c>
      <c r="P113" s="63" t="s">
        <v>55</v>
      </c>
      <c r="Q113" s="62" t="s">
        <v>55</v>
      </c>
      <c r="R113" s="63" t="s">
        <v>55</v>
      </c>
      <c r="S113" s="63" t="s">
        <v>55</v>
      </c>
      <c r="T113" s="63" t="s">
        <v>55</v>
      </c>
      <c r="U113" s="61" t="s">
        <v>55</v>
      </c>
      <c r="V113" s="61" t="s">
        <v>55</v>
      </c>
      <c r="W113" s="62" t="s">
        <v>55</v>
      </c>
      <c r="X113" s="65" t="s">
        <v>55</v>
      </c>
      <c r="Y113" s="66"/>
      <c r="Z113" s="67" t="s">
        <v>55</v>
      </c>
      <c r="AA113" s="67" t="s">
        <v>55</v>
      </c>
      <c r="AB113" s="67"/>
      <c r="AC113" s="67"/>
      <c r="AD113" s="67" t="s">
        <v>55</v>
      </c>
      <c r="AE113" s="68" t="s">
        <v>55</v>
      </c>
      <c r="AF113" s="67" t="s">
        <v>55</v>
      </c>
      <c r="AG113" s="67" t="s">
        <v>55</v>
      </c>
      <c r="AH113" s="67" t="s">
        <v>55</v>
      </c>
      <c r="AI113" s="67" t="s">
        <v>55</v>
      </c>
      <c r="AJ113" s="69" t="s">
        <v>226</v>
      </c>
      <c r="AK113" s="67" t="s">
        <v>208</v>
      </c>
      <c r="AL113" s="70"/>
      <c r="AM113" s="71"/>
      <c r="AN113" s="71"/>
      <c r="AO113" s="72"/>
      <c r="AP113" s="72"/>
      <c r="AQ113" s="72"/>
      <c r="AR113" s="72"/>
    </row>
    <row r="114" spans="2:44" ht="28.5" x14ac:dyDescent="0.25">
      <c r="B114" s="58" t="s">
        <v>364</v>
      </c>
      <c r="C114" s="59">
        <v>1</v>
      </c>
      <c r="D114" s="59" t="s">
        <v>321</v>
      </c>
      <c r="E114" s="59" t="s">
        <v>214</v>
      </c>
      <c r="F114" s="59" t="s">
        <v>215</v>
      </c>
      <c r="G114" s="77" t="e">
        <f>(IF(LEFT(B114)="П",ROUNDUP(SUMIF([2]ВО!S$1:S$65536,ХОВС!B114,[2]ВО!N$1:N$65536)*Kup,-1),IF(LEFT(B114)="В",ROUNDUP(SUM(SUMIF([2]ВО!T$1:T$65536,ХОВС!B114,[2]ВО!O$1:O$65536)*Kup,SUMIF([2]ВО!R$1:R$65536,ХОВС!B114,[2]ВО!M$1:M$65536)*Kup),-1),IF(LEFT(B114)="М",ROUNDUP(SUMIF([2]ВО!R$1:R$65536,ХОВС!B114,[2]ВО!M$1:M$65536)*Kup,-1)))))*1.1</f>
        <v>#VALUE!</v>
      </c>
      <c r="H114" s="59">
        <f>190+50</f>
        <v>240</v>
      </c>
      <c r="I114" s="59">
        <v>2450</v>
      </c>
      <c r="J114" s="59" t="s">
        <v>216</v>
      </c>
      <c r="K114" s="60">
        <v>0.06</v>
      </c>
      <c r="L114" s="59">
        <f t="shared" si="8"/>
        <v>2450</v>
      </c>
      <c r="M114" s="63" t="s">
        <v>55</v>
      </c>
      <c r="N114" s="63" t="s">
        <v>55</v>
      </c>
      <c r="O114" s="63" t="s">
        <v>55</v>
      </c>
      <c r="P114" s="63" t="s">
        <v>55</v>
      </c>
      <c r="Q114" s="62" t="s">
        <v>55</v>
      </c>
      <c r="R114" s="63" t="s">
        <v>55</v>
      </c>
      <c r="S114" s="63" t="s">
        <v>55</v>
      </c>
      <c r="T114" s="63" t="s">
        <v>55</v>
      </c>
      <c r="U114" s="61" t="s">
        <v>55</v>
      </c>
      <c r="V114" s="61" t="s">
        <v>55</v>
      </c>
      <c r="W114" s="62" t="s">
        <v>55</v>
      </c>
      <c r="X114" s="65" t="s">
        <v>55</v>
      </c>
      <c r="Y114" s="66"/>
      <c r="Z114" s="67" t="s">
        <v>55</v>
      </c>
      <c r="AA114" s="67" t="s">
        <v>55</v>
      </c>
      <c r="AB114" s="67"/>
      <c r="AC114" s="67"/>
      <c r="AD114" s="67" t="s">
        <v>55</v>
      </c>
      <c r="AE114" s="68" t="s">
        <v>55</v>
      </c>
      <c r="AF114" s="67" t="s">
        <v>206</v>
      </c>
      <c r="AG114" s="67" t="s">
        <v>55</v>
      </c>
      <c r="AH114" s="67" t="s">
        <v>55</v>
      </c>
      <c r="AI114" s="67" t="s">
        <v>55</v>
      </c>
      <c r="AJ114" s="67" t="s">
        <v>207</v>
      </c>
      <c r="AK114" s="67" t="s">
        <v>208</v>
      </c>
      <c r="AL114" s="70"/>
      <c r="AM114" s="71"/>
      <c r="AN114" s="71"/>
      <c r="AO114" s="72"/>
      <c r="AP114" s="72"/>
      <c r="AQ114" s="72"/>
      <c r="AR114" s="72"/>
    </row>
    <row r="115" spans="2:44" ht="52.5" customHeight="1" x14ac:dyDescent="0.25">
      <c r="B115" s="79" t="s">
        <v>365</v>
      </c>
      <c r="C115" s="80">
        <v>1</v>
      </c>
      <c r="D115" s="80" t="s">
        <v>366</v>
      </c>
      <c r="E115" s="80" t="s">
        <v>233</v>
      </c>
      <c r="F115" s="80" t="s">
        <v>278</v>
      </c>
      <c r="G115" s="80" t="e">
        <f>CEILING((IF(LEFT(B115)="П",ROUNDUP(SUMIF([2]ВО!S$1:S$65536,ХОВС!B115,[2]ВО!N$1:N$65536)*Kup,-1),IF(LEFT(B115)="В",ROUNDUP(SUM(SUMIF([2]ВО!T$1:T$65536,ХОВС!B115,[2]ВО!O$1:O$65536)*Kup,SUMIF([2]ВО!R$1:R$65536,ХОВС!B115,[2]ВО!M$1:M$65536)*Kup),-1),IF(LEFT(B115)="М",ROUNDUP(SUMIF([2]ВО!R$1:R$65536,ХОВС!B115,[2]ВО!M$1:M$65536)*Kup,-1)))))*1.1,10)</f>
        <v>#VALUE!</v>
      </c>
      <c r="H115" s="80">
        <f>150+50</f>
        <v>200</v>
      </c>
      <c r="I115" s="59">
        <v>2450</v>
      </c>
      <c r="J115" s="59" t="s">
        <v>224</v>
      </c>
      <c r="K115" s="60">
        <v>1.7</v>
      </c>
      <c r="L115" s="59">
        <f t="shared" si="8"/>
        <v>2450</v>
      </c>
      <c r="M115" s="63" t="s">
        <v>55</v>
      </c>
      <c r="N115" s="63" t="s">
        <v>55</v>
      </c>
      <c r="O115" s="63" t="s">
        <v>55</v>
      </c>
      <c r="P115" s="63" t="s">
        <v>55</v>
      </c>
      <c r="Q115" s="62" t="s">
        <v>55</v>
      </c>
      <c r="R115" s="63" t="s">
        <v>55</v>
      </c>
      <c r="S115" s="63" t="s">
        <v>55</v>
      </c>
      <c r="T115" s="63" t="s">
        <v>55</v>
      </c>
      <c r="U115" s="61" t="s">
        <v>55</v>
      </c>
      <c r="V115" s="61" t="s">
        <v>55</v>
      </c>
      <c r="W115" s="62" t="s">
        <v>55</v>
      </c>
      <c r="X115" s="65" t="s">
        <v>55</v>
      </c>
      <c r="Y115" s="66"/>
      <c r="Z115" s="67" t="s">
        <v>55</v>
      </c>
      <c r="AA115" s="67" t="s">
        <v>55</v>
      </c>
      <c r="AB115" s="67"/>
      <c r="AC115" s="67"/>
      <c r="AD115" s="67" t="s">
        <v>55</v>
      </c>
      <c r="AE115" s="68">
        <f>K115*C115</f>
        <v>1.7</v>
      </c>
      <c r="AF115" s="67" t="s">
        <v>206</v>
      </c>
      <c r="AG115" s="67" t="s">
        <v>55</v>
      </c>
      <c r="AH115" s="67" t="s">
        <v>55</v>
      </c>
      <c r="AI115" s="67" t="s">
        <v>55</v>
      </c>
      <c r="AJ115" s="69" t="s">
        <v>226</v>
      </c>
      <c r="AK115" s="67" t="s">
        <v>208</v>
      </c>
      <c r="AL115" s="72"/>
      <c r="AM115" s="72"/>
      <c r="AN115" s="72"/>
      <c r="AO115" s="72"/>
      <c r="AP115" s="72"/>
      <c r="AQ115" s="72"/>
      <c r="AR115" s="72"/>
    </row>
    <row r="116" spans="2:44" ht="42.75" x14ac:dyDescent="0.25">
      <c r="B116" s="58" t="s">
        <v>367</v>
      </c>
      <c r="C116" s="59">
        <v>1</v>
      </c>
      <c r="D116" s="59" t="s">
        <v>368</v>
      </c>
      <c r="E116" s="59" t="s">
        <v>233</v>
      </c>
      <c r="F116" s="59" t="s">
        <v>297</v>
      </c>
      <c r="G116" s="80" t="e">
        <f>CEILING((IF(LEFT(B116)="П",ROUNDUP(SUMIF([2]ВО!S$1:S$65536,ХОВС!B116,[2]ВО!N$1:N$65536)*Kup,-1),IF(LEFT(B116)="В",ROUNDUP(SUM(SUMIF([2]ВО!T$1:T$65536,ХОВС!B116,[2]ВО!O$1:O$65536)*Kup,SUMIF([2]ВО!R$1:R$65536,ХОВС!B116,[2]ВО!M$1:M$65536)*Kup),-1),IF(LEFT(B116)="М",ROUNDUP(SUMIF([2]ВО!R$1:R$65536,ХОВС!B116,[2]ВО!M$1:M$65536)*Kup,-1)))))*1.1,10)</f>
        <v>#VALUE!</v>
      </c>
      <c r="H116" s="59">
        <f>200+50</f>
        <v>250</v>
      </c>
      <c r="I116" s="59">
        <v>2450</v>
      </c>
      <c r="J116" s="59" t="s">
        <v>224</v>
      </c>
      <c r="K116" s="60">
        <v>2.2000000000000002</v>
      </c>
      <c r="L116" s="59">
        <f t="shared" si="8"/>
        <v>2450</v>
      </c>
      <c r="M116" s="63" t="s">
        <v>55</v>
      </c>
      <c r="N116" s="63" t="s">
        <v>55</v>
      </c>
      <c r="O116" s="63" t="s">
        <v>55</v>
      </c>
      <c r="P116" s="63" t="s">
        <v>55</v>
      </c>
      <c r="Q116" s="62" t="s">
        <v>55</v>
      </c>
      <c r="R116" s="63" t="s">
        <v>55</v>
      </c>
      <c r="S116" s="63" t="s">
        <v>55</v>
      </c>
      <c r="T116" s="63" t="s">
        <v>55</v>
      </c>
      <c r="U116" s="61" t="s">
        <v>55</v>
      </c>
      <c r="V116" s="61" t="s">
        <v>55</v>
      </c>
      <c r="W116" s="62" t="s">
        <v>55</v>
      </c>
      <c r="X116" s="65" t="s">
        <v>55</v>
      </c>
      <c r="Y116" s="66"/>
      <c r="Z116" s="67" t="s">
        <v>55</v>
      </c>
      <c r="AA116" s="67" t="s">
        <v>55</v>
      </c>
      <c r="AB116" s="67"/>
      <c r="AC116" s="67"/>
      <c r="AD116" s="67" t="s">
        <v>55</v>
      </c>
      <c r="AE116" s="68">
        <f t="shared" ref="AE116:AE146" si="9">K116*C116</f>
        <v>2.2000000000000002</v>
      </c>
      <c r="AF116" s="67" t="s">
        <v>206</v>
      </c>
      <c r="AG116" s="67" t="s">
        <v>55</v>
      </c>
      <c r="AH116" s="67" t="s">
        <v>55</v>
      </c>
      <c r="AI116" s="67" t="s">
        <v>55</v>
      </c>
      <c r="AJ116" s="69" t="s">
        <v>226</v>
      </c>
      <c r="AK116" s="67" t="s">
        <v>208</v>
      </c>
      <c r="AL116" s="72"/>
      <c r="AM116" s="72"/>
      <c r="AN116" s="72"/>
      <c r="AO116" s="72"/>
      <c r="AP116" s="72"/>
      <c r="AQ116" s="72"/>
      <c r="AR116" s="72"/>
    </row>
    <row r="117" spans="2:44" ht="30" x14ac:dyDescent="0.25">
      <c r="B117" s="58" t="s">
        <v>369</v>
      </c>
      <c r="C117" s="59">
        <v>1</v>
      </c>
      <c r="D117" s="59" t="s">
        <v>370</v>
      </c>
      <c r="E117" s="59" t="s">
        <v>214</v>
      </c>
      <c r="F117" s="59" t="s">
        <v>288</v>
      </c>
      <c r="G117" s="80" t="e">
        <f>CEILING((IF(LEFT(B117)="П",ROUNDUP(SUMIF([2]ВО!S$1:S$65536,ХОВС!B117,[2]ВО!N$1:N$65536)*Kup,-1),IF(LEFT(B117)="В",ROUNDUP(SUM(SUMIF([2]ВО!T$1:T$65536,ХОВС!B117,[2]ВО!O$1:O$65536)*Kup,SUMIF([2]ВО!R$1:R$65536,ХОВС!B117,[2]ВО!M$1:M$65536)*Kup),-1),IF(LEFT(B117)="М",ROUNDUP(SUMIF([2]ВО!R$1:R$65536,ХОВС!B117,[2]ВО!M$1:M$65536)*Kup,-1)))))*1.1,10)</f>
        <v>#VALUE!</v>
      </c>
      <c r="H117" s="59">
        <f>160+50</f>
        <v>210</v>
      </c>
      <c r="I117" s="59">
        <v>2600</v>
      </c>
      <c r="J117" s="59" t="s">
        <v>216</v>
      </c>
      <c r="K117" s="60">
        <v>0.11</v>
      </c>
      <c r="L117" s="59">
        <f t="shared" si="8"/>
        <v>2600</v>
      </c>
      <c r="M117" s="63" t="s">
        <v>55</v>
      </c>
      <c r="N117" s="63" t="s">
        <v>55</v>
      </c>
      <c r="O117" s="63" t="s">
        <v>55</v>
      </c>
      <c r="P117" s="63" t="s">
        <v>55</v>
      </c>
      <c r="Q117" s="62"/>
      <c r="R117" s="63" t="s">
        <v>55</v>
      </c>
      <c r="S117" s="63" t="s">
        <v>55</v>
      </c>
      <c r="T117" s="63" t="s">
        <v>55</v>
      </c>
      <c r="U117" s="61" t="s">
        <v>55</v>
      </c>
      <c r="V117" s="61" t="s">
        <v>55</v>
      </c>
      <c r="W117" s="62" t="s">
        <v>55</v>
      </c>
      <c r="X117" s="65" t="s">
        <v>55</v>
      </c>
      <c r="Y117" s="66"/>
      <c r="Z117" s="67" t="s">
        <v>55</v>
      </c>
      <c r="AA117" s="67" t="s">
        <v>55</v>
      </c>
      <c r="AB117" s="67"/>
      <c r="AC117" s="67"/>
      <c r="AD117" s="67" t="s">
        <v>55</v>
      </c>
      <c r="AE117" s="68">
        <f t="shared" si="9"/>
        <v>0.11</v>
      </c>
      <c r="AF117" s="67" t="s">
        <v>206</v>
      </c>
      <c r="AG117" s="67" t="s">
        <v>55</v>
      </c>
      <c r="AH117" s="67" t="s">
        <v>55</v>
      </c>
      <c r="AI117" s="67" t="s">
        <v>55</v>
      </c>
      <c r="AJ117" s="69" t="s">
        <v>226</v>
      </c>
      <c r="AK117" s="67" t="s">
        <v>208</v>
      </c>
      <c r="AL117" s="70"/>
      <c r="AM117" s="71"/>
      <c r="AN117" s="71"/>
      <c r="AO117" s="72"/>
      <c r="AP117" s="72"/>
      <c r="AQ117" s="72"/>
      <c r="AR117" s="72"/>
    </row>
    <row r="118" spans="2:44" ht="28.5" x14ac:dyDescent="0.25">
      <c r="B118" s="58" t="s">
        <v>371</v>
      </c>
      <c r="C118" s="59">
        <v>1</v>
      </c>
      <c r="D118" s="59" t="s">
        <v>347</v>
      </c>
      <c r="E118" s="59" t="s">
        <v>214</v>
      </c>
      <c r="F118" s="59" t="s">
        <v>215</v>
      </c>
      <c r="G118" s="80" t="e">
        <f>CEILING((IF(LEFT(B118)="П",ROUNDUP(SUMIF([2]ВО!S$1:S$65536,ХОВС!B118,[2]ВО!N$1:N$65536)*Kup,-1),IF(LEFT(B118)="В",ROUNDUP(SUM(SUMIF([2]ВО!T$1:T$65536,ХОВС!B118,[2]ВО!O$1:O$65536)*Kup,SUMIF([2]ВО!R$1:R$65536,ХОВС!B118,[2]ВО!M$1:M$65536)*Kup),-1),IF(LEFT(B118)="М",ROUNDUP(SUMIF([2]ВО!R$1:R$65536,ХОВС!B118,[2]ВО!M$1:M$65536)*Kup,-1)))))*1.1,10)</f>
        <v>#VALUE!</v>
      </c>
      <c r="H118" s="59">
        <f>320+50</f>
        <v>370</v>
      </c>
      <c r="I118" s="59">
        <v>2450</v>
      </c>
      <c r="J118" s="59" t="s">
        <v>224</v>
      </c>
      <c r="K118" s="60">
        <v>0.06</v>
      </c>
      <c r="L118" s="59">
        <f t="shared" si="8"/>
        <v>2450</v>
      </c>
      <c r="M118" s="63" t="s">
        <v>55</v>
      </c>
      <c r="N118" s="63" t="s">
        <v>55</v>
      </c>
      <c r="O118" s="63" t="s">
        <v>55</v>
      </c>
      <c r="P118" s="63" t="s">
        <v>55</v>
      </c>
      <c r="Q118" s="62" t="s">
        <v>55</v>
      </c>
      <c r="R118" s="63" t="s">
        <v>55</v>
      </c>
      <c r="S118" s="63" t="s">
        <v>55</v>
      </c>
      <c r="T118" s="63" t="s">
        <v>55</v>
      </c>
      <c r="U118" s="61" t="s">
        <v>55</v>
      </c>
      <c r="V118" s="61" t="s">
        <v>55</v>
      </c>
      <c r="W118" s="62" t="s">
        <v>55</v>
      </c>
      <c r="X118" s="65" t="s">
        <v>55</v>
      </c>
      <c r="Y118" s="66"/>
      <c r="Z118" s="67" t="s">
        <v>55</v>
      </c>
      <c r="AA118" s="67" t="s">
        <v>55</v>
      </c>
      <c r="AB118" s="67"/>
      <c r="AC118" s="67"/>
      <c r="AD118" s="67" t="s">
        <v>55</v>
      </c>
      <c r="AE118" s="68">
        <f t="shared" si="9"/>
        <v>0.06</v>
      </c>
      <c r="AF118" s="67" t="s">
        <v>55</v>
      </c>
      <c r="AG118" s="67" t="s">
        <v>55</v>
      </c>
      <c r="AH118" s="67" t="s">
        <v>55</v>
      </c>
      <c r="AI118" s="67" t="s">
        <v>55</v>
      </c>
      <c r="AJ118" s="69" t="s">
        <v>207</v>
      </c>
      <c r="AK118" s="67" t="s">
        <v>208</v>
      </c>
      <c r="AL118" s="72"/>
      <c r="AM118" s="72"/>
      <c r="AN118" s="72"/>
      <c r="AO118" s="72"/>
      <c r="AP118" s="72"/>
      <c r="AQ118" s="72"/>
      <c r="AR118" s="72"/>
    </row>
    <row r="119" spans="2:44" ht="28.5" x14ac:dyDescent="0.25">
      <c r="B119" s="58" t="s">
        <v>372</v>
      </c>
      <c r="C119" s="59"/>
      <c r="D119" s="59" t="s">
        <v>347</v>
      </c>
      <c r="E119" s="59" t="s">
        <v>214</v>
      </c>
      <c r="F119" s="59" t="s">
        <v>373</v>
      </c>
      <c r="G119" s="80" t="e">
        <f>CEILING((IF(LEFT(B119)="П",ROUNDUP(SUMIF([2]ВО!S$1:S$65536,ХОВС!B119,[2]ВО!N$1:N$65536)*Kup,-1),IF(LEFT(B119)="В",ROUNDUP(SUM(SUMIF([2]ВО!T$1:T$65536,ХОВС!B119,[2]ВО!O$1:O$65536)*Kup,SUMIF([2]ВО!R$1:R$65536,ХОВС!B119,[2]ВО!M$1:M$65536)*Kup),-1),IF(LEFT(B119)="М",ROUNDUP(SUMIF([2]ВО!R$1:R$65536,ХОВС!B119,[2]ВО!M$1:M$65536)*Kup,-1)))))*1.1,10)</f>
        <v>#VALUE!</v>
      </c>
      <c r="H119" s="59">
        <v>280</v>
      </c>
      <c r="I119" s="59"/>
      <c r="J119" s="59"/>
      <c r="K119" s="60"/>
      <c r="L119" s="59"/>
      <c r="M119" s="63"/>
      <c r="N119" s="63"/>
      <c r="O119" s="63"/>
      <c r="P119" s="63"/>
      <c r="Q119" s="62"/>
      <c r="R119" s="63"/>
      <c r="S119" s="63"/>
      <c r="T119" s="63"/>
      <c r="U119" s="61"/>
      <c r="V119" s="61"/>
      <c r="W119" s="62"/>
      <c r="X119" s="65"/>
      <c r="Y119" s="66"/>
      <c r="Z119" s="67"/>
      <c r="AA119" s="67"/>
      <c r="AB119" s="67"/>
      <c r="AC119" s="67"/>
      <c r="AD119" s="67"/>
      <c r="AE119" s="68"/>
      <c r="AF119" s="67"/>
      <c r="AG119" s="67"/>
      <c r="AH119" s="67"/>
      <c r="AI119" s="67"/>
      <c r="AJ119" s="69"/>
      <c r="AK119" s="67"/>
      <c r="AL119" s="72"/>
      <c r="AM119" s="72"/>
      <c r="AN119" s="72"/>
      <c r="AO119" s="72"/>
      <c r="AP119" s="72"/>
      <c r="AQ119" s="72"/>
      <c r="AR119" s="72"/>
    </row>
    <row r="120" spans="2:44" ht="28.5" x14ac:dyDescent="0.25">
      <c r="B120" s="58" t="s">
        <v>374</v>
      </c>
      <c r="C120" s="59"/>
      <c r="D120" s="59" t="s">
        <v>347</v>
      </c>
      <c r="E120" s="59" t="s">
        <v>214</v>
      </c>
      <c r="F120" s="59" t="s">
        <v>375</v>
      </c>
      <c r="G120" s="80" t="e">
        <f>CEILING((IF(LEFT(B120)="П",ROUNDUP(SUMIF([2]ВО!S$1:S$65536,ХОВС!B120,[2]ВО!N$1:N$65536)*Kup,-1),IF(LEFT(B120)="В",ROUNDUP(SUM(SUMIF([2]ВО!T$1:T$65536,ХОВС!B120,[2]ВО!O$1:O$65536)*Kup,SUMIF([2]ВО!R$1:R$65536,ХОВС!B120,[2]ВО!M$1:M$65536)*Kup),-1),IF(LEFT(B120)="М",ROUNDUP(SUMIF([2]ВО!R$1:R$65536,ХОВС!B120,[2]ВО!M$1:M$65536)*Kup,-1)))))*1.1,10)</f>
        <v>#VALUE!</v>
      </c>
      <c r="H120" s="59">
        <v>280</v>
      </c>
      <c r="I120" s="59"/>
      <c r="J120" s="59"/>
      <c r="K120" s="60"/>
      <c r="L120" s="59"/>
      <c r="M120" s="63"/>
      <c r="N120" s="63"/>
      <c r="O120" s="63"/>
      <c r="P120" s="63"/>
      <c r="Q120" s="62"/>
      <c r="R120" s="63"/>
      <c r="S120" s="63"/>
      <c r="T120" s="63"/>
      <c r="U120" s="61"/>
      <c r="V120" s="61"/>
      <c r="W120" s="62"/>
      <c r="X120" s="65"/>
      <c r="Y120" s="66"/>
      <c r="Z120" s="67"/>
      <c r="AA120" s="67"/>
      <c r="AB120" s="67"/>
      <c r="AC120" s="67"/>
      <c r="AD120" s="67"/>
      <c r="AE120" s="68"/>
      <c r="AF120" s="67"/>
      <c r="AG120" s="67"/>
      <c r="AH120" s="67"/>
      <c r="AI120" s="67"/>
      <c r="AJ120" s="69"/>
      <c r="AK120" s="67"/>
      <c r="AL120" s="72"/>
      <c r="AM120" s="72"/>
      <c r="AN120" s="72"/>
      <c r="AO120" s="72"/>
      <c r="AP120" s="72"/>
      <c r="AQ120" s="72"/>
      <c r="AR120" s="72"/>
    </row>
    <row r="121" spans="2:44" ht="28.5" x14ac:dyDescent="0.25">
      <c r="B121" s="58" t="s">
        <v>376</v>
      </c>
      <c r="C121" s="59"/>
      <c r="D121" s="59" t="s">
        <v>347</v>
      </c>
      <c r="E121" s="59" t="s">
        <v>214</v>
      </c>
      <c r="F121" s="59" t="s">
        <v>377</v>
      </c>
      <c r="G121" s="80" t="e">
        <f>CEILING((IF(LEFT(B121)="П",ROUNDUP(SUMIF([2]ВО!S$1:S$65536,ХОВС!B121,[2]ВО!N$1:N$65536)*Kup,-1),IF(LEFT(B121)="В",ROUNDUP(SUM(SUMIF([2]ВО!T$1:T$65536,ХОВС!B121,[2]ВО!O$1:O$65536)*Kup,SUMIF([2]ВО!R$1:R$65536,ХОВС!B121,[2]ВО!M$1:M$65536)*Kup),-1),IF(LEFT(B121)="М",ROUNDUP(SUMIF([2]ВО!R$1:R$65536,ХОВС!B121,[2]ВО!M$1:M$65536)*Kup,-1)))))*1.1,10)</f>
        <v>#VALUE!</v>
      </c>
      <c r="H121" s="59">
        <f>220+100</f>
        <v>320</v>
      </c>
      <c r="I121" s="59"/>
      <c r="J121" s="59"/>
      <c r="K121" s="60"/>
      <c r="L121" s="59"/>
      <c r="M121" s="63"/>
      <c r="N121" s="63"/>
      <c r="O121" s="63"/>
      <c r="P121" s="63"/>
      <c r="Q121" s="62"/>
      <c r="R121" s="63"/>
      <c r="S121" s="63"/>
      <c r="T121" s="63"/>
      <c r="U121" s="61"/>
      <c r="V121" s="61"/>
      <c r="W121" s="62"/>
      <c r="X121" s="65"/>
      <c r="Y121" s="66"/>
      <c r="Z121" s="67"/>
      <c r="AA121" s="67"/>
      <c r="AB121" s="67"/>
      <c r="AC121" s="67"/>
      <c r="AD121" s="67"/>
      <c r="AE121" s="68"/>
      <c r="AF121" s="67"/>
      <c r="AG121" s="67"/>
      <c r="AH121" s="67"/>
      <c r="AI121" s="67"/>
      <c r="AJ121" s="69"/>
      <c r="AK121" s="67"/>
      <c r="AL121" s="72"/>
      <c r="AM121" s="72"/>
      <c r="AN121" s="72"/>
      <c r="AO121" s="72"/>
      <c r="AP121" s="72"/>
      <c r="AQ121" s="72"/>
      <c r="AR121" s="72"/>
    </row>
    <row r="122" spans="2:44" ht="30" x14ac:dyDescent="0.25">
      <c r="B122" s="58" t="s">
        <v>378</v>
      </c>
      <c r="C122" s="59">
        <v>1</v>
      </c>
      <c r="D122" s="59" t="s">
        <v>321</v>
      </c>
      <c r="E122" s="59" t="s">
        <v>214</v>
      </c>
      <c r="F122" s="59" t="s">
        <v>215</v>
      </c>
      <c r="G122" s="77" t="e">
        <f>(IF(LEFT(B122)="П",ROUNDUP(SUMIF([2]ВО!S$1:S$65536,ХОВС!B122,[2]ВО!N$1:N$65536)*Kup,-1),IF(LEFT(B122)="В",ROUNDUP(SUM(SUMIF([2]ВО!T$1:T$65536,ХОВС!B122,[2]ВО!O$1:O$65536)*Kup,SUMIF([2]ВО!R$1:R$65536,ХОВС!B122,[2]ВО!M$1:M$65536)*Kup),-1),IF(LEFT(B122)="М",ROUNDUP(SUMIF([2]ВО!R$1:R$65536,ХОВС!B122,[2]ВО!M$1:M$65536)*Kup,-1)))))*1.1</f>
        <v>#VALUE!</v>
      </c>
      <c r="H122" s="59">
        <f>50+50</f>
        <v>100</v>
      </c>
      <c r="I122" s="59">
        <v>2450</v>
      </c>
      <c r="J122" s="59" t="s">
        <v>216</v>
      </c>
      <c r="K122" s="60">
        <v>0.06</v>
      </c>
      <c r="L122" s="59">
        <f t="shared" si="8"/>
        <v>2450</v>
      </c>
      <c r="M122" s="63" t="s">
        <v>55</v>
      </c>
      <c r="N122" s="63" t="s">
        <v>55</v>
      </c>
      <c r="O122" s="63" t="s">
        <v>55</v>
      </c>
      <c r="P122" s="63" t="s">
        <v>55</v>
      </c>
      <c r="Q122" s="62" t="s">
        <v>55</v>
      </c>
      <c r="R122" s="63" t="s">
        <v>55</v>
      </c>
      <c r="S122" s="63" t="s">
        <v>55</v>
      </c>
      <c r="T122" s="63" t="s">
        <v>55</v>
      </c>
      <c r="U122" s="61" t="s">
        <v>55</v>
      </c>
      <c r="V122" s="61" t="s">
        <v>55</v>
      </c>
      <c r="W122" s="62" t="s">
        <v>55</v>
      </c>
      <c r="X122" s="65" t="s">
        <v>55</v>
      </c>
      <c r="Y122" s="66"/>
      <c r="Z122" s="67" t="s">
        <v>55</v>
      </c>
      <c r="AA122" s="67" t="s">
        <v>55</v>
      </c>
      <c r="AB122" s="67"/>
      <c r="AC122" s="67"/>
      <c r="AD122" s="67" t="s">
        <v>55</v>
      </c>
      <c r="AE122" s="68">
        <f t="shared" si="9"/>
        <v>0.06</v>
      </c>
      <c r="AF122" s="67" t="s">
        <v>55</v>
      </c>
      <c r="AG122" s="67" t="s">
        <v>55</v>
      </c>
      <c r="AH122" s="67" t="s">
        <v>55</v>
      </c>
      <c r="AI122" s="67" t="s">
        <v>55</v>
      </c>
      <c r="AJ122" s="69" t="s">
        <v>226</v>
      </c>
      <c r="AK122" s="67" t="s">
        <v>208</v>
      </c>
      <c r="AL122" s="70"/>
      <c r="AM122" s="71"/>
      <c r="AN122" s="71"/>
      <c r="AO122" s="72"/>
      <c r="AP122" s="72"/>
      <c r="AQ122" s="72"/>
      <c r="AR122" s="72"/>
    </row>
    <row r="123" spans="2:44" ht="30" x14ac:dyDescent="0.25">
      <c r="B123" s="58" t="s">
        <v>379</v>
      </c>
      <c r="C123" s="59">
        <v>1</v>
      </c>
      <c r="D123" s="59" t="s">
        <v>380</v>
      </c>
      <c r="E123" s="59" t="s">
        <v>214</v>
      </c>
      <c r="F123" s="59" t="s">
        <v>230</v>
      </c>
      <c r="G123" s="77" t="e">
        <f>(IF(LEFT(B123)="П",ROUNDUP(SUMIF([2]ВО!S$1:S$65536,ХОВС!B123,[2]ВО!N$1:N$65536)*Kup,-1),IF(LEFT(B123)="В",ROUNDUP(SUM(SUMIF([2]ВО!T$1:T$65536,ХОВС!B123,[2]ВО!O$1:O$65536)*Kup,SUMIF([2]ВО!R$1:R$65536,ХОВС!B123,[2]ВО!M$1:M$65536)*Kup),-1),IF(LEFT(B123)="М",ROUNDUP(SUMIF([2]ВО!R$1:R$65536,ХОВС!B123,[2]ВО!M$1:M$65536)*Kup,-1)))))*1.1</f>
        <v>#VALUE!</v>
      </c>
      <c r="H123" s="59">
        <f>140+50</f>
        <v>190</v>
      </c>
      <c r="I123" s="59">
        <v>2600</v>
      </c>
      <c r="J123" s="59" t="s">
        <v>216</v>
      </c>
      <c r="K123" s="60">
        <v>0.157</v>
      </c>
      <c r="L123" s="59">
        <f t="shared" si="8"/>
        <v>2600</v>
      </c>
      <c r="M123" s="63" t="s">
        <v>55</v>
      </c>
      <c r="N123" s="63" t="s">
        <v>55</v>
      </c>
      <c r="O123" s="63" t="s">
        <v>55</v>
      </c>
      <c r="P123" s="63" t="s">
        <v>55</v>
      </c>
      <c r="Q123" s="62" t="s">
        <v>55</v>
      </c>
      <c r="R123" s="63" t="s">
        <v>55</v>
      </c>
      <c r="S123" s="63" t="s">
        <v>55</v>
      </c>
      <c r="T123" s="63" t="s">
        <v>55</v>
      </c>
      <c r="U123" s="61" t="s">
        <v>55</v>
      </c>
      <c r="V123" s="61" t="s">
        <v>55</v>
      </c>
      <c r="W123" s="62" t="s">
        <v>55</v>
      </c>
      <c r="X123" s="65" t="s">
        <v>55</v>
      </c>
      <c r="Y123" s="66"/>
      <c r="Z123" s="67" t="s">
        <v>55</v>
      </c>
      <c r="AA123" s="67" t="s">
        <v>55</v>
      </c>
      <c r="AB123" s="67"/>
      <c r="AC123" s="67"/>
      <c r="AD123" s="67" t="s">
        <v>55</v>
      </c>
      <c r="AE123" s="68">
        <f t="shared" si="9"/>
        <v>0.157</v>
      </c>
      <c r="AF123" s="67" t="s">
        <v>55</v>
      </c>
      <c r="AG123" s="67" t="s">
        <v>55</v>
      </c>
      <c r="AH123" s="67" t="s">
        <v>55</v>
      </c>
      <c r="AI123" s="67" t="s">
        <v>55</v>
      </c>
      <c r="AJ123" s="69" t="s">
        <v>226</v>
      </c>
      <c r="AK123" s="67" t="s">
        <v>208</v>
      </c>
      <c r="AL123" s="70"/>
      <c r="AM123" s="71"/>
      <c r="AN123" s="71"/>
      <c r="AO123" s="72"/>
      <c r="AP123" s="72"/>
      <c r="AQ123" s="72"/>
      <c r="AR123" s="72"/>
    </row>
    <row r="124" spans="2:44" ht="42.75" x14ac:dyDescent="0.25">
      <c r="B124" s="58" t="s">
        <v>381</v>
      </c>
      <c r="C124" s="59">
        <v>1</v>
      </c>
      <c r="D124" s="59" t="s">
        <v>382</v>
      </c>
      <c r="E124" s="59" t="s">
        <v>287</v>
      </c>
      <c r="F124" s="59" t="s">
        <v>331</v>
      </c>
      <c r="G124" s="77" t="e">
        <f>(IF(LEFT(B124)="П",ROUNDUP(SUMIF([2]ВО!S$1:S$65536,ХОВС!B124,[2]ВО!N$1:N$65536)*Kup,-1),IF(LEFT(B124)="В",ROUNDUP(SUM(SUMIF([2]ВО!T$1:T$65536,ХОВС!B124,[2]ВО!O$1:O$65536)*Kup,SUMIF([2]ВО!R$1:R$65536,ХОВС!B124,[2]ВО!M$1:M$65536)*Kup),-1),IF(LEFT(B124)="М",ROUNDUP(SUMIF([2]ВО!R$1:R$65536,ХОВС!B124,[2]ВО!M$1:M$65536)*Kup,-1)))))*1.1</f>
        <v>#VALUE!</v>
      </c>
      <c r="H124" s="59">
        <f>210+50</f>
        <v>260</v>
      </c>
      <c r="I124" s="59">
        <v>1461</v>
      </c>
      <c r="J124" s="59" t="s">
        <v>224</v>
      </c>
      <c r="K124" s="60">
        <v>0.3</v>
      </c>
      <c r="L124" s="59">
        <f t="shared" si="8"/>
        <v>1461</v>
      </c>
      <c r="M124" s="63" t="s">
        <v>55</v>
      </c>
      <c r="N124" s="63" t="s">
        <v>55</v>
      </c>
      <c r="O124" s="63" t="s">
        <v>55</v>
      </c>
      <c r="P124" s="63" t="s">
        <v>55</v>
      </c>
      <c r="Q124" s="62" t="s">
        <v>55</v>
      </c>
      <c r="R124" s="63" t="s">
        <v>55</v>
      </c>
      <c r="S124" s="63" t="s">
        <v>55</v>
      </c>
      <c r="T124" s="63" t="s">
        <v>55</v>
      </c>
      <c r="U124" s="61" t="s">
        <v>55</v>
      </c>
      <c r="V124" s="61" t="s">
        <v>55</v>
      </c>
      <c r="W124" s="62" t="s">
        <v>55</v>
      </c>
      <c r="X124" s="65" t="s">
        <v>55</v>
      </c>
      <c r="Y124" s="66"/>
      <c r="Z124" s="67" t="s">
        <v>55</v>
      </c>
      <c r="AA124" s="67" t="s">
        <v>55</v>
      </c>
      <c r="AB124" s="67"/>
      <c r="AC124" s="67"/>
      <c r="AD124" s="67" t="s">
        <v>55</v>
      </c>
      <c r="AE124" s="68">
        <f t="shared" si="9"/>
        <v>0.3</v>
      </c>
      <c r="AF124" s="67" t="s">
        <v>55</v>
      </c>
      <c r="AG124" s="67" t="s">
        <v>55</v>
      </c>
      <c r="AH124" s="67" t="s">
        <v>55</v>
      </c>
      <c r="AI124" s="67" t="s">
        <v>55</v>
      </c>
      <c r="AJ124" s="69" t="s">
        <v>207</v>
      </c>
      <c r="AK124" s="67" t="s">
        <v>208</v>
      </c>
      <c r="AL124" s="72"/>
      <c r="AM124" s="72"/>
      <c r="AN124" s="72"/>
      <c r="AO124" s="72"/>
      <c r="AP124" s="72"/>
      <c r="AQ124" s="72"/>
      <c r="AR124" s="72"/>
    </row>
    <row r="125" spans="2:44" ht="30" x14ac:dyDescent="0.25">
      <c r="B125" s="58" t="s">
        <v>383</v>
      </c>
      <c r="C125" s="59">
        <v>1</v>
      </c>
      <c r="D125" s="59" t="s">
        <v>384</v>
      </c>
      <c r="E125" s="59" t="s">
        <v>214</v>
      </c>
      <c r="F125" s="59" t="s">
        <v>215</v>
      </c>
      <c r="G125" s="77" t="e">
        <f>(IF(LEFT(B125)="П",ROUNDUP(SUMIF([2]ВО!S$1:S$65536,ХОВС!B125,[2]ВО!N$1:N$65536)*Kup,-1),IF(LEFT(B125)="В",ROUNDUP(SUM(SUMIF([2]ВО!T$1:T$65536,ХОВС!B125,[2]ВО!O$1:O$65536)*Kup,SUMIF([2]ВО!R$1:R$65536,ХОВС!B125,[2]ВО!M$1:M$65536)*Kup),-1),IF(LEFT(B125)="М",ROUNDUP(SUMIF([2]ВО!R$1:R$65536,ХОВС!B125,[2]ВО!M$1:M$65536)*Kup,-1)))))*1.1</f>
        <v>#VALUE!</v>
      </c>
      <c r="H125" s="59">
        <f>300+50</f>
        <v>350</v>
      </c>
      <c r="I125" s="59">
        <v>2450</v>
      </c>
      <c r="J125" s="59" t="s">
        <v>216</v>
      </c>
      <c r="K125" s="60">
        <v>0.06</v>
      </c>
      <c r="L125" s="59">
        <f t="shared" si="8"/>
        <v>2450</v>
      </c>
      <c r="M125" s="63" t="s">
        <v>55</v>
      </c>
      <c r="N125" s="63" t="s">
        <v>55</v>
      </c>
      <c r="O125" s="63" t="s">
        <v>55</v>
      </c>
      <c r="P125" s="63" t="s">
        <v>55</v>
      </c>
      <c r="Q125" s="62"/>
      <c r="R125" s="63" t="s">
        <v>55</v>
      </c>
      <c r="S125" s="63" t="s">
        <v>55</v>
      </c>
      <c r="T125" s="63" t="s">
        <v>55</v>
      </c>
      <c r="U125" s="61" t="s">
        <v>55</v>
      </c>
      <c r="V125" s="61" t="s">
        <v>55</v>
      </c>
      <c r="W125" s="62" t="s">
        <v>55</v>
      </c>
      <c r="X125" s="65" t="s">
        <v>55</v>
      </c>
      <c r="Y125" s="66"/>
      <c r="Z125" s="67" t="s">
        <v>55</v>
      </c>
      <c r="AA125" s="67" t="s">
        <v>55</v>
      </c>
      <c r="AB125" s="67"/>
      <c r="AC125" s="67"/>
      <c r="AD125" s="67" t="s">
        <v>55</v>
      </c>
      <c r="AE125" s="68">
        <f t="shared" si="9"/>
        <v>0.06</v>
      </c>
      <c r="AF125" s="67" t="s">
        <v>206</v>
      </c>
      <c r="AG125" s="67" t="s">
        <v>55</v>
      </c>
      <c r="AH125" s="67" t="s">
        <v>55</v>
      </c>
      <c r="AI125" s="67" t="s">
        <v>55</v>
      </c>
      <c r="AJ125" s="69" t="s">
        <v>226</v>
      </c>
      <c r="AK125" s="67" t="s">
        <v>208</v>
      </c>
      <c r="AL125" s="70"/>
      <c r="AM125" s="71"/>
      <c r="AN125" s="71"/>
      <c r="AO125" s="72"/>
      <c r="AP125" s="72"/>
      <c r="AQ125" s="72"/>
      <c r="AR125" s="72"/>
    </row>
    <row r="126" spans="2:44" ht="42.75" x14ac:dyDescent="0.25">
      <c r="B126" s="58" t="s">
        <v>385</v>
      </c>
      <c r="C126" s="59">
        <v>1</v>
      </c>
      <c r="D126" s="59" t="s">
        <v>240</v>
      </c>
      <c r="E126" s="59" t="s">
        <v>233</v>
      </c>
      <c r="F126" s="59" t="s">
        <v>234</v>
      </c>
      <c r="G126" s="77" t="e">
        <f>(IF(LEFT(B126)="П",ROUNDUP(SUMIF([2]ВО!S$1:S$65536,ХОВС!B126,[2]ВО!N$1:N$65536)*Kup,-1),IF(LEFT(B126)="В",ROUNDUP(SUM(SUMIF([2]ВО!T$1:T$65536,ХОВС!B126,[2]ВО!O$1:O$65536)*Kup,SUMIF([2]ВО!R$1:R$65536,ХОВС!B126,[2]ВО!M$1:M$65536)*Kup),-1),IF(LEFT(B126)="М",ROUNDUP(SUMIF([2]ВО!R$1:R$65536,ХОВС!B126,[2]ВО!M$1:M$65536)*Kup,-1)))))*1.1</f>
        <v>#VALUE!</v>
      </c>
      <c r="H126" s="59">
        <f>80+50</f>
        <v>130</v>
      </c>
      <c r="I126" s="59">
        <v>2550</v>
      </c>
      <c r="J126" s="59" t="s">
        <v>224</v>
      </c>
      <c r="K126" s="60">
        <v>0.94</v>
      </c>
      <c r="L126" s="59">
        <f t="shared" si="8"/>
        <v>2550</v>
      </c>
      <c r="M126" s="63" t="s">
        <v>55</v>
      </c>
      <c r="N126" s="63" t="s">
        <v>55</v>
      </c>
      <c r="O126" s="63" t="s">
        <v>55</v>
      </c>
      <c r="P126" s="63" t="s">
        <v>55</v>
      </c>
      <c r="Q126" s="62" t="s">
        <v>55</v>
      </c>
      <c r="R126" s="63" t="s">
        <v>55</v>
      </c>
      <c r="S126" s="63" t="s">
        <v>55</v>
      </c>
      <c r="T126" s="63" t="s">
        <v>55</v>
      </c>
      <c r="U126" s="61" t="s">
        <v>55</v>
      </c>
      <c r="V126" s="61" t="s">
        <v>55</v>
      </c>
      <c r="W126" s="62" t="s">
        <v>55</v>
      </c>
      <c r="X126" s="65" t="s">
        <v>55</v>
      </c>
      <c r="Y126" s="66"/>
      <c r="Z126" s="67" t="s">
        <v>55</v>
      </c>
      <c r="AA126" s="67" t="s">
        <v>55</v>
      </c>
      <c r="AB126" s="67"/>
      <c r="AC126" s="67"/>
      <c r="AD126" s="67" t="s">
        <v>55</v>
      </c>
      <c r="AE126" s="68">
        <f t="shared" si="9"/>
        <v>0.94</v>
      </c>
      <c r="AF126" s="67" t="s">
        <v>55</v>
      </c>
      <c r="AG126" s="67" t="s">
        <v>55</v>
      </c>
      <c r="AH126" s="67" t="s">
        <v>55</v>
      </c>
      <c r="AI126" s="67" t="s">
        <v>55</v>
      </c>
      <c r="AJ126" s="69" t="s">
        <v>226</v>
      </c>
      <c r="AK126" s="67" t="s">
        <v>208</v>
      </c>
      <c r="AL126" s="70"/>
      <c r="AM126" s="71"/>
      <c r="AN126" s="71"/>
      <c r="AO126" s="72"/>
      <c r="AP126" s="72"/>
      <c r="AQ126" s="72"/>
      <c r="AR126" s="72"/>
    </row>
    <row r="127" spans="2:44" ht="30" x14ac:dyDescent="0.25">
      <c r="B127" s="58" t="s">
        <v>386</v>
      </c>
      <c r="C127" s="59">
        <v>1</v>
      </c>
      <c r="D127" s="59" t="s">
        <v>387</v>
      </c>
      <c r="E127" s="59" t="s">
        <v>214</v>
      </c>
      <c r="F127" s="59" t="s">
        <v>388</v>
      </c>
      <c r="G127" s="77" t="e">
        <f>(IF(LEFT(B127)="П",ROUNDUP(SUMIF([2]ВО!S$1:S$65536,ХОВС!B127,[2]ВО!N$1:N$65536)*Kup,-1),IF(LEFT(B127)="В",ROUNDUP(SUM(SUMIF([2]ВО!T$1:T$65536,ХОВС!B127,[2]ВО!O$1:O$65536)*Kup,SUMIF([2]ВО!R$1:R$65536,ХОВС!B127,[2]ВО!M$1:M$65536)*Kup),-1),IF(LEFT(B127)="М",ROUNDUP(SUMIF([2]ВО!R$1:R$65536,ХОВС!B127,[2]ВО!M$1:M$65536)*Kup,-1)))))*1.1</f>
        <v>#VALUE!</v>
      </c>
      <c r="H127" s="59">
        <f>100+50</f>
        <v>150</v>
      </c>
      <c r="I127" s="59">
        <v>2450</v>
      </c>
      <c r="J127" s="59" t="s">
        <v>216</v>
      </c>
      <c r="K127" s="60">
        <v>7.0999999999999994E-2</v>
      </c>
      <c r="L127" s="59">
        <f t="shared" si="8"/>
        <v>2450</v>
      </c>
      <c r="M127" s="63" t="s">
        <v>55</v>
      </c>
      <c r="N127" s="63" t="s">
        <v>55</v>
      </c>
      <c r="O127" s="63" t="s">
        <v>55</v>
      </c>
      <c r="P127" s="63" t="s">
        <v>55</v>
      </c>
      <c r="Q127" s="62" t="s">
        <v>55</v>
      </c>
      <c r="R127" s="63" t="s">
        <v>55</v>
      </c>
      <c r="S127" s="63" t="s">
        <v>55</v>
      </c>
      <c r="T127" s="63" t="s">
        <v>55</v>
      </c>
      <c r="U127" s="61" t="s">
        <v>55</v>
      </c>
      <c r="V127" s="61" t="s">
        <v>55</v>
      </c>
      <c r="W127" s="62" t="s">
        <v>55</v>
      </c>
      <c r="X127" s="65" t="s">
        <v>55</v>
      </c>
      <c r="Y127" s="66"/>
      <c r="Z127" s="67" t="s">
        <v>55</v>
      </c>
      <c r="AA127" s="67" t="s">
        <v>55</v>
      </c>
      <c r="AB127" s="67"/>
      <c r="AC127" s="67"/>
      <c r="AD127" s="67" t="s">
        <v>55</v>
      </c>
      <c r="AE127" s="68">
        <f t="shared" si="9"/>
        <v>7.0999999999999994E-2</v>
      </c>
      <c r="AF127" s="67" t="s">
        <v>206</v>
      </c>
      <c r="AG127" s="67" t="s">
        <v>55</v>
      </c>
      <c r="AH127" s="67" t="s">
        <v>55</v>
      </c>
      <c r="AI127" s="67" t="s">
        <v>55</v>
      </c>
      <c r="AJ127" s="69" t="s">
        <v>322</v>
      </c>
      <c r="AK127" s="67" t="s">
        <v>208</v>
      </c>
      <c r="AL127" s="70"/>
      <c r="AM127" s="71"/>
      <c r="AN127" s="71"/>
      <c r="AO127" s="72"/>
      <c r="AP127" s="72"/>
      <c r="AQ127" s="72"/>
      <c r="AR127" s="72"/>
    </row>
    <row r="128" spans="2:44" ht="30" x14ac:dyDescent="0.25">
      <c r="B128" s="58" t="s">
        <v>389</v>
      </c>
      <c r="C128" s="59">
        <v>1</v>
      </c>
      <c r="D128" s="59" t="s">
        <v>229</v>
      </c>
      <c r="E128" s="59" t="s">
        <v>214</v>
      </c>
      <c r="F128" s="59" t="s">
        <v>288</v>
      </c>
      <c r="G128" s="77" t="e">
        <f>(IF(LEFT(B128)="П",ROUNDUP(SUMIF([2]ВО!S$1:S$65536,ХОВС!B128,[2]ВО!N$1:N$65536)*Kup,-1),IF(LEFT(B128)="В",ROUNDUP(SUM(SUMIF([2]ВО!T$1:T$65536,ХОВС!B128,[2]ВО!O$1:O$65536)*Kup,SUMIF([2]ВО!R$1:R$65536,ХОВС!B128,[2]ВО!M$1:M$65536)*Kup),-1),IF(LEFT(B128)="М",ROUNDUP(SUMIF([2]ВО!R$1:R$65536,ХОВС!B128,[2]ВО!M$1:M$65536)*Kup,-1)))))*1.1</f>
        <v>#VALUE!</v>
      </c>
      <c r="H128" s="59">
        <f>450+50</f>
        <v>500</v>
      </c>
      <c r="I128" s="59">
        <v>2600</v>
      </c>
      <c r="J128" s="59" t="s">
        <v>216</v>
      </c>
      <c r="K128" s="60">
        <v>0.11</v>
      </c>
      <c r="L128" s="59">
        <f t="shared" si="8"/>
        <v>2600</v>
      </c>
      <c r="M128" s="63" t="s">
        <v>55</v>
      </c>
      <c r="N128" s="63" t="s">
        <v>55</v>
      </c>
      <c r="O128" s="63" t="s">
        <v>55</v>
      </c>
      <c r="P128" s="63" t="s">
        <v>55</v>
      </c>
      <c r="Q128" s="62"/>
      <c r="R128" s="63" t="s">
        <v>55</v>
      </c>
      <c r="S128" s="63" t="s">
        <v>55</v>
      </c>
      <c r="T128" s="63" t="s">
        <v>55</v>
      </c>
      <c r="U128" s="61" t="s">
        <v>55</v>
      </c>
      <c r="V128" s="61" t="s">
        <v>55</v>
      </c>
      <c r="W128" s="62" t="s">
        <v>55</v>
      </c>
      <c r="X128" s="65" t="s">
        <v>55</v>
      </c>
      <c r="Y128" s="66"/>
      <c r="Z128" s="67" t="s">
        <v>55</v>
      </c>
      <c r="AA128" s="67" t="s">
        <v>55</v>
      </c>
      <c r="AB128" s="67"/>
      <c r="AC128" s="67"/>
      <c r="AD128" s="67" t="s">
        <v>55</v>
      </c>
      <c r="AE128" s="68">
        <f t="shared" si="9"/>
        <v>0.11</v>
      </c>
      <c r="AF128" s="67" t="s">
        <v>206</v>
      </c>
      <c r="AG128" s="67" t="s">
        <v>55</v>
      </c>
      <c r="AH128" s="67" t="s">
        <v>55</v>
      </c>
      <c r="AI128" s="67" t="s">
        <v>55</v>
      </c>
      <c r="AJ128" s="69" t="s">
        <v>226</v>
      </c>
      <c r="AK128" s="67" t="s">
        <v>208</v>
      </c>
      <c r="AL128" s="70"/>
      <c r="AM128" s="71"/>
      <c r="AN128" s="71"/>
      <c r="AO128" s="72"/>
      <c r="AP128" s="72"/>
      <c r="AQ128" s="72"/>
      <c r="AR128" s="72"/>
    </row>
    <row r="129" spans="1:44" ht="30" x14ac:dyDescent="0.25">
      <c r="B129" s="58" t="s">
        <v>390</v>
      </c>
      <c r="C129" s="59">
        <v>1</v>
      </c>
      <c r="D129" s="59" t="s">
        <v>387</v>
      </c>
      <c r="E129" s="59" t="s">
        <v>214</v>
      </c>
      <c r="F129" s="59" t="s">
        <v>215</v>
      </c>
      <c r="G129" s="77" t="e">
        <f>(IF(LEFT(B129)="П",ROUNDUP(SUMIF([2]ВО!S$1:S$65536,ХОВС!B129,[2]ВО!N$1:N$65536)*Kup,-1),IF(LEFT(B129)="В",ROUNDUP(SUM(SUMIF([2]ВО!T$1:T$65536,ХОВС!B129,[2]ВО!O$1:O$65536)*Kup,SUMIF([2]ВО!R$1:R$65536,ХОВС!B129,[2]ВО!M$1:M$65536)*Kup),-1),IF(LEFT(B129)="М",ROUNDUP(SUMIF([2]ВО!R$1:R$65536,ХОВС!B129,[2]ВО!M$1:M$65536)*Kup,-1)))))*1.1</f>
        <v>#VALUE!</v>
      </c>
      <c r="H129" s="59">
        <f>70+50</f>
        <v>120</v>
      </c>
      <c r="I129" s="59">
        <v>2450</v>
      </c>
      <c r="J129" s="59" t="s">
        <v>216</v>
      </c>
      <c r="K129" s="60">
        <v>0.06</v>
      </c>
      <c r="L129" s="59">
        <f t="shared" si="8"/>
        <v>2450</v>
      </c>
      <c r="M129" s="63" t="s">
        <v>55</v>
      </c>
      <c r="N129" s="63" t="s">
        <v>55</v>
      </c>
      <c r="O129" s="63" t="s">
        <v>55</v>
      </c>
      <c r="P129" s="63" t="s">
        <v>55</v>
      </c>
      <c r="Q129" s="62" t="s">
        <v>55</v>
      </c>
      <c r="R129" s="63" t="s">
        <v>55</v>
      </c>
      <c r="S129" s="63" t="s">
        <v>55</v>
      </c>
      <c r="T129" s="63" t="s">
        <v>55</v>
      </c>
      <c r="U129" s="61" t="s">
        <v>55</v>
      </c>
      <c r="V129" s="61" t="s">
        <v>55</v>
      </c>
      <c r="W129" s="62" t="s">
        <v>55</v>
      </c>
      <c r="X129" s="65" t="s">
        <v>55</v>
      </c>
      <c r="Y129" s="66"/>
      <c r="Z129" s="67" t="s">
        <v>55</v>
      </c>
      <c r="AA129" s="67" t="s">
        <v>55</v>
      </c>
      <c r="AB129" s="67"/>
      <c r="AC129" s="67"/>
      <c r="AD129" s="67" t="s">
        <v>55</v>
      </c>
      <c r="AE129" s="68">
        <f t="shared" si="9"/>
        <v>0.06</v>
      </c>
      <c r="AF129" s="67" t="s">
        <v>206</v>
      </c>
      <c r="AG129" s="67" t="s">
        <v>55</v>
      </c>
      <c r="AH129" s="67" t="s">
        <v>55</v>
      </c>
      <c r="AI129" s="67" t="s">
        <v>55</v>
      </c>
      <c r="AJ129" s="69" t="s">
        <v>332</v>
      </c>
      <c r="AK129" s="67" t="s">
        <v>208</v>
      </c>
      <c r="AL129" s="70"/>
      <c r="AM129" s="71"/>
      <c r="AN129" s="71"/>
      <c r="AO129" s="72"/>
      <c r="AP129" s="72"/>
      <c r="AQ129" s="72"/>
      <c r="AR129" s="72"/>
    </row>
    <row r="130" spans="1:44" ht="30" x14ac:dyDescent="0.25">
      <c r="B130" s="58" t="s">
        <v>391</v>
      </c>
      <c r="C130" s="59">
        <v>1</v>
      </c>
      <c r="D130" s="59" t="s">
        <v>392</v>
      </c>
      <c r="E130" s="59" t="s">
        <v>214</v>
      </c>
      <c r="F130" s="59" t="s">
        <v>288</v>
      </c>
      <c r="G130" s="77" t="e">
        <f>(IF(LEFT(B130)="П",ROUNDUP(SUMIF([2]ВО!S$1:S$65536,ХОВС!B130,[2]ВО!N$1:N$65536)*Kup,-1),IF(LEFT(B130)="В",ROUNDUP(SUM(SUMIF([2]ВО!T$1:T$65536,ХОВС!B130,[2]ВО!O$1:O$65536)*Kup,SUMIF([2]ВО!R$1:R$65536,ХОВС!B130,[2]ВО!M$1:M$65536)*Kup),-1),IF(LEFT(B130)="М",ROUNDUP(SUMIF([2]ВО!R$1:R$65536,ХОВС!B130,[2]ВО!M$1:M$65536)*Kup,-1)))))*1.1</f>
        <v>#VALUE!</v>
      </c>
      <c r="H130" s="59">
        <f>170+50</f>
        <v>220</v>
      </c>
      <c r="I130" s="59">
        <v>2450</v>
      </c>
      <c r="J130" s="59" t="s">
        <v>216</v>
      </c>
      <c r="K130" s="60">
        <v>0.11</v>
      </c>
      <c r="L130" s="59">
        <f t="shared" si="8"/>
        <v>2450</v>
      </c>
      <c r="M130" s="63" t="s">
        <v>55</v>
      </c>
      <c r="N130" s="63" t="s">
        <v>55</v>
      </c>
      <c r="O130" s="63" t="s">
        <v>55</v>
      </c>
      <c r="P130" s="63" t="s">
        <v>55</v>
      </c>
      <c r="Q130" s="62" t="s">
        <v>55</v>
      </c>
      <c r="R130" s="63" t="s">
        <v>55</v>
      </c>
      <c r="S130" s="63" t="s">
        <v>55</v>
      </c>
      <c r="T130" s="63" t="s">
        <v>55</v>
      </c>
      <c r="U130" s="61" t="s">
        <v>55</v>
      </c>
      <c r="V130" s="61" t="s">
        <v>55</v>
      </c>
      <c r="W130" s="62" t="s">
        <v>55</v>
      </c>
      <c r="X130" s="65" t="s">
        <v>55</v>
      </c>
      <c r="Y130" s="66"/>
      <c r="Z130" s="67" t="s">
        <v>55</v>
      </c>
      <c r="AA130" s="67" t="s">
        <v>55</v>
      </c>
      <c r="AB130" s="67"/>
      <c r="AC130" s="67"/>
      <c r="AD130" s="67" t="s">
        <v>55</v>
      </c>
      <c r="AE130" s="68">
        <f>K130*C130</f>
        <v>0.11</v>
      </c>
      <c r="AF130" s="67" t="s">
        <v>206</v>
      </c>
      <c r="AG130" s="67" t="s">
        <v>55</v>
      </c>
      <c r="AH130" s="67" t="s">
        <v>55</v>
      </c>
      <c r="AI130" s="67" t="s">
        <v>55</v>
      </c>
      <c r="AJ130" s="69" t="s">
        <v>332</v>
      </c>
      <c r="AK130" s="67" t="s">
        <v>208</v>
      </c>
      <c r="AL130" s="70"/>
      <c r="AM130" s="71"/>
      <c r="AN130" s="71"/>
      <c r="AO130" s="72"/>
      <c r="AP130" s="72"/>
      <c r="AQ130" s="72"/>
      <c r="AR130" s="72"/>
    </row>
    <row r="131" spans="1:44" ht="42.75" x14ac:dyDescent="0.25">
      <c r="B131" s="58" t="s">
        <v>393</v>
      </c>
      <c r="C131" s="59">
        <v>1</v>
      </c>
      <c r="D131" s="59" t="s">
        <v>394</v>
      </c>
      <c r="E131" s="59" t="s">
        <v>214</v>
      </c>
      <c r="F131" s="59" t="s">
        <v>215</v>
      </c>
      <c r="G131" s="77" t="e">
        <f>(IF(LEFT(B131)="П",ROUNDUP(SUMIF([2]ВО!S$1:S$65536,ХОВС!B131,[2]ВО!N$1:N$65536)*Kup,-1),IF(LEFT(B131)="В",ROUNDUP(SUM(SUMIF([2]ВО!T$1:T$65536,ХОВС!B131,[2]ВО!O$1:O$65536)*Kup,SUMIF([2]ВО!R$1:R$65536,ХОВС!B131,[2]ВО!M$1:M$65536)*Kup),-1),IF(LEFT(B131)="М",ROUNDUP(SUMIF([2]ВО!R$1:R$65536,ХОВС!B131,[2]ВО!M$1:M$65536)*Kup,-1)))))*1.1</f>
        <v>#VALUE!</v>
      </c>
      <c r="H131" s="59">
        <v>400</v>
      </c>
      <c r="I131" s="59">
        <v>2450</v>
      </c>
      <c r="J131" s="59" t="s">
        <v>216</v>
      </c>
      <c r="K131" s="60">
        <v>0.06</v>
      </c>
      <c r="L131" s="59">
        <f t="shared" si="8"/>
        <v>2450</v>
      </c>
      <c r="M131" s="63" t="s">
        <v>55</v>
      </c>
      <c r="N131" s="63" t="s">
        <v>55</v>
      </c>
      <c r="O131" s="63" t="s">
        <v>55</v>
      </c>
      <c r="P131" s="63" t="s">
        <v>55</v>
      </c>
      <c r="Q131" s="62" t="s">
        <v>55</v>
      </c>
      <c r="R131" s="63" t="s">
        <v>55</v>
      </c>
      <c r="S131" s="63" t="s">
        <v>55</v>
      </c>
      <c r="T131" s="63" t="s">
        <v>55</v>
      </c>
      <c r="U131" s="61" t="s">
        <v>55</v>
      </c>
      <c r="V131" s="61" t="s">
        <v>55</v>
      </c>
      <c r="W131" s="62" t="s">
        <v>55</v>
      </c>
      <c r="X131" s="65" t="s">
        <v>55</v>
      </c>
      <c r="Y131" s="66"/>
      <c r="Z131" s="67" t="s">
        <v>55</v>
      </c>
      <c r="AA131" s="67" t="s">
        <v>55</v>
      </c>
      <c r="AB131" s="67"/>
      <c r="AC131" s="67"/>
      <c r="AD131" s="67" t="s">
        <v>55</v>
      </c>
      <c r="AE131" s="68">
        <f t="shared" si="9"/>
        <v>0.06</v>
      </c>
      <c r="AF131" s="67" t="s">
        <v>206</v>
      </c>
      <c r="AG131" s="67" t="s">
        <v>55</v>
      </c>
      <c r="AH131" s="67" t="s">
        <v>55</v>
      </c>
      <c r="AI131" s="67" t="s">
        <v>55</v>
      </c>
      <c r="AJ131" s="69" t="s">
        <v>332</v>
      </c>
      <c r="AK131" s="67" t="s">
        <v>208</v>
      </c>
      <c r="AL131" s="70"/>
      <c r="AM131" s="71"/>
      <c r="AN131" s="71"/>
      <c r="AO131" s="72"/>
      <c r="AP131" s="72"/>
      <c r="AQ131" s="72"/>
      <c r="AR131" s="72"/>
    </row>
    <row r="132" spans="1:44" ht="30" x14ac:dyDescent="0.25">
      <c r="B132" s="58" t="s">
        <v>395</v>
      </c>
      <c r="C132" s="59">
        <v>1</v>
      </c>
      <c r="D132" s="59" t="s">
        <v>54</v>
      </c>
      <c r="E132" s="59" t="s">
        <v>214</v>
      </c>
      <c r="F132" s="59" t="s">
        <v>215</v>
      </c>
      <c r="G132" s="77" t="e">
        <f>(IF(LEFT(B132)="П",ROUNDUP(SUMIF([2]ВО!S$1:S$65536,ХОВС!B132,[2]ВО!N$1:N$65536)*Kup,-1),IF(LEFT(B132)="В",ROUNDUP(SUM(SUMIF([2]ВО!T$1:T$65536,ХОВС!B132,[2]ВО!O$1:O$65536)*Kup,SUMIF([2]ВО!R$1:R$65536,ХОВС!B132,[2]ВО!M$1:M$65536)*Kup),-1),IF(LEFT(B132)="М",ROUNDUP(SUMIF([2]ВО!R$1:R$65536,ХОВС!B132,[2]ВО!M$1:M$65536)*Kup,-1)))))*1.1</f>
        <v>#VALUE!</v>
      </c>
      <c r="H132" s="59">
        <f>80+50</f>
        <v>130</v>
      </c>
      <c r="I132" s="59">
        <v>2450</v>
      </c>
      <c r="J132" s="59" t="s">
        <v>216</v>
      </c>
      <c r="K132" s="60">
        <v>0.06</v>
      </c>
      <c r="L132" s="59">
        <f t="shared" si="8"/>
        <v>2450</v>
      </c>
      <c r="M132" s="63" t="s">
        <v>55</v>
      </c>
      <c r="N132" s="63" t="s">
        <v>55</v>
      </c>
      <c r="O132" s="63" t="s">
        <v>55</v>
      </c>
      <c r="P132" s="63" t="s">
        <v>55</v>
      </c>
      <c r="Q132" s="62" t="s">
        <v>55</v>
      </c>
      <c r="R132" s="63" t="s">
        <v>55</v>
      </c>
      <c r="S132" s="63" t="s">
        <v>55</v>
      </c>
      <c r="T132" s="63" t="s">
        <v>55</v>
      </c>
      <c r="U132" s="61" t="s">
        <v>55</v>
      </c>
      <c r="V132" s="61" t="s">
        <v>55</v>
      </c>
      <c r="W132" s="62" t="s">
        <v>55</v>
      </c>
      <c r="X132" s="65" t="s">
        <v>55</v>
      </c>
      <c r="Y132" s="66"/>
      <c r="Z132" s="67" t="s">
        <v>55</v>
      </c>
      <c r="AA132" s="67" t="s">
        <v>55</v>
      </c>
      <c r="AB132" s="67"/>
      <c r="AC132" s="67"/>
      <c r="AD132" s="67" t="s">
        <v>55</v>
      </c>
      <c r="AE132" s="68">
        <f t="shared" si="9"/>
        <v>0.06</v>
      </c>
      <c r="AF132" s="67" t="s">
        <v>206</v>
      </c>
      <c r="AG132" s="67" t="s">
        <v>55</v>
      </c>
      <c r="AH132" s="67" t="s">
        <v>55</v>
      </c>
      <c r="AI132" s="67" t="s">
        <v>55</v>
      </c>
      <c r="AJ132" s="69" t="s">
        <v>322</v>
      </c>
      <c r="AK132" s="67" t="s">
        <v>208</v>
      </c>
      <c r="AL132" s="70"/>
      <c r="AM132" s="71"/>
      <c r="AN132" s="71"/>
      <c r="AO132" s="72"/>
      <c r="AP132" s="72"/>
      <c r="AQ132" s="72"/>
      <c r="AR132" s="72"/>
    </row>
    <row r="133" spans="1:44" ht="30" x14ac:dyDescent="0.25">
      <c r="B133" s="58" t="s">
        <v>396</v>
      </c>
      <c r="C133" s="59">
        <v>1</v>
      </c>
      <c r="D133" s="59" t="s">
        <v>380</v>
      </c>
      <c r="E133" s="59" t="s">
        <v>214</v>
      </c>
      <c r="F133" s="59" t="s">
        <v>230</v>
      </c>
      <c r="G133" s="77" t="e">
        <f>(IF(LEFT(B133)="П",ROUNDUP(SUMIF([2]ВО!S$1:S$65536,ХОВС!B133,[2]ВО!N$1:N$65536)*Kup,-1),IF(LEFT(B133)="В",ROUNDUP(SUM(SUMIF([2]ВО!T$1:T$65536,ХОВС!B133,[2]ВО!O$1:O$65536)*Kup,SUMIF([2]ВО!R$1:R$65536,ХОВС!B133,[2]ВО!M$1:M$65536)*Kup),-1),IF(LEFT(B133)="М",ROUNDUP(SUMIF([2]ВО!R$1:R$65536,ХОВС!B133,[2]ВО!M$1:M$65536)*Kup,-1)))))*1.1</f>
        <v>#VALUE!</v>
      </c>
      <c r="H133" s="59">
        <f>250+50</f>
        <v>300</v>
      </c>
      <c r="I133" s="59">
        <v>2600</v>
      </c>
      <c r="J133" s="59" t="s">
        <v>216</v>
      </c>
      <c r="K133" s="60">
        <v>0.157</v>
      </c>
      <c r="L133" s="59">
        <f t="shared" si="8"/>
        <v>2600</v>
      </c>
      <c r="M133" s="63" t="s">
        <v>55</v>
      </c>
      <c r="N133" s="63" t="s">
        <v>55</v>
      </c>
      <c r="O133" s="63" t="s">
        <v>55</v>
      </c>
      <c r="P133" s="63" t="s">
        <v>55</v>
      </c>
      <c r="Q133" s="62"/>
      <c r="R133" s="63" t="s">
        <v>55</v>
      </c>
      <c r="S133" s="63" t="s">
        <v>55</v>
      </c>
      <c r="T133" s="63" t="s">
        <v>55</v>
      </c>
      <c r="U133" s="61" t="s">
        <v>55</v>
      </c>
      <c r="V133" s="61" t="s">
        <v>55</v>
      </c>
      <c r="W133" s="62" t="s">
        <v>55</v>
      </c>
      <c r="X133" s="65" t="s">
        <v>55</v>
      </c>
      <c r="Y133" s="66"/>
      <c r="Z133" s="67" t="s">
        <v>55</v>
      </c>
      <c r="AA133" s="67" t="s">
        <v>55</v>
      </c>
      <c r="AB133" s="67"/>
      <c r="AC133" s="67"/>
      <c r="AD133" s="67" t="s">
        <v>55</v>
      </c>
      <c r="AE133" s="68">
        <f t="shared" si="9"/>
        <v>0.157</v>
      </c>
      <c r="AF133" s="67" t="s">
        <v>206</v>
      </c>
      <c r="AG133" s="67" t="s">
        <v>55</v>
      </c>
      <c r="AH133" s="67" t="s">
        <v>55</v>
      </c>
      <c r="AI133" s="67" t="s">
        <v>55</v>
      </c>
      <c r="AJ133" s="69" t="s">
        <v>226</v>
      </c>
      <c r="AK133" s="67" t="s">
        <v>208</v>
      </c>
      <c r="AL133" s="70"/>
      <c r="AM133" s="71"/>
      <c r="AN133" s="71"/>
      <c r="AO133" s="72"/>
      <c r="AP133" s="72"/>
      <c r="AQ133" s="72"/>
      <c r="AR133" s="72"/>
    </row>
    <row r="134" spans="1:44" ht="30" x14ac:dyDescent="0.25">
      <c r="B134" s="58" t="s">
        <v>397</v>
      </c>
      <c r="C134" s="59">
        <v>1</v>
      </c>
      <c r="D134" s="59" t="s">
        <v>370</v>
      </c>
      <c r="E134" s="59" t="s">
        <v>214</v>
      </c>
      <c r="F134" s="59" t="s">
        <v>288</v>
      </c>
      <c r="G134" s="77" t="e">
        <f>(IF(LEFT(B134)="П",ROUNDUP(SUMIF([2]ВО!S$1:S$65536,ХОВС!B134,[2]ВО!N$1:N$65536)*Kup,-1),IF(LEFT(B134)="В",ROUNDUP(SUM(SUMIF([2]ВО!T$1:T$65536,ХОВС!B134,[2]ВО!O$1:O$65536)*Kup,SUMIF([2]ВО!R$1:R$65536,ХОВС!B134,[2]ВО!M$1:M$65536)*Kup),-1),IF(LEFT(B134)="М",ROUNDUP(SUMIF([2]ВО!R$1:R$65536,ХОВС!B134,[2]ВО!M$1:M$65536)*Kup,-1)))))*1.1</f>
        <v>#VALUE!</v>
      </c>
      <c r="H134" s="59">
        <f>200+50</f>
        <v>250</v>
      </c>
      <c r="I134" s="59">
        <v>2450</v>
      </c>
      <c r="J134" s="59" t="s">
        <v>216</v>
      </c>
      <c r="K134" s="60">
        <v>0.11</v>
      </c>
      <c r="L134" s="59">
        <f t="shared" si="8"/>
        <v>2450</v>
      </c>
      <c r="M134" s="63" t="s">
        <v>55</v>
      </c>
      <c r="N134" s="63" t="s">
        <v>55</v>
      </c>
      <c r="O134" s="63" t="s">
        <v>55</v>
      </c>
      <c r="P134" s="63" t="s">
        <v>55</v>
      </c>
      <c r="Q134" s="62" t="s">
        <v>55</v>
      </c>
      <c r="R134" s="63" t="s">
        <v>55</v>
      </c>
      <c r="S134" s="63" t="s">
        <v>55</v>
      </c>
      <c r="T134" s="63" t="s">
        <v>55</v>
      </c>
      <c r="U134" s="61" t="s">
        <v>55</v>
      </c>
      <c r="V134" s="61" t="s">
        <v>55</v>
      </c>
      <c r="W134" s="62" t="s">
        <v>55</v>
      </c>
      <c r="X134" s="65" t="s">
        <v>55</v>
      </c>
      <c r="Y134" s="66"/>
      <c r="Z134" s="67" t="s">
        <v>55</v>
      </c>
      <c r="AA134" s="67" t="s">
        <v>55</v>
      </c>
      <c r="AB134" s="67"/>
      <c r="AC134" s="67"/>
      <c r="AD134" s="67" t="s">
        <v>55</v>
      </c>
      <c r="AE134" s="68">
        <f>K134*C134</f>
        <v>0.11</v>
      </c>
      <c r="AF134" s="67" t="s">
        <v>55</v>
      </c>
      <c r="AG134" s="67" t="s">
        <v>55</v>
      </c>
      <c r="AH134" s="67" t="s">
        <v>55</v>
      </c>
      <c r="AI134" s="67" t="s">
        <v>55</v>
      </c>
      <c r="AJ134" s="69" t="s">
        <v>226</v>
      </c>
      <c r="AK134" s="67" t="s">
        <v>208</v>
      </c>
      <c r="AL134" s="70"/>
      <c r="AM134" s="71"/>
      <c r="AN134" s="71"/>
      <c r="AO134" s="72"/>
      <c r="AP134" s="72"/>
      <c r="AQ134" s="72"/>
      <c r="AR134" s="72"/>
    </row>
    <row r="135" spans="1:44" ht="30" x14ac:dyDescent="0.25">
      <c r="B135" s="58" t="s">
        <v>398</v>
      </c>
      <c r="C135" s="59">
        <v>1</v>
      </c>
      <c r="D135" s="59" t="s">
        <v>387</v>
      </c>
      <c r="E135" s="59" t="s">
        <v>214</v>
      </c>
      <c r="F135" s="59" t="s">
        <v>215</v>
      </c>
      <c r="G135" s="77" t="e">
        <f>(IF(LEFT(B135)="П",ROUNDUP(SUMIF([2]ВО!S$1:S$65536,ХОВС!B135,[2]ВО!N$1:N$65536)*Kup,-1),IF(LEFT(B135)="В",ROUNDUP(SUM(SUMIF([2]ВО!T$1:T$65536,ХОВС!B135,[2]ВО!O$1:O$65536)*Kup,SUMIF([2]ВО!R$1:R$65536,ХОВС!B135,[2]ВО!M$1:M$65536)*Kup),-1),IF(LEFT(B135)="М",ROUNDUP(SUMIF([2]ВО!R$1:R$65536,ХОВС!B135,[2]ВО!M$1:M$65536)*Kup,-1)))))*1.1</f>
        <v>#VALUE!</v>
      </c>
      <c r="H135" s="59">
        <f>50+50</f>
        <v>100</v>
      </c>
      <c r="I135" s="59">
        <v>2450</v>
      </c>
      <c r="J135" s="59" t="s">
        <v>216</v>
      </c>
      <c r="K135" s="60">
        <v>0.06</v>
      </c>
      <c r="L135" s="59">
        <f t="shared" si="8"/>
        <v>2450</v>
      </c>
      <c r="M135" s="63" t="s">
        <v>55</v>
      </c>
      <c r="N135" s="63" t="s">
        <v>55</v>
      </c>
      <c r="O135" s="63" t="s">
        <v>55</v>
      </c>
      <c r="P135" s="63" t="s">
        <v>55</v>
      </c>
      <c r="Q135" s="62" t="s">
        <v>55</v>
      </c>
      <c r="R135" s="63" t="s">
        <v>55</v>
      </c>
      <c r="S135" s="63" t="s">
        <v>55</v>
      </c>
      <c r="T135" s="63" t="s">
        <v>55</v>
      </c>
      <c r="U135" s="61" t="s">
        <v>55</v>
      </c>
      <c r="V135" s="61" t="s">
        <v>55</v>
      </c>
      <c r="W135" s="62" t="s">
        <v>55</v>
      </c>
      <c r="X135" s="65" t="s">
        <v>55</v>
      </c>
      <c r="Y135" s="66"/>
      <c r="Z135" s="67" t="s">
        <v>55</v>
      </c>
      <c r="AA135" s="67" t="s">
        <v>55</v>
      </c>
      <c r="AB135" s="67"/>
      <c r="AC135" s="67"/>
      <c r="AD135" s="67" t="s">
        <v>55</v>
      </c>
      <c r="AE135" s="68">
        <f t="shared" si="9"/>
        <v>0.06</v>
      </c>
      <c r="AF135" s="67" t="s">
        <v>55</v>
      </c>
      <c r="AG135" s="67" t="s">
        <v>55</v>
      </c>
      <c r="AH135" s="67" t="s">
        <v>55</v>
      </c>
      <c r="AI135" s="67" t="s">
        <v>55</v>
      </c>
      <c r="AJ135" s="69" t="s">
        <v>226</v>
      </c>
      <c r="AK135" s="67" t="s">
        <v>208</v>
      </c>
      <c r="AL135" s="70"/>
      <c r="AM135" s="71"/>
      <c r="AN135" s="71"/>
      <c r="AO135" s="72"/>
      <c r="AP135" s="72"/>
      <c r="AQ135" s="72"/>
      <c r="AR135" s="72"/>
    </row>
    <row r="136" spans="1:44" s="29" customFormat="1" ht="42.75" x14ac:dyDescent="0.25">
      <c r="A136" s="5"/>
      <c r="B136" s="58" t="s">
        <v>399</v>
      </c>
      <c r="C136" s="59">
        <v>1</v>
      </c>
      <c r="D136" s="59" t="s">
        <v>258</v>
      </c>
      <c r="E136" s="59" t="s">
        <v>214</v>
      </c>
      <c r="F136" s="59" t="s">
        <v>230</v>
      </c>
      <c r="G136" s="77" t="e">
        <f>(IF(LEFT(B136)="П",ROUNDUP(SUMIF([2]ВО!S$1:S$65536,ХОВС!B136,[2]ВО!N$1:N$65536)*Kup,-1),IF(LEFT(B136)="В",ROUNDUP(SUM(SUMIF([2]ВО!T$1:T$65536,ХОВС!B136,[2]ВО!O$1:O$65536)*Kup,SUMIF([2]ВО!R$1:R$65536,ХОВС!B136,[2]ВО!M$1:M$65536)*Kup),-1),IF(LEFT(B136)="М",ROUNDUP(SUMIF([2]ВО!R$1:R$65536,ХОВС!B136,[2]ВО!M$1:M$65536)*Kup,-1)))))*1.1</f>
        <v>#VALUE!</v>
      </c>
      <c r="H136" s="59">
        <f>150+50</f>
        <v>200</v>
      </c>
      <c r="I136" s="59">
        <v>930</v>
      </c>
      <c r="J136" s="59" t="s">
        <v>216</v>
      </c>
      <c r="K136" s="60">
        <v>0.157</v>
      </c>
      <c r="L136" s="59">
        <f t="shared" si="8"/>
        <v>930</v>
      </c>
      <c r="M136" s="63" t="s">
        <v>55</v>
      </c>
      <c r="N136" s="63" t="s">
        <v>55</v>
      </c>
      <c r="O136" s="63" t="s">
        <v>55</v>
      </c>
      <c r="P136" s="63" t="s">
        <v>55</v>
      </c>
      <c r="Q136" s="62" t="s">
        <v>55</v>
      </c>
      <c r="R136" s="63" t="s">
        <v>55</v>
      </c>
      <c r="S136" s="63" t="s">
        <v>55</v>
      </c>
      <c r="T136" s="63" t="s">
        <v>55</v>
      </c>
      <c r="U136" s="61" t="s">
        <v>55</v>
      </c>
      <c r="V136" s="61" t="s">
        <v>55</v>
      </c>
      <c r="W136" s="62" t="s">
        <v>55</v>
      </c>
      <c r="X136" s="65" t="s">
        <v>55</v>
      </c>
      <c r="Y136" s="66"/>
      <c r="Z136" s="67" t="s">
        <v>55</v>
      </c>
      <c r="AA136" s="67" t="s">
        <v>55</v>
      </c>
      <c r="AB136" s="67"/>
      <c r="AC136" s="67"/>
      <c r="AD136" s="67" t="s">
        <v>55</v>
      </c>
      <c r="AE136" s="68">
        <f t="shared" si="9"/>
        <v>0.157</v>
      </c>
      <c r="AF136" s="67" t="s">
        <v>55</v>
      </c>
      <c r="AG136" s="67" t="s">
        <v>55</v>
      </c>
      <c r="AH136" s="67" t="s">
        <v>55</v>
      </c>
      <c r="AI136" s="67" t="s">
        <v>55</v>
      </c>
      <c r="AJ136" s="69" t="s">
        <v>226</v>
      </c>
      <c r="AK136" s="67" t="s">
        <v>208</v>
      </c>
      <c r="AL136" s="70"/>
      <c r="AM136" s="71"/>
      <c r="AN136" s="71"/>
      <c r="AO136" s="72"/>
      <c r="AP136" s="72"/>
      <c r="AQ136" s="72"/>
      <c r="AR136" s="72"/>
    </row>
    <row r="137" spans="1:44" ht="28.5" x14ac:dyDescent="0.25">
      <c r="B137" s="58" t="s">
        <v>400</v>
      </c>
      <c r="C137" s="59">
        <v>1</v>
      </c>
      <c r="D137" s="59" t="s">
        <v>347</v>
      </c>
      <c r="E137" s="59" t="s">
        <v>214</v>
      </c>
      <c r="F137" s="59" t="s">
        <v>215</v>
      </c>
      <c r="G137" s="77" t="e">
        <f>(IF(LEFT(B137)="П",ROUNDUP(SUMIF([2]ВО!S$1:S$65536,ХОВС!B137,[2]ВО!N$1:N$65536)*Kup,-1),IF(LEFT(B137)="В",ROUNDUP(SUM(SUMIF([2]ВО!T$1:T$65536,ХОВС!B137,[2]ВО!O$1:O$65536)*Kup,SUMIF([2]ВО!R$1:R$65536,ХОВС!B137,[2]ВО!M$1:M$65536)*Kup),-1),IF(LEFT(B137)="М",ROUNDUP(SUMIF([2]ВО!R$1:R$65536,ХОВС!B137,[2]ВО!M$1:M$65536)*Kup,-1)))))*1.1</f>
        <v>#VALUE!</v>
      </c>
      <c r="H137" s="59">
        <f>100+100</f>
        <v>200</v>
      </c>
      <c r="I137" s="59">
        <v>2550</v>
      </c>
      <c r="J137" s="59" t="s">
        <v>216</v>
      </c>
      <c r="K137" s="60">
        <v>0.06</v>
      </c>
      <c r="L137" s="59">
        <f t="shared" si="8"/>
        <v>2550</v>
      </c>
      <c r="M137" s="63" t="s">
        <v>55</v>
      </c>
      <c r="N137" s="63" t="s">
        <v>55</v>
      </c>
      <c r="O137" s="63" t="s">
        <v>55</v>
      </c>
      <c r="P137" s="63" t="s">
        <v>55</v>
      </c>
      <c r="Q137" s="62" t="s">
        <v>55</v>
      </c>
      <c r="R137" s="63" t="s">
        <v>55</v>
      </c>
      <c r="S137" s="63" t="s">
        <v>55</v>
      </c>
      <c r="T137" s="63" t="s">
        <v>55</v>
      </c>
      <c r="U137" s="61" t="s">
        <v>55</v>
      </c>
      <c r="V137" s="61" t="s">
        <v>55</v>
      </c>
      <c r="W137" s="62" t="s">
        <v>55</v>
      </c>
      <c r="X137" s="65" t="s">
        <v>55</v>
      </c>
      <c r="Y137" s="66"/>
      <c r="Z137" s="67" t="s">
        <v>55</v>
      </c>
      <c r="AA137" s="67" t="s">
        <v>55</v>
      </c>
      <c r="AB137" s="67"/>
      <c r="AC137" s="67"/>
      <c r="AD137" s="67" t="s">
        <v>55</v>
      </c>
      <c r="AE137" s="68">
        <f t="shared" si="9"/>
        <v>0.06</v>
      </c>
      <c r="AF137" s="67" t="s">
        <v>55</v>
      </c>
      <c r="AG137" s="67" t="s">
        <v>55</v>
      </c>
      <c r="AH137" s="67" t="s">
        <v>55</v>
      </c>
      <c r="AI137" s="67" t="s">
        <v>55</v>
      </c>
      <c r="AJ137" s="69" t="s">
        <v>207</v>
      </c>
      <c r="AK137" s="67" t="s">
        <v>208</v>
      </c>
      <c r="AL137" s="72"/>
      <c r="AM137" s="72"/>
      <c r="AN137" s="72"/>
      <c r="AO137" s="72"/>
      <c r="AP137" s="72"/>
      <c r="AQ137" s="72"/>
      <c r="AR137" s="72"/>
    </row>
    <row r="138" spans="1:44" ht="42.75" x14ac:dyDescent="0.25">
      <c r="B138" s="58" t="s">
        <v>401</v>
      </c>
      <c r="C138" s="59">
        <v>1</v>
      </c>
      <c r="D138" s="59" t="s">
        <v>402</v>
      </c>
      <c r="E138" s="59" t="s">
        <v>214</v>
      </c>
      <c r="F138" s="59" t="s">
        <v>288</v>
      </c>
      <c r="G138" s="77" t="e">
        <f>(IF(LEFT(B138)="П",ROUNDUP(SUMIF([2]ВО!S$1:S$65536,ХОВС!B138,[2]ВО!N$1:N$65536)*Kup,-1),IF(LEFT(B138)="В",ROUNDUP(SUM(SUMIF([2]ВО!T$1:T$65536,ХОВС!B138,[2]ВО!O$1:O$65536)*Kup,SUMIF([2]ВО!R$1:R$65536,ХОВС!B138,[2]ВО!M$1:M$65536)*Kup),-1),IF(LEFT(B138)="М",ROUNDUP(SUMIF([2]ВО!R$1:R$65536,ХОВС!B138,[2]ВО!M$1:M$65536)*Kup,-1)))))*1.1</f>
        <v>#VALUE!</v>
      </c>
      <c r="H138" s="59">
        <f>160+50</f>
        <v>210</v>
      </c>
      <c r="I138" s="59">
        <v>2550</v>
      </c>
      <c r="J138" s="59" t="s">
        <v>216</v>
      </c>
      <c r="K138" s="60">
        <v>0.11</v>
      </c>
      <c r="L138" s="59">
        <f t="shared" si="8"/>
        <v>2550</v>
      </c>
      <c r="M138" s="63" t="s">
        <v>55</v>
      </c>
      <c r="N138" s="63" t="s">
        <v>55</v>
      </c>
      <c r="O138" s="63" t="s">
        <v>55</v>
      </c>
      <c r="P138" s="63" t="s">
        <v>55</v>
      </c>
      <c r="Q138" s="62" t="s">
        <v>55</v>
      </c>
      <c r="R138" s="63" t="s">
        <v>55</v>
      </c>
      <c r="S138" s="63" t="s">
        <v>55</v>
      </c>
      <c r="T138" s="63" t="s">
        <v>55</v>
      </c>
      <c r="U138" s="61" t="s">
        <v>55</v>
      </c>
      <c r="V138" s="61" t="s">
        <v>55</v>
      </c>
      <c r="W138" s="62" t="s">
        <v>55</v>
      </c>
      <c r="X138" s="65" t="s">
        <v>55</v>
      </c>
      <c r="Y138" s="66"/>
      <c r="Z138" s="67" t="s">
        <v>55</v>
      </c>
      <c r="AA138" s="67" t="s">
        <v>55</v>
      </c>
      <c r="AB138" s="67"/>
      <c r="AC138" s="67"/>
      <c r="AD138" s="67" t="s">
        <v>55</v>
      </c>
      <c r="AE138" s="68">
        <f t="shared" si="9"/>
        <v>0.11</v>
      </c>
      <c r="AF138" s="67" t="s">
        <v>55</v>
      </c>
      <c r="AG138" s="67" t="s">
        <v>55</v>
      </c>
      <c r="AH138" s="67" t="s">
        <v>55</v>
      </c>
      <c r="AI138" s="67" t="s">
        <v>55</v>
      </c>
      <c r="AJ138" s="69" t="s">
        <v>207</v>
      </c>
      <c r="AK138" s="67" t="s">
        <v>208</v>
      </c>
      <c r="AL138" s="72"/>
      <c r="AM138" s="72"/>
      <c r="AN138" s="72"/>
      <c r="AO138" s="72"/>
      <c r="AP138" s="72"/>
      <c r="AQ138" s="72"/>
      <c r="AR138" s="72"/>
    </row>
    <row r="139" spans="1:44" ht="30" x14ac:dyDescent="0.25">
      <c r="B139" s="58" t="s">
        <v>403</v>
      </c>
      <c r="C139" s="59">
        <v>1</v>
      </c>
      <c r="D139" s="59" t="s">
        <v>404</v>
      </c>
      <c r="E139" s="59" t="s">
        <v>214</v>
      </c>
      <c r="F139" s="59" t="s">
        <v>215</v>
      </c>
      <c r="G139" s="77" t="e">
        <f>(IF(LEFT(B139)="П",ROUNDUP(SUMIF([2]ВО!S$1:S$65536,ХОВС!B139,[2]ВО!N$1:N$65536)*Kup,-1),IF(LEFT(B139)="В",ROUNDUP(SUM(SUMIF([2]ВО!T$1:T$65536,ХОВС!B139,[2]ВО!O$1:O$65536)*Kup,SUMIF([2]ВО!R$1:R$65536,ХОВС!B139,[2]ВО!M$1:M$65536)*Kup),-1),IF(LEFT(B139)="М",ROUNDUP(SUMIF([2]ВО!R$1:R$65536,ХОВС!B139,[2]ВО!M$1:M$65536)*Kup,-1)))))*1.1</f>
        <v>#VALUE!</v>
      </c>
      <c r="H139" s="59">
        <f>70+50</f>
        <v>120</v>
      </c>
      <c r="I139" s="59">
        <v>2450</v>
      </c>
      <c r="J139" s="59" t="s">
        <v>216</v>
      </c>
      <c r="K139" s="60">
        <v>0.06</v>
      </c>
      <c r="L139" s="59">
        <f t="shared" si="8"/>
        <v>2450</v>
      </c>
      <c r="M139" s="63" t="s">
        <v>55</v>
      </c>
      <c r="N139" s="63" t="s">
        <v>55</v>
      </c>
      <c r="O139" s="63" t="s">
        <v>55</v>
      </c>
      <c r="P139" s="63" t="s">
        <v>55</v>
      </c>
      <c r="Q139" s="62" t="s">
        <v>55</v>
      </c>
      <c r="R139" s="63" t="s">
        <v>55</v>
      </c>
      <c r="S139" s="63" t="s">
        <v>55</v>
      </c>
      <c r="T139" s="63" t="s">
        <v>55</v>
      </c>
      <c r="U139" s="61" t="s">
        <v>55</v>
      </c>
      <c r="V139" s="61" t="s">
        <v>55</v>
      </c>
      <c r="W139" s="62" t="s">
        <v>55</v>
      </c>
      <c r="X139" s="65" t="s">
        <v>55</v>
      </c>
      <c r="Y139" s="66"/>
      <c r="Z139" s="67" t="s">
        <v>55</v>
      </c>
      <c r="AA139" s="67" t="s">
        <v>55</v>
      </c>
      <c r="AB139" s="67"/>
      <c r="AC139" s="67"/>
      <c r="AD139" s="67" t="s">
        <v>55</v>
      </c>
      <c r="AE139" s="68">
        <f t="shared" si="9"/>
        <v>0.06</v>
      </c>
      <c r="AF139" s="67" t="s">
        <v>55</v>
      </c>
      <c r="AG139" s="67" t="s">
        <v>55</v>
      </c>
      <c r="AH139" s="67" t="s">
        <v>55</v>
      </c>
      <c r="AI139" s="67" t="s">
        <v>55</v>
      </c>
      <c r="AJ139" s="69" t="s">
        <v>226</v>
      </c>
      <c r="AK139" s="67" t="s">
        <v>208</v>
      </c>
      <c r="AL139" s="70"/>
      <c r="AM139" s="71"/>
      <c r="AN139" s="71"/>
      <c r="AO139" s="72"/>
      <c r="AP139" s="72"/>
      <c r="AQ139" s="72"/>
      <c r="AR139" s="72"/>
    </row>
    <row r="140" spans="1:44" ht="30" x14ac:dyDescent="0.25">
      <c r="B140" s="58" t="s">
        <v>405</v>
      </c>
      <c r="C140" s="59">
        <v>1</v>
      </c>
      <c r="D140" s="59" t="s">
        <v>387</v>
      </c>
      <c r="E140" s="59" t="s">
        <v>214</v>
      </c>
      <c r="F140" s="59" t="s">
        <v>388</v>
      </c>
      <c r="G140" s="77" t="e">
        <f>(IF(LEFT(B140)="П",ROUNDUP(SUMIF([2]ВО!S$1:S$65536,ХОВС!B140,[2]ВО!N$1:N$65536)*Kup,-1),IF(LEFT(B140)="В",ROUNDUP(SUM(SUMIF([2]ВО!T$1:T$65536,ХОВС!B140,[2]ВО!O$1:O$65536)*Kup,SUMIF([2]ВО!R$1:R$65536,ХОВС!B140,[2]ВО!M$1:M$65536)*Kup),-1),IF(LEFT(B140)="М",ROUNDUP(SUMIF([2]ВО!R$1:R$65536,ХОВС!B140,[2]ВО!M$1:M$65536)*Kup,-1)))))*1.1</f>
        <v>#VALUE!</v>
      </c>
      <c r="H140" s="59">
        <v>400</v>
      </c>
      <c r="I140" s="59">
        <v>2450</v>
      </c>
      <c r="J140" s="59" t="s">
        <v>216</v>
      </c>
      <c r="K140" s="60">
        <v>7.0999999999999994E-2</v>
      </c>
      <c r="L140" s="59">
        <f t="shared" si="8"/>
        <v>2450</v>
      </c>
      <c r="M140" s="63" t="s">
        <v>55</v>
      </c>
      <c r="N140" s="63" t="s">
        <v>55</v>
      </c>
      <c r="O140" s="63" t="s">
        <v>55</v>
      </c>
      <c r="P140" s="63" t="s">
        <v>55</v>
      </c>
      <c r="Q140" s="62"/>
      <c r="R140" s="63" t="s">
        <v>55</v>
      </c>
      <c r="S140" s="63" t="s">
        <v>55</v>
      </c>
      <c r="T140" s="63" t="s">
        <v>55</v>
      </c>
      <c r="U140" s="61" t="s">
        <v>55</v>
      </c>
      <c r="V140" s="61" t="s">
        <v>55</v>
      </c>
      <c r="W140" s="62" t="s">
        <v>55</v>
      </c>
      <c r="X140" s="65" t="s">
        <v>55</v>
      </c>
      <c r="Y140" s="66"/>
      <c r="Z140" s="67" t="s">
        <v>55</v>
      </c>
      <c r="AA140" s="67" t="s">
        <v>55</v>
      </c>
      <c r="AB140" s="67"/>
      <c r="AC140" s="67"/>
      <c r="AD140" s="67" t="s">
        <v>55</v>
      </c>
      <c r="AE140" s="68">
        <f t="shared" si="9"/>
        <v>7.0999999999999994E-2</v>
      </c>
      <c r="AF140" s="67" t="s">
        <v>206</v>
      </c>
      <c r="AG140" s="67" t="s">
        <v>55</v>
      </c>
      <c r="AH140" s="67" t="s">
        <v>55</v>
      </c>
      <c r="AI140" s="67" t="s">
        <v>55</v>
      </c>
      <c r="AJ140" s="69" t="s">
        <v>226</v>
      </c>
      <c r="AK140" s="67" t="s">
        <v>208</v>
      </c>
      <c r="AL140" s="70"/>
      <c r="AM140" s="71"/>
      <c r="AN140" s="71"/>
      <c r="AO140" s="72"/>
      <c r="AP140" s="72"/>
      <c r="AQ140" s="72"/>
      <c r="AR140" s="72"/>
    </row>
    <row r="141" spans="1:44" ht="30" x14ac:dyDescent="0.25">
      <c r="B141" s="58" t="s">
        <v>406</v>
      </c>
      <c r="C141" s="59">
        <v>1</v>
      </c>
      <c r="D141" s="59" t="s">
        <v>387</v>
      </c>
      <c r="E141" s="59" t="s">
        <v>214</v>
      </c>
      <c r="F141" s="59" t="s">
        <v>388</v>
      </c>
      <c r="G141" s="77" t="e">
        <f>(IF(LEFT(B141)="П",ROUNDUP(SUMIF([2]ВО!S$1:S$65536,ХОВС!B141,[2]ВО!N$1:N$65536)*Kup,-1),IF(LEFT(B141)="В",ROUNDUP(SUM(SUMIF([2]ВО!T$1:T$65536,ХОВС!B141,[2]ВО!O$1:O$65536)*Kup,SUMIF([2]ВО!R$1:R$65536,ХОВС!B141,[2]ВО!M$1:M$65536)*Kup),-1),IF(LEFT(B141)="М",ROUNDUP(SUMIF([2]ВО!R$1:R$65536,ХОВС!B141,[2]ВО!M$1:M$65536)*Kup,-1)))))*1.1</f>
        <v>#VALUE!</v>
      </c>
      <c r="H141" s="59">
        <f>200+50</f>
        <v>250</v>
      </c>
      <c r="I141" s="59">
        <v>2450</v>
      </c>
      <c r="J141" s="59" t="s">
        <v>216</v>
      </c>
      <c r="K141" s="60">
        <v>7.0999999999999994E-2</v>
      </c>
      <c r="L141" s="59">
        <f t="shared" si="8"/>
        <v>2450</v>
      </c>
      <c r="M141" s="63" t="s">
        <v>55</v>
      </c>
      <c r="N141" s="63" t="s">
        <v>55</v>
      </c>
      <c r="O141" s="63" t="s">
        <v>55</v>
      </c>
      <c r="P141" s="63" t="s">
        <v>55</v>
      </c>
      <c r="Q141" s="62" t="s">
        <v>55</v>
      </c>
      <c r="R141" s="63" t="s">
        <v>55</v>
      </c>
      <c r="S141" s="63" t="s">
        <v>55</v>
      </c>
      <c r="T141" s="63" t="s">
        <v>55</v>
      </c>
      <c r="U141" s="61" t="s">
        <v>55</v>
      </c>
      <c r="V141" s="61" t="s">
        <v>55</v>
      </c>
      <c r="W141" s="62" t="s">
        <v>55</v>
      </c>
      <c r="X141" s="65" t="s">
        <v>55</v>
      </c>
      <c r="Y141" s="66"/>
      <c r="Z141" s="67" t="s">
        <v>55</v>
      </c>
      <c r="AA141" s="67" t="s">
        <v>55</v>
      </c>
      <c r="AB141" s="67"/>
      <c r="AC141" s="67"/>
      <c r="AD141" s="67" t="s">
        <v>55</v>
      </c>
      <c r="AE141" s="68">
        <f t="shared" si="9"/>
        <v>7.0999999999999994E-2</v>
      </c>
      <c r="AF141" s="67" t="s">
        <v>206</v>
      </c>
      <c r="AG141" s="67" t="s">
        <v>55</v>
      </c>
      <c r="AH141" s="67" t="s">
        <v>55</v>
      </c>
      <c r="AI141" s="67" t="s">
        <v>55</v>
      </c>
      <c r="AJ141" s="69" t="s">
        <v>226</v>
      </c>
      <c r="AK141" s="67" t="s">
        <v>208</v>
      </c>
      <c r="AL141" s="72"/>
      <c r="AM141" s="72"/>
      <c r="AN141" s="72"/>
      <c r="AO141" s="72"/>
      <c r="AP141" s="72"/>
      <c r="AQ141" s="72"/>
      <c r="AR141" s="72"/>
    </row>
    <row r="142" spans="1:44" ht="30" x14ac:dyDescent="0.25">
      <c r="B142" s="58" t="s">
        <v>407</v>
      </c>
      <c r="C142" s="59">
        <v>1</v>
      </c>
      <c r="D142" s="59" t="s">
        <v>387</v>
      </c>
      <c r="E142" s="59" t="s">
        <v>214</v>
      </c>
      <c r="F142" s="59" t="s">
        <v>388</v>
      </c>
      <c r="G142" s="77" t="e">
        <f>(IF(LEFT(B142)="П",ROUNDUP(SUMIF([2]ВО!S$1:S$65536,ХОВС!B142,[2]ВО!N$1:N$65536)*Kup,-1),IF(LEFT(B142)="В",ROUNDUP(SUM(SUMIF([2]ВО!T$1:T$65536,ХОВС!B142,[2]ВО!O$1:O$65536)*Kup,SUMIF([2]ВО!R$1:R$65536,ХОВС!B142,[2]ВО!M$1:M$65536)*Kup),-1),IF(LEFT(B142)="М",ROUNDUP(SUMIF([2]ВО!R$1:R$65536,ХОВС!B142,[2]ВО!M$1:M$65536)*Kup,-1)))))*1.1</f>
        <v>#VALUE!</v>
      </c>
      <c r="H142" s="59">
        <f>240+50</f>
        <v>290</v>
      </c>
      <c r="I142" s="59">
        <v>2450</v>
      </c>
      <c r="J142" s="59" t="s">
        <v>216</v>
      </c>
      <c r="K142" s="60">
        <v>7.0999999999999994E-2</v>
      </c>
      <c r="L142" s="59">
        <f t="shared" si="8"/>
        <v>2450</v>
      </c>
      <c r="M142" s="63" t="s">
        <v>55</v>
      </c>
      <c r="N142" s="63" t="s">
        <v>55</v>
      </c>
      <c r="O142" s="63" t="s">
        <v>55</v>
      </c>
      <c r="P142" s="63" t="s">
        <v>55</v>
      </c>
      <c r="Q142" s="62" t="s">
        <v>55</v>
      </c>
      <c r="R142" s="63" t="s">
        <v>55</v>
      </c>
      <c r="S142" s="63" t="s">
        <v>55</v>
      </c>
      <c r="T142" s="63" t="s">
        <v>55</v>
      </c>
      <c r="U142" s="61" t="s">
        <v>55</v>
      </c>
      <c r="V142" s="61" t="s">
        <v>55</v>
      </c>
      <c r="W142" s="62" t="s">
        <v>55</v>
      </c>
      <c r="X142" s="65" t="s">
        <v>55</v>
      </c>
      <c r="Y142" s="66"/>
      <c r="Z142" s="67" t="s">
        <v>55</v>
      </c>
      <c r="AA142" s="67" t="s">
        <v>55</v>
      </c>
      <c r="AB142" s="67"/>
      <c r="AC142" s="67"/>
      <c r="AD142" s="67" t="s">
        <v>55</v>
      </c>
      <c r="AE142" s="68">
        <f t="shared" si="9"/>
        <v>7.0999999999999994E-2</v>
      </c>
      <c r="AF142" s="67" t="s">
        <v>55</v>
      </c>
      <c r="AG142" s="67" t="s">
        <v>55</v>
      </c>
      <c r="AH142" s="67" t="s">
        <v>55</v>
      </c>
      <c r="AI142" s="67" t="s">
        <v>55</v>
      </c>
      <c r="AJ142" s="69" t="s">
        <v>226</v>
      </c>
      <c r="AK142" s="67" t="s">
        <v>208</v>
      </c>
      <c r="AL142" s="70"/>
      <c r="AM142" s="71"/>
      <c r="AN142" s="71"/>
      <c r="AO142" s="72"/>
      <c r="AP142" s="72"/>
      <c r="AQ142" s="72"/>
      <c r="AR142" s="72"/>
    </row>
    <row r="143" spans="1:44" ht="30" x14ac:dyDescent="0.25">
      <c r="B143" s="58" t="s">
        <v>408</v>
      </c>
      <c r="C143" s="59">
        <v>1</v>
      </c>
      <c r="D143" s="59" t="s">
        <v>387</v>
      </c>
      <c r="E143" s="59" t="s">
        <v>214</v>
      </c>
      <c r="F143" s="59" t="s">
        <v>331</v>
      </c>
      <c r="G143" s="77" t="e">
        <f>(IF(LEFT(B143)="П",ROUNDUP(SUMIF([2]ВО!S$1:S$65536,ХОВС!B143,[2]ВО!N$1:N$65536)*Kup,-1),IF(LEFT(B143)="В",ROUNDUP(SUM(SUMIF([2]ВО!T$1:T$65536,ХОВС!B143,[2]ВО!O$1:O$65536)*Kup,SUMIF([2]ВО!R$1:R$65536,ХОВС!B143,[2]ВО!M$1:M$65536)*Kup),-1),IF(LEFT(B143)="М",ROUNDUP(SUMIF([2]ВО!R$1:R$65536,ХОВС!B143,[2]ВО!M$1:M$65536)*Kup,-1)))))*1.1</f>
        <v>#VALUE!</v>
      </c>
      <c r="H143" s="59">
        <f>240+50</f>
        <v>290</v>
      </c>
      <c r="I143" s="59">
        <v>2500</v>
      </c>
      <c r="J143" s="59" t="s">
        <v>216</v>
      </c>
      <c r="K143" s="60">
        <v>0.29499999999999998</v>
      </c>
      <c r="L143" s="59">
        <f t="shared" si="8"/>
        <v>2500</v>
      </c>
      <c r="M143" s="63" t="s">
        <v>55</v>
      </c>
      <c r="N143" s="63" t="s">
        <v>55</v>
      </c>
      <c r="O143" s="63" t="s">
        <v>55</v>
      </c>
      <c r="P143" s="63" t="s">
        <v>55</v>
      </c>
      <c r="Q143" s="62" t="s">
        <v>55</v>
      </c>
      <c r="R143" s="63" t="s">
        <v>55</v>
      </c>
      <c r="S143" s="63" t="s">
        <v>55</v>
      </c>
      <c r="T143" s="63" t="s">
        <v>55</v>
      </c>
      <c r="U143" s="61" t="s">
        <v>55</v>
      </c>
      <c r="V143" s="61" t="s">
        <v>55</v>
      </c>
      <c r="W143" s="62" t="s">
        <v>55</v>
      </c>
      <c r="X143" s="65" t="s">
        <v>55</v>
      </c>
      <c r="Y143" s="66"/>
      <c r="Z143" s="67" t="s">
        <v>55</v>
      </c>
      <c r="AA143" s="67" t="s">
        <v>55</v>
      </c>
      <c r="AB143" s="67"/>
      <c r="AC143" s="67"/>
      <c r="AD143" s="67" t="s">
        <v>55</v>
      </c>
      <c r="AE143" s="68">
        <f t="shared" si="9"/>
        <v>0.29499999999999998</v>
      </c>
      <c r="AF143" s="67" t="s">
        <v>206</v>
      </c>
      <c r="AG143" s="67" t="s">
        <v>55</v>
      </c>
      <c r="AH143" s="67" t="s">
        <v>55</v>
      </c>
      <c r="AI143" s="67" t="s">
        <v>55</v>
      </c>
      <c r="AJ143" s="69" t="s">
        <v>322</v>
      </c>
      <c r="AK143" s="67" t="s">
        <v>208</v>
      </c>
      <c r="AL143" s="70"/>
      <c r="AM143" s="71"/>
      <c r="AN143" s="71"/>
      <c r="AO143" s="72"/>
      <c r="AP143" s="72"/>
      <c r="AQ143" s="72"/>
      <c r="AR143" s="72"/>
    </row>
    <row r="144" spans="1:44" ht="42.75" x14ac:dyDescent="0.25">
      <c r="A144" s="5" t="s">
        <v>312</v>
      </c>
      <c r="B144" s="58" t="s">
        <v>409</v>
      </c>
      <c r="C144" s="59">
        <v>1</v>
      </c>
      <c r="D144" s="59" t="s">
        <v>357</v>
      </c>
      <c r="E144" s="59" t="s">
        <v>214</v>
      </c>
      <c r="F144" s="59" t="s">
        <v>388</v>
      </c>
      <c r="G144" s="77" t="e">
        <f>(IF(LEFT(B144)="П",ROUNDUP(SUMIF([2]ВО!S$1:S$65536,ХОВС!B144,[2]ВО!N$1:N$65536)*Kup,-1),IF(LEFT(B144)="В",ROUNDUP(SUM(SUMIF([2]ВО!T$1:T$65536,ХОВС!B144,[2]ВО!O$1:O$65536)*Kup,SUMIF([2]ВО!R$1:R$65536,ХОВС!B144,[2]ВО!M$1:M$65536)*Kup),-1),IF(LEFT(B144)="М",ROUNDUP(SUMIF([2]ВО!R$1:R$65536,ХОВС!B144,[2]ВО!M$1:M$65536)*Kup,-1)))))*1.1</f>
        <v>#VALUE!</v>
      </c>
      <c r="H144" s="59">
        <v>300</v>
      </c>
      <c r="I144" s="59">
        <v>2450</v>
      </c>
      <c r="J144" s="59" t="s">
        <v>216</v>
      </c>
      <c r="K144" s="60">
        <v>7.0999999999999994E-2</v>
      </c>
      <c r="L144" s="59">
        <f t="shared" si="8"/>
        <v>2450</v>
      </c>
      <c r="M144" s="63" t="s">
        <v>55</v>
      </c>
      <c r="N144" s="63" t="s">
        <v>55</v>
      </c>
      <c r="O144" s="63" t="s">
        <v>55</v>
      </c>
      <c r="P144" s="63" t="s">
        <v>55</v>
      </c>
      <c r="Q144" s="62" t="s">
        <v>55</v>
      </c>
      <c r="R144" s="63" t="s">
        <v>55</v>
      </c>
      <c r="S144" s="63" t="s">
        <v>55</v>
      </c>
      <c r="T144" s="63" t="s">
        <v>55</v>
      </c>
      <c r="U144" s="61" t="s">
        <v>55</v>
      </c>
      <c r="V144" s="61" t="s">
        <v>55</v>
      </c>
      <c r="W144" s="62" t="s">
        <v>55</v>
      </c>
      <c r="X144" s="65" t="s">
        <v>55</v>
      </c>
      <c r="Y144" s="66"/>
      <c r="Z144" s="67" t="s">
        <v>55</v>
      </c>
      <c r="AA144" s="67" t="s">
        <v>55</v>
      </c>
      <c r="AB144" s="67"/>
      <c r="AC144" s="67"/>
      <c r="AD144" s="67" t="s">
        <v>55</v>
      </c>
      <c r="AE144" s="68">
        <f t="shared" si="9"/>
        <v>7.0999999999999994E-2</v>
      </c>
      <c r="AF144" s="67" t="s">
        <v>55</v>
      </c>
      <c r="AG144" s="67" t="s">
        <v>55</v>
      </c>
      <c r="AH144" s="67" t="s">
        <v>55</v>
      </c>
      <c r="AI144" s="67" t="s">
        <v>55</v>
      </c>
      <c r="AJ144" s="69" t="s">
        <v>226</v>
      </c>
      <c r="AK144" s="67" t="s">
        <v>208</v>
      </c>
      <c r="AL144" s="70"/>
      <c r="AM144" s="71"/>
      <c r="AN144" s="71"/>
      <c r="AO144" s="72"/>
      <c r="AP144" s="72"/>
      <c r="AQ144" s="72"/>
      <c r="AR144" s="72"/>
    </row>
    <row r="145" spans="2:44" ht="30" x14ac:dyDescent="0.25">
      <c r="B145" s="58" t="s">
        <v>410</v>
      </c>
      <c r="C145" s="59">
        <v>1</v>
      </c>
      <c r="D145" s="59" t="s">
        <v>387</v>
      </c>
      <c r="E145" s="59" t="s">
        <v>214</v>
      </c>
      <c r="F145" s="59" t="s">
        <v>388</v>
      </c>
      <c r="G145" s="77" t="e">
        <f>(IF(LEFT(B145)="П",ROUNDUP(SUMIF([2]ВО!S$1:S$65536,ХОВС!B145,[2]ВО!N$1:N$65536)*Kup,-1),IF(LEFT(B145)="В",ROUNDUP(SUM(SUMIF([2]ВО!T$1:T$65536,ХОВС!B145,[2]ВО!O$1:O$65536)*Kup,SUMIF([2]ВО!R$1:R$65536,ХОВС!B145,[2]ВО!M$1:M$65536)*Kup),-1),IF(LEFT(B145)="М",ROUNDUP(SUMIF([2]ВО!R$1:R$65536,ХОВС!B145,[2]ВО!M$1:M$65536)*Kup,-1)))))*1.1</f>
        <v>#VALUE!</v>
      </c>
      <c r="H145" s="59">
        <f>210+50</f>
        <v>260</v>
      </c>
      <c r="I145" s="59">
        <v>2450</v>
      </c>
      <c r="J145" s="59" t="s">
        <v>216</v>
      </c>
      <c r="K145" s="60">
        <v>7.0999999999999994E-2</v>
      </c>
      <c r="L145" s="59">
        <f t="shared" si="8"/>
        <v>2450</v>
      </c>
      <c r="M145" s="63" t="s">
        <v>55</v>
      </c>
      <c r="N145" s="63" t="s">
        <v>55</v>
      </c>
      <c r="O145" s="63" t="s">
        <v>55</v>
      </c>
      <c r="P145" s="63" t="s">
        <v>55</v>
      </c>
      <c r="Q145" s="62" t="s">
        <v>55</v>
      </c>
      <c r="R145" s="63" t="s">
        <v>55</v>
      </c>
      <c r="S145" s="63" t="s">
        <v>55</v>
      </c>
      <c r="T145" s="63" t="s">
        <v>55</v>
      </c>
      <c r="U145" s="61" t="s">
        <v>55</v>
      </c>
      <c r="V145" s="61" t="s">
        <v>55</v>
      </c>
      <c r="W145" s="62" t="s">
        <v>55</v>
      </c>
      <c r="X145" s="65" t="s">
        <v>55</v>
      </c>
      <c r="Y145" s="66"/>
      <c r="Z145" s="67" t="s">
        <v>55</v>
      </c>
      <c r="AA145" s="67" t="s">
        <v>55</v>
      </c>
      <c r="AB145" s="67"/>
      <c r="AC145" s="67"/>
      <c r="AD145" s="67" t="s">
        <v>55</v>
      </c>
      <c r="AE145" s="68">
        <f t="shared" si="9"/>
        <v>7.0999999999999994E-2</v>
      </c>
      <c r="AF145" s="67" t="s">
        <v>206</v>
      </c>
      <c r="AG145" s="67" t="s">
        <v>55</v>
      </c>
      <c r="AH145" s="67" t="s">
        <v>55</v>
      </c>
      <c r="AI145" s="67" t="s">
        <v>55</v>
      </c>
      <c r="AJ145" s="69" t="s">
        <v>226</v>
      </c>
      <c r="AK145" s="67" t="s">
        <v>208</v>
      </c>
      <c r="AL145" s="72"/>
      <c r="AM145" s="72"/>
      <c r="AN145" s="72"/>
      <c r="AO145" s="72"/>
      <c r="AP145" s="72"/>
      <c r="AQ145" s="72"/>
      <c r="AR145" s="72"/>
    </row>
    <row r="146" spans="2:44" ht="30" x14ac:dyDescent="0.25">
      <c r="B146" s="58" t="s">
        <v>411</v>
      </c>
      <c r="C146" s="59">
        <v>1</v>
      </c>
      <c r="D146" s="59" t="s">
        <v>387</v>
      </c>
      <c r="E146" s="59" t="s">
        <v>214</v>
      </c>
      <c r="F146" s="59" t="s">
        <v>388</v>
      </c>
      <c r="G146" s="77" t="e">
        <f>(IF(LEFT(B146)="П",ROUNDUP(SUMIF([2]ВО!S$1:S$65536,ХОВС!B146,[2]ВО!N$1:N$65536)*Kup,-1),IF(LEFT(B146)="В",ROUNDUP(SUM(SUMIF([2]ВО!T$1:T$65536,ХОВС!B146,[2]ВО!O$1:O$65536)*Kup,SUMIF([2]ВО!R$1:R$65536,ХОВС!B146,[2]ВО!M$1:M$65536)*Kup),-1),IF(LEFT(B146)="М",ROUNDUP(SUMIF([2]ВО!R$1:R$65536,ХОВС!B146,[2]ВО!M$1:M$65536)*Kup,-1)))))*1.1</f>
        <v>#VALUE!</v>
      </c>
      <c r="H146" s="59">
        <f>200+50</f>
        <v>250</v>
      </c>
      <c r="I146" s="59">
        <v>2450</v>
      </c>
      <c r="J146" s="59" t="s">
        <v>216</v>
      </c>
      <c r="K146" s="60">
        <v>7.0999999999999994E-2</v>
      </c>
      <c r="L146" s="59">
        <f t="shared" si="8"/>
        <v>2450</v>
      </c>
      <c r="M146" s="63" t="s">
        <v>55</v>
      </c>
      <c r="N146" s="63" t="s">
        <v>55</v>
      </c>
      <c r="O146" s="63" t="s">
        <v>55</v>
      </c>
      <c r="P146" s="63" t="s">
        <v>55</v>
      </c>
      <c r="Q146" s="62" t="s">
        <v>55</v>
      </c>
      <c r="R146" s="63" t="s">
        <v>55</v>
      </c>
      <c r="S146" s="63" t="s">
        <v>55</v>
      </c>
      <c r="T146" s="63" t="s">
        <v>55</v>
      </c>
      <c r="U146" s="61" t="s">
        <v>55</v>
      </c>
      <c r="V146" s="61" t="s">
        <v>55</v>
      </c>
      <c r="W146" s="62" t="s">
        <v>55</v>
      </c>
      <c r="X146" s="65" t="s">
        <v>55</v>
      </c>
      <c r="Y146" s="66"/>
      <c r="Z146" s="67" t="s">
        <v>55</v>
      </c>
      <c r="AA146" s="67" t="s">
        <v>55</v>
      </c>
      <c r="AB146" s="67"/>
      <c r="AC146" s="67"/>
      <c r="AD146" s="67" t="s">
        <v>55</v>
      </c>
      <c r="AE146" s="68">
        <f t="shared" si="9"/>
        <v>7.0999999999999994E-2</v>
      </c>
      <c r="AF146" s="67" t="s">
        <v>55</v>
      </c>
      <c r="AG146" s="67" t="s">
        <v>55</v>
      </c>
      <c r="AH146" s="67" t="s">
        <v>55</v>
      </c>
      <c r="AI146" s="67" t="s">
        <v>55</v>
      </c>
      <c r="AJ146" s="69" t="s">
        <v>226</v>
      </c>
      <c r="AK146" s="67" t="s">
        <v>208</v>
      </c>
      <c r="AL146" s="70"/>
      <c r="AM146" s="71"/>
      <c r="AN146" s="71"/>
      <c r="AO146" s="72"/>
      <c r="AP146" s="72"/>
      <c r="AQ146" s="72"/>
      <c r="AR146" s="72"/>
    </row>
    <row r="147" spans="2:44" ht="26.25" customHeight="1" x14ac:dyDescent="0.25">
      <c r="B147" s="470" t="s">
        <v>412</v>
      </c>
      <c r="C147" s="459">
        <v>1</v>
      </c>
      <c r="D147" s="459" t="s">
        <v>413</v>
      </c>
      <c r="E147" s="459" t="s">
        <v>414</v>
      </c>
      <c r="F147" s="459" t="s">
        <v>415</v>
      </c>
      <c r="G147" s="459">
        <f>13800*1.1</f>
        <v>15180.000000000002</v>
      </c>
      <c r="H147" s="59">
        <f>550+100</f>
        <v>650</v>
      </c>
      <c r="I147" s="459">
        <v>960</v>
      </c>
      <c r="J147" s="459" t="s">
        <v>224</v>
      </c>
      <c r="K147" s="471">
        <v>4</v>
      </c>
      <c r="L147" s="459">
        <v>960</v>
      </c>
      <c r="M147" s="458" t="s">
        <v>55</v>
      </c>
      <c r="N147" s="458" t="s">
        <v>55</v>
      </c>
      <c r="O147" s="458" t="s">
        <v>55</v>
      </c>
      <c r="P147" s="458" t="s">
        <v>55</v>
      </c>
      <c r="Q147" s="458" t="s">
        <v>55</v>
      </c>
      <c r="R147" s="458" t="s">
        <v>55</v>
      </c>
      <c r="S147" s="458" t="s">
        <v>55</v>
      </c>
      <c r="T147" s="458" t="s">
        <v>55</v>
      </c>
      <c r="U147" s="458" t="s">
        <v>55</v>
      </c>
      <c r="V147" s="458" t="s">
        <v>55</v>
      </c>
      <c r="W147" s="458" t="s">
        <v>55</v>
      </c>
      <c r="X147" s="143" t="s">
        <v>416</v>
      </c>
      <c r="Y147" s="66"/>
      <c r="Z147" s="67"/>
      <c r="AA147" s="67"/>
      <c r="AB147" s="67"/>
      <c r="AC147" s="67"/>
      <c r="AD147" s="67"/>
      <c r="AE147" s="68"/>
      <c r="AF147" s="67"/>
      <c r="AG147" s="67"/>
      <c r="AH147" s="67"/>
      <c r="AI147" s="67"/>
      <c r="AJ147" s="69"/>
      <c r="AK147" s="67"/>
      <c r="AL147" s="70"/>
      <c r="AM147" s="71"/>
      <c r="AN147" s="71"/>
      <c r="AO147" s="72" t="s">
        <v>417</v>
      </c>
      <c r="AP147" s="72"/>
      <c r="AQ147" s="72"/>
      <c r="AR147" s="72"/>
    </row>
    <row r="148" spans="2:44" ht="30" customHeight="1" x14ac:dyDescent="0.25">
      <c r="B148" s="470"/>
      <c r="C148" s="459"/>
      <c r="D148" s="459"/>
      <c r="E148" s="459"/>
      <c r="F148" s="459"/>
      <c r="G148" s="459"/>
      <c r="H148" s="59">
        <v>350</v>
      </c>
      <c r="I148" s="459"/>
      <c r="J148" s="459"/>
      <c r="K148" s="471"/>
      <c r="L148" s="459"/>
      <c r="M148" s="458"/>
      <c r="N148" s="458"/>
      <c r="O148" s="458" t="s">
        <v>55</v>
      </c>
      <c r="P148" s="458" t="s">
        <v>55</v>
      </c>
      <c r="Q148" s="458" t="s">
        <v>55</v>
      </c>
      <c r="R148" s="458" t="s">
        <v>55</v>
      </c>
      <c r="S148" s="458" t="s">
        <v>55</v>
      </c>
      <c r="T148" s="458" t="s">
        <v>55</v>
      </c>
      <c r="U148" s="458" t="s">
        <v>55</v>
      </c>
      <c r="V148" s="458" t="s">
        <v>55</v>
      </c>
      <c r="W148" s="458" t="s">
        <v>55</v>
      </c>
      <c r="X148" s="143" t="s">
        <v>418</v>
      </c>
      <c r="Y148" s="66" t="s">
        <v>419</v>
      </c>
      <c r="Z148" s="144" t="s">
        <v>55</v>
      </c>
      <c r="AA148" s="67" t="s">
        <v>55</v>
      </c>
      <c r="AB148" s="67"/>
      <c r="AC148" s="67"/>
      <c r="AD148" s="67" t="s">
        <v>55</v>
      </c>
      <c r="AE148" s="68">
        <f>K148*C147</f>
        <v>0</v>
      </c>
      <c r="AF148" s="67" t="s">
        <v>206</v>
      </c>
      <c r="AG148" s="67" t="s">
        <v>55</v>
      </c>
      <c r="AH148" s="67" t="s">
        <v>55</v>
      </c>
      <c r="AI148" s="67" t="s">
        <v>55</v>
      </c>
      <c r="AJ148" s="69" t="s">
        <v>226</v>
      </c>
      <c r="AK148" s="145" t="s">
        <v>208</v>
      </c>
      <c r="AL148" s="70" t="s">
        <v>420</v>
      </c>
      <c r="AM148" s="71">
        <v>63</v>
      </c>
      <c r="AN148" s="71"/>
      <c r="AO148" s="72">
        <v>9300</v>
      </c>
      <c r="AP148" s="72"/>
      <c r="AQ148" s="72"/>
      <c r="AR148" s="72"/>
    </row>
    <row r="149" spans="2:44" ht="26.25" customHeight="1" x14ac:dyDescent="0.25">
      <c r="B149" s="470" t="s">
        <v>421</v>
      </c>
      <c r="C149" s="459">
        <v>1</v>
      </c>
      <c r="D149" s="459" t="s">
        <v>422</v>
      </c>
      <c r="E149" s="459" t="s">
        <v>414</v>
      </c>
      <c r="F149" s="459" t="s">
        <v>423</v>
      </c>
      <c r="G149" s="475">
        <f>6700*1.1</f>
        <v>7370.0000000000009</v>
      </c>
      <c r="H149" s="59">
        <f>570+50</f>
        <v>620</v>
      </c>
      <c r="I149" s="459">
        <v>1390</v>
      </c>
      <c r="J149" s="459" t="s">
        <v>224</v>
      </c>
      <c r="K149" s="471">
        <v>4</v>
      </c>
      <c r="L149" s="459">
        <v>1390</v>
      </c>
      <c r="M149" s="458" t="s">
        <v>55</v>
      </c>
      <c r="N149" s="458" t="s">
        <v>55</v>
      </c>
      <c r="O149" s="458" t="s">
        <v>55</v>
      </c>
      <c r="P149" s="458" t="s">
        <v>55</v>
      </c>
      <c r="Q149" s="458" t="s">
        <v>55</v>
      </c>
      <c r="R149" s="458" t="s">
        <v>55</v>
      </c>
      <c r="S149" s="458" t="s">
        <v>55</v>
      </c>
      <c r="T149" s="458" t="s">
        <v>55</v>
      </c>
      <c r="U149" s="458" t="s">
        <v>55</v>
      </c>
      <c r="V149" s="458" t="s">
        <v>55</v>
      </c>
      <c r="W149" s="458" t="s">
        <v>55</v>
      </c>
      <c r="X149" s="143" t="s">
        <v>416</v>
      </c>
      <c r="Y149" s="66"/>
      <c r="Z149" s="67"/>
      <c r="AA149" s="67"/>
      <c r="AB149" s="67"/>
      <c r="AC149" s="67"/>
      <c r="AD149" s="67"/>
      <c r="AE149" s="68"/>
      <c r="AF149" s="67"/>
      <c r="AG149" s="67"/>
      <c r="AH149" s="67"/>
      <c r="AI149" s="67"/>
      <c r="AJ149" s="69"/>
      <c r="AK149" s="67"/>
      <c r="AL149" s="70"/>
      <c r="AM149" s="71"/>
      <c r="AN149" s="71"/>
      <c r="AO149" s="72"/>
      <c r="AP149" s="72"/>
      <c r="AQ149" s="72"/>
      <c r="AR149" s="72"/>
    </row>
    <row r="150" spans="2:44" ht="30" customHeight="1" x14ac:dyDescent="0.25">
      <c r="B150" s="470"/>
      <c r="C150" s="459"/>
      <c r="D150" s="459"/>
      <c r="E150" s="459"/>
      <c r="F150" s="459"/>
      <c r="G150" s="476"/>
      <c r="H150" s="59">
        <v>350</v>
      </c>
      <c r="I150" s="459"/>
      <c r="J150" s="459"/>
      <c r="K150" s="471"/>
      <c r="L150" s="459"/>
      <c r="M150" s="458"/>
      <c r="N150" s="458"/>
      <c r="O150" s="458" t="s">
        <v>55</v>
      </c>
      <c r="P150" s="458" t="s">
        <v>55</v>
      </c>
      <c r="Q150" s="458" t="s">
        <v>55</v>
      </c>
      <c r="R150" s="458" t="s">
        <v>55</v>
      </c>
      <c r="S150" s="458" t="s">
        <v>55</v>
      </c>
      <c r="T150" s="458" t="s">
        <v>55</v>
      </c>
      <c r="U150" s="458" t="s">
        <v>55</v>
      </c>
      <c r="V150" s="458" t="s">
        <v>55</v>
      </c>
      <c r="W150" s="458" t="s">
        <v>55</v>
      </c>
      <c r="X150" s="143" t="s">
        <v>418</v>
      </c>
      <c r="Y150" s="66" t="s">
        <v>424</v>
      </c>
      <c r="Z150" s="144"/>
      <c r="AA150" s="67"/>
      <c r="AB150" s="67"/>
      <c r="AC150" s="67"/>
      <c r="AD150" s="67"/>
      <c r="AE150" s="68"/>
      <c r="AF150" s="67"/>
      <c r="AG150" s="67"/>
      <c r="AH150" s="67"/>
      <c r="AI150" s="67"/>
      <c r="AJ150" s="69"/>
      <c r="AK150" s="145"/>
      <c r="AL150" s="70" t="s">
        <v>425</v>
      </c>
      <c r="AM150" s="71">
        <v>69</v>
      </c>
      <c r="AN150" s="71"/>
      <c r="AO150" s="72">
        <v>8800</v>
      </c>
      <c r="AP150" s="72"/>
      <c r="AQ150" s="72"/>
      <c r="AR150" s="72"/>
    </row>
    <row r="151" spans="2:44" ht="26.25" customHeight="1" x14ac:dyDescent="0.25">
      <c r="B151" s="470" t="s">
        <v>426</v>
      </c>
      <c r="C151" s="459">
        <v>1</v>
      </c>
      <c r="D151" s="459" t="s">
        <v>427</v>
      </c>
      <c r="E151" s="459" t="s">
        <v>414</v>
      </c>
      <c r="F151" s="459" t="s">
        <v>423</v>
      </c>
      <c r="G151" s="475">
        <f>6700*1.1</f>
        <v>7370.0000000000009</v>
      </c>
      <c r="H151" s="59">
        <f>570+50</f>
        <v>620</v>
      </c>
      <c r="I151" s="459">
        <v>1390</v>
      </c>
      <c r="J151" s="459" t="s">
        <v>224</v>
      </c>
      <c r="K151" s="471">
        <v>4</v>
      </c>
      <c r="L151" s="459">
        <v>1390</v>
      </c>
      <c r="M151" s="458" t="s">
        <v>55</v>
      </c>
      <c r="N151" s="458" t="s">
        <v>55</v>
      </c>
      <c r="O151" s="458" t="s">
        <v>55</v>
      </c>
      <c r="P151" s="458" t="s">
        <v>55</v>
      </c>
      <c r="Q151" s="458" t="s">
        <v>55</v>
      </c>
      <c r="R151" s="458" t="s">
        <v>55</v>
      </c>
      <c r="S151" s="458" t="s">
        <v>55</v>
      </c>
      <c r="T151" s="458" t="s">
        <v>55</v>
      </c>
      <c r="U151" s="458" t="s">
        <v>55</v>
      </c>
      <c r="V151" s="458" t="s">
        <v>55</v>
      </c>
      <c r="W151" s="458" t="s">
        <v>55</v>
      </c>
      <c r="X151" s="143" t="s">
        <v>416</v>
      </c>
      <c r="Y151" s="66"/>
      <c r="Z151" s="67"/>
      <c r="AA151" s="67"/>
      <c r="AB151" s="67"/>
      <c r="AC151" s="67"/>
      <c r="AD151" s="67"/>
      <c r="AE151" s="68"/>
      <c r="AF151" s="67"/>
      <c r="AG151" s="67"/>
      <c r="AH151" s="67"/>
      <c r="AI151" s="67"/>
      <c r="AJ151" s="69"/>
      <c r="AK151" s="67"/>
      <c r="AL151" s="70"/>
      <c r="AM151" s="71"/>
      <c r="AN151" s="71"/>
      <c r="AO151" s="72"/>
      <c r="AP151" s="72"/>
      <c r="AQ151" s="72"/>
      <c r="AR151" s="72"/>
    </row>
    <row r="152" spans="2:44" ht="30" customHeight="1" x14ac:dyDescent="0.25">
      <c r="B152" s="470" t="s">
        <v>426</v>
      </c>
      <c r="C152" s="459">
        <v>1</v>
      </c>
      <c r="D152" s="459" t="s">
        <v>427</v>
      </c>
      <c r="E152" s="459"/>
      <c r="F152" s="459"/>
      <c r="G152" s="476"/>
      <c r="H152" s="59">
        <v>350</v>
      </c>
      <c r="I152" s="459"/>
      <c r="J152" s="459"/>
      <c r="K152" s="471"/>
      <c r="L152" s="459"/>
      <c r="M152" s="458"/>
      <c r="N152" s="458"/>
      <c r="O152" s="458" t="s">
        <v>55</v>
      </c>
      <c r="P152" s="458" t="s">
        <v>55</v>
      </c>
      <c r="Q152" s="458" t="s">
        <v>55</v>
      </c>
      <c r="R152" s="458" t="s">
        <v>55</v>
      </c>
      <c r="S152" s="458" t="s">
        <v>55</v>
      </c>
      <c r="T152" s="458" t="s">
        <v>55</v>
      </c>
      <c r="U152" s="458" t="s">
        <v>55</v>
      </c>
      <c r="V152" s="458" t="s">
        <v>55</v>
      </c>
      <c r="W152" s="458" t="s">
        <v>55</v>
      </c>
      <c r="X152" s="143" t="s">
        <v>418</v>
      </c>
      <c r="Y152" s="66" t="s">
        <v>424</v>
      </c>
      <c r="Z152" s="144"/>
      <c r="AA152" s="67"/>
      <c r="AB152" s="67"/>
      <c r="AC152" s="67"/>
      <c r="AD152" s="67"/>
      <c r="AE152" s="68"/>
      <c r="AF152" s="67"/>
      <c r="AG152" s="67"/>
      <c r="AH152" s="67"/>
      <c r="AI152" s="67"/>
      <c r="AJ152" s="69"/>
      <c r="AK152" s="145"/>
      <c r="AL152" s="70" t="s">
        <v>425</v>
      </c>
      <c r="AM152" s="71">
        <v>69</v>
      </c>
      <c r="AN152" s="71"/>
      <c r="AO152" s="72"/>
      <c r="AP152" s="72"/>
      <c r="AQ152" s="72"/>
      <c r="AR152" s="72"/>
    </row>
    <row r="153" spans="2:44" ht="26.25" customHeight="1" x14ac:dyDescent="0.25">
      <c r="B153" s="470" t="s">
        <v>428</v>
      </c>
      <c r="C153" s="459">
        <v>1</v>
      </c>
      <c r="D153" s="459" t="s">
        <v>429</v>
      </c>
      <c r="E153" s="459" t="s">
        <v>414</v>
      </c>
      <c r="F153" s="459" t="s">
        <v>430</v>
      </c>
      <c r="G153" s="459">
        <f>14900*1.1</f>
        <v>16390</v>
      </c>
      <c r="H153" s="59">
        <f>470+100</f>
        <v>570</v>
      </c>
      <c r="I153" s="459">
        <v>1430</v>
      </c>
      <c r="J153" s="459" t="s">
        <v>224</v>
      </c>
      <c r="K153" s="471">
        <v>4</v>
      </c>
      <c r="L153" s="459">
        <v>1430</v>
      </c>
      <c r="M153" s="458" t="s">
        <v>55</v>
      </c>
      <c r="N153" s="458" t="s">
        <v>55</v>
      </c>
      <c r="O153" s="458" t="s">
        <v>55</v>
      </c>
      <c r="P153" s="458" t="s">
        <v>55</v>
      </c>
      <c r="Q153" s="458" t="s">
        <v>55</v>
      </c>
      <c r="R153" s="458" t="s">
        <v>55</v>
      </c>
      <c r="S153" s="458" t="s">
        <v>55</v>
      </c>
      <c r="T153" s="458" t="s">
        <v>55</v>
      </c>
      <c r="U153" s="458" t="s">
        <v>55</v>
      </c>
      <c r="V153" s="458" t="s">
        <v>55</v>
      </c>
      <c r="W153" s="458" t="s">
        <v>55</v>
      </c>
      <c r="X153" s="143" t="s">
        <v>416</v>
      </c>
      <c r="Y153" s="66"/>
      <c r="Z153" s="67"/>
      <c r="AA153" s="67"/>
      <c r="AB153" s="67"/>
      <c r="AC153" s="67"/>
      <c r="AD153" s="67"/>
      <c r="AE153" s="68"/>
      <c r="AF153" s="67"/>
      <c r="AG153" s="67"/>
      <c r="AH153" s="67"/>
      <c r="AI153" s="67"/>
      <c r="AJ153" s="69"/>
      <c r="AK153" s="67"/>
      <c r="AL153" s="70"/>
      <c r="AM153" s="71"/>
      <c r="AN153" s="71"/>
      <c r="AO153" s="72"/>
      <c r="AP153" s="72"/>
      <c r="AQ153" s="72"/>
      <c r="AR153" s="72"/>
    </row>
    <row r="154" spans="2:44" ht="30" customHeight="1" x14ac:dyDescent="0.25">
      <c r="B154" s="470" t="s">
        <v>428</v>
      </c>
      <c r="C154" s="459">
        <v>1</v>
      </c>
      <c r="D154" s="459" t="s">
        <v>431</v>
      </c>
      <c r="E154" s="459"/>
      <c r="F154" s="459"/>
      <c r="G154" s="459"/>
      <c r="H154" s="59">
        <v>400</v>
      </c>
      <c r="I154" s="459"/>
      <c r="J154" s="459"/>
      <c r="K154" s="471"/>
      <c r="L154" s="459"/>
      <c r="M154" s="458"/>
      <c r="N154" s="458"/>
      <c r="O154" s="458" t="s">
        <v>55</v>
      </c>
      <c r="P154" s="458" t="s">
        <v>55</v>
      </c>
      <c r="Q154" s="458" t="s">
        <v>55</v>
      </c>
      <c r="R154" s="458" t="s">
        <v>55</v>
      </c>
      <c r="S154" s="458" t="s">
        <v>55</v>
      </c>
      <c r="T154" s="458" t="s">
        <v>55</v>
      </c>
      <c r="U154" s="458" t="s">
        <v>55</v>
      </c>
      <c r="V154" s="458" t="s">
        <v>55</v>
      </c>
      <c r="W154" s="458" t="s">
        <v>55</v>
      </c>
      <c r="X154" s="143" t="s">
        <v>418</v>
      </c>
      <c r="Y154" s="66" t="s">
        <v>419</v>
      </c>
      <c r="Z154" s="144" t="s">
        <v>55</v>
      </c>
      <c r="AA154" s="67" t="s">
        <v>55</v>
      </c>
      <c r="AB154" s="67"/>
      <c r="AC154" s="67"/>
      <c r="AD154" s="67" t="s">
        <v>55</v>
      </c>
      <c r="AE154" s="68">
        <f>K154*C153</f>
        <v>0</v>
      </c>
      <c r="AF154" s="67" t="s">
        <v>206</v>
      </c>
      <c r="AG154" s="67" t="s">
        <v>55</v>
      </c>
      <c r="AH154" s="67" t="s">
        <v>55</v>
      </c>
      <c r="AI154" s="67" t="s">
        <v>55</v>
      </c>
      <c r="AJ154" s="69" t="s">
        <v>226</v>
      </c>
      <c r="AK154" s="145" t="s">
        <v>208</v>
      </c>
      <c r="AL154" s="70" t="s">
        <v>420</v>
      </c>
      <c r="AM154" s="71">
        <v>86</v>
      </c>
      <c r="AN154" s="71"/>
      <c r="AO154" s="72">
        <v>9400</v>
      </c>
      <c r="AP154" s="72"/>
      <c r="AQ154" s="72"/>
      <c r="AR154" s="72"/>
    </row>
    <row r="155" spans="2:44" ht="26.25" customHeight="1" x14ac:dyDescent="0.25">
      <c r="B155" s="470" t="s">
        <v>432</v>
      </c>
      <c r="C155" s="459">
        <v>1</v>
      </c>
      <c r="D155" s="459" t="s">
        <v>433</v>
      </c>
      <c r="E155" s="459" t="s">
        <v>414</v>
      </c>
      <c r="F155" s="459" t="s">
        <v>434</v>
      </c>
      <c r="G155" s="459">
        <f>15300*1.1</f>
        <v>16830</v>
      </c>
      <c r="H155" s="59">
        <f>480+50</f>
        <v>530</v>
      </c>
      <c r="I155" s="459">
        <v>950</v>
      </c>
      <c r="J155" s="459" t="s">
        <v>224</v>
      </c>
      <c r="K155" s="471">
        <v>4</v>
      </c>
      <c r="L155" s="459">
        <v>950</v>
      </c>
      <c r="M155" s="458" t="s">
        <v>55</v>
      </c>
      <c r="N155" s="458" t="s">
        <v>55</v>
      </c>
      <c r="O155" s="458" t="s">
        <v>55</v>
      </c>
      <c r="P155" s="458" t="s">
        <v>55</v>
      </c>
      <c r="Q155" s="458" t="s">
        <v>55</v>
      </c>
      <c r="R155" s="458" t="s">
        <v>55</v>
      </c>
      <c r="S155" s="458" t="s">
        <v>55</v>
      </c>
      <c r="T155" s="458" t="s">
        <v>55</v>
      </c>
      <c r="U155" s="458" t="s">
        <v>55</v>
      </c>
      <c r="V155" s="458" t="s">
        <v>55</v>
      </c>
      <c r="W155" s="458" t="s">
        <v>55</v>
      </c>
      <c r="X155" s="143" t="s">
        <v>416</v>
      </c>
      <c r="Y155" s="66"/>
      <c r="Z155" s="67"/>
      <c r="AA155" s="67"/>
      <c r="AB155" s="67"/>
      <c r="AC155" s="67"/>
      <c r="AD155" s="67"/>
      <c r="AE155" s="68"/>
      <c r="AF155" s="67"/>
      <c r="AG155" s="67"/>
      <c r="AH155" s="67"/>
      <c r="AI155" s="67"/>
      <c r="AJ155" s="69"/>
      <c r="AK155" s="67"/>
      <c r="AL155" s="70"/>
      <c r="AM155" s="71"/>
      <c r="AN155" s="71"/>
      <c r="AO155" s="72"/>
      <c r="AP155" s="72"/>
      <c r="AQ155" s="72"/>
      <c r="AR155" s="72"/>
    </row>
    <row r="156" spans="2:44" ht="30" customHeight="1" x14ac:dyDescent="0.25">
      <c r="B156" s="470" t="s">
        <v>432</v>
      </c>
      <c r="C156" s="459">
        <v>1</v>
      </c>
      <c r="D156" s="459" t="s">
        <v>435</v>
      </c>
      <c r="E156" s="459"/>
      <c r="F156" s="459"/>
      <c r="G156" s="459"/>
      <c r="H156" s="59">
        <v>440</v>
      </c>
      <c r="I156" s="459"/>
      <c r="J156" s="459"/>
      <c r="K156" s="471"/>
      <c r="L156" s="459"/>
      <c r="M156" s="458"/>
      <c r="N156" s="458"/>
      <c r="O156" s="458" t="s">
        <v>55</v>
      </c>
      <c r="P156" s="458" t="s">
        <v>55</v>
      </c>
      <c r="Q156" s="458" t="s">
        <v>55</v>
      </c>
      <c r="R156" s="458" t="s">
        <v>55</v>
      </c>
      <c r="S156" s="458" t="s">
        <v>55</v>
      </c>
      <c r="T156" s="458" t="s">
        <v>55</v>
      </c>
      <c r="U156" s="458" t="s">
        <v>55</v>
      </c>
      <c r="V156" s="458" t="s">
        <v>55</v>
      </c>
      <c r="W156" s="458" t="s">
        <v>55</v>
      </c>
      <c r="X156" s="143" t="s">
        <v>418</v>
      </c>
      <c r="Y156" s="66" t="s">
        <v>419</v>
      </c>
      <c r="Z156" s="144" t="s">
        <v>55</v>
      </c>
      <c r="AA156" s="67" t="s">
        <v>55</v>
      </c>
      <c r="AB156" s="67"/>
      <c r="AC156" s="67"/>
      <c r="AD156" s="67" t="s">
        <v>55</v>
      </c>
      <c r="AE156" s="68">
        <f>K156*C155</f>
        <v>0</v>
      </c>
      <c r="AF156" s="67" t="s">
        <v>206</v>
      </c>
      <c r="AG156" s="67" t="s">
        <v>55</v>
      </c>
      <c r="AH156" s="67" t="s">
        <v>55</v>
      </c>
      <c r="AI156" s="67" t="s">
        <v>55</v>
      </c>
      <c r="AJ156" s="69" t="s">
        <v>226</v>
      </c>
      <c r="AK156" s="145" t="s">
        <v>208</v>
      </c>
      <c r="AL156" s="70" t="s">
        <v>420</v>
      </c>
      <c r="AM156" s="71">
        <v>95</v>
      </c>
      <c r="AN156" s="71"/>
      <c r="AO156" s="72">
        <v>9400</v>
      </c>
      <c r="AP156" s="72"/>
      <c r="AQ156" s="72"/>
      <c r="AR156" s="72"/>
    </row>
    <row r="157" spans="2:44" ht="26.25" customHeight="1" x14ac:dyDescent="0.25">
      <c r="B157" s="470" t="s">
        <v>436</v>
      </c>
      <c r="C157" s="459">
        <v>1</v>
      </c>
      <c r="D157" s="459" t="s">
        <v>437</v>
      </c>
      <c r="E157" s="459" t="s">
        <v>414</v>
      </c>
      <c r="F157" s="459" t="s">
        <v>434</v>
      </c>
      <c r="G157" s="459">
        <f>14950*1.1</f>
        <v>16445</v>
      </c>
      <c r="H157" s="59">
        <f>580+50</f>
        <v>630</v>
      </c>
      <c r="I157" s="459">
        <v>950</v>
      </c>
      <c r="J157" s="459" t="s">
        <v>224</v>
      </c>
      <c r="K157" s="471">
        <v>7.5</v>
      </c>
      <c r="L157" s="459">
        <v>950</v>
      </c>
      <c r="M157" s="458" t="s">
        <v>55</v>
      </c>
      <c r="N157" s="458" t="s">
        <v>55</v>
      </c>
      <c r="O157" s="458" t="s">
        <v>55</v>
      </c>
      <c r="P157" s="458" t="s">
        <v>55</v>
      </c>
      <c r="Q157" s="458" t="s">
        <v>55</v>
      </c>
      <c r="R157" s="458" t="s">
        <v>55</v>
      </c>
      <c r="S157" s="458" t="s">
        <v>55</v>
      </c>
      <c r="T157" s="458" t="s">
        <v>55</v>
      </c>
      <c r="U157" s="458" t="s">
        <v>55</v>
      </c>
      <c r="V157" s="458" t="s">
        <v>55</v>
      </c>
      <c r="W157" s="458" t="s">
        <v>55</v>
      </c>
      <c r="X157" s="143" t="s">
        <v>416</v>
      </c>
      <c r="Y157" s="66"/>
      <c r="Z157" s="67"/>
      <c r="AA157" s="67"/>
      <c r="AB157" s="67"/>
      <c r="AC157" s="67"/>
      <c r="AD157" s="67"/>
      <c r="AE157" s="68"/>
      <c r="AF157" s="67"/>
      <c r="AG157" s="67"/>
      <c r="AH157" s="67"/>
      <c r="AI157" s="67"/>
      <c r="AJ157" s="69"/>
      <c r="AK157" s="67"/>
      <c r="AL157" s="70"/>
      <c r="AM157" s="71"/>
      <c r="AN157" s="71"/>
      <c r="AO157" s="72"/>
      <c r="AP157" s="72"/>
      <c r="AQ157" s="72"/>
      <c r="AR157" s="72"/>
    </row>
    <row r="158" spans="2:44" ht="30" customHeight="1" x14ac:dyDescent="0.25">
      <c r="B158" s="470" t="s">
        <v>436</v>
      </c>
      <c r="C158" s="459">
        <v>1</v>
      </c>
      <c r="D158" s="459" t="s">
        <v>438</v>
      </c>
      <c r="E158" s="459"/>
      <c r="F158" s="459"/>
      <c r="G158" s="459"/>
      <c r="H158" s="59">
        <v>450</v>
      </c>
      <c r="I158" s="459"/>
      <c r="J158" s="459"/>
      <c r="K158" s="471"/>
      <c r="L158" s="459"/>
      <c r="M158" s="458"/>
      <c r="N158" s="458"/>
      <c r="O158" s="458" t="s">
        <v>55</v>
      </c>
      <c r="P158" s="458" t="s">
        <v>55</v>
      </c>
      <c r="Q158" s="458" t="s">
        <v>55</v>
      </c>
      <c r="R158" s="458" t="s">
        <v>55</v>
      </c>
      <c r="S158" s="458" t="s">
        <v>55</v>
      </c>
      <c r="T158" s="458" t="s">
        <v>55</v>
      </c>
      <c r="U158" s="458" t="s">
        <v>55</v>
      </c>
      <c r="V158" s="458" t="s">
        <v>55</v>
      </c>
      <c r="W158" s="458" t="s">
        <v>55</v>
      </c>
      <c r="X158" s="143" t="s">
        <v>418</v>
      </c>
      <c r="Y158" s="66" t="s">
        <v>419</v>
      </c>
      <c r="Z158" s="144" t="s">
        <v>55</v>
      </c>
      <c r="AA158" s="67" t="s">
        <v>55</v>
      </c>
      <c r="AB158" s="67"/>
      <c r="AC158" s="67"/>
      <c r="AD158" s="67" t="s">
        <v>55</v>
      </c>
      <c r="AE158" s="68">
        <f>K158*C157</f>
        <v>0</v>
      </c>
      <c r="AF158" s="67" t="s">
        <v>206</v>
      </c>
      <c r="AG158" s="67" t="s">
        <v>55</v>
      </c>
      <c r="AH158" s="67" t="s">
        <v>55</v>
      </c>
      <c r="AI158" s="67" t="s">
        <v>55</v>
      </c>
      <c r="AJ158" s="69" t="s">
        <v>226</v>
      </c>
      <c r="AK158" s="145" t="s">
        <v>208</v>
      </c>
      <c r="AL158" s="70" t="s">
        <v>420</v>
      </c>
      <c r="AM158" s="71">
        <v>102</v>
      </c>
      <c r="AN158" s="71"/>
      <c r="AO158" s="72">
        <v>9000</v>
      </c>
      <c r="AP158" s="72"/>
      <c r="AQ158" s="72"/>
      <c r="AR158" s="72"/>
    </row>
    <row r="159" spans="2:44" ht="26.25" customHeight="1" x14ac:dyDescent="0.25">
      <c r="B159" s="470" t="s">
        <v>439</v>
      </c>
      <c r="C159" s="459">
        <v>1</v>
      </c>
      <c r="D159" s="459" t="s">
        <v>440</v>
      </c>
      <c r="E159" s="459" t="s">
        <v>414</v>
      </c>
      <c r="F159" s="459" t="s">
        <v>415</v>
      </c>
      <c r="G159" s="459">
        <v>13850</v>
      </c>
      <c r="H159" s="59">
        <f>470+50</f>
        <v>520</v>
      </c>
      <c r="I159" s="459">
        <v>960</v>
      </c>
      <c r="J159" s="459" t="s">
        <v>224</v>
      </c>
      <c r="K159" s="471">
        <v>3</v>
      </c>
      <c r="L159" s="459">
        <v>960</v>
      </c>
      <c r="M159" s="458" t="s">
        <v>55</v>
      </c>
      <c r="N159" s="458" t="s">
        <v>55</v>
      </c>
      <c r="O159" s="458" t="s">
        <v>55</v>
      </c>
      <c r="P159" s="458" t="s">
        <v>55</v>
      </c>
      <c r="Q159" s="458" t="s">
        <v>55</v>
      </c>
      <c r="R159" s="458" t="s">
        <v>55</v>
      </c>
      <c r="S159" s="458" t="s">
        <v>55</v>
      </c>
      <c r="T159" s="458" t="s">
        <v>55</v>
      </c>
      <c r="U159" s="458" t="s">
        <v>55</v>
      </c>
      <c r="V159" s="458" t="s">
        <v>55</v>
      </c>
      <c r="W159" s="458" t="s">
        <v>55</v>
      </c>
      <c r="X159" s="143" t="s">
        <v>416</v>
      </c>
      <c r="Y159" s="66"/>
      <c r="Z159" s="67"/>
      <c r="AA159" s="67"/>
      <c r="AB159" s="67"/>
      <c r="AC159" s="67"/>
      <c r="AD159" s="67"/>
      <c r="AE159" s="68"/>
      <c r="AF159" s="67"/>
      <c r="AG159" s="67"/>
      <c r="AH159" s="67"/>
      <c r="AI159" s="67"/>
      <c r="AJ159" s="69"/>
      <c r="AK159" s="67"/>
      <c r="AL159" s="70"/>
      <c r="AM159" s="71"/>
      <c r="AN159" s="71"/>
      <c r="AO159" s="72"/>
      <c r="AP159" s="72"/>
      <c r="AQ159" s="72"/>
      <c r="AR159" s="72"/>
    </row>
    <row r="160" spans="2:44" ht="30" customHeight="1" x14ac:dyDescent="0.25">
      <c r="B160" s="470" t="s">
        <v>439</v>
      </c>
      <c r="C160" s="459">
        <v>1</v>
      </c>
      <c r="D160" s="459" t="s">
        <v>440</v>
      </c>
      <c r="E160" s="459"/>
      <c r="F160" s="459"/>
      <c r="G160" s="459"/>
      <c r="H160" s="59">
        <v>350</v>
      </c>
      <c r="I160" s="459"/>
      <c r="J160" s="459"/>
      <c r="K160" s="471"/>
      <c r="L160" s="459"/>
      <c r="M160" s="458"/>
      <c r="N160" s="458"/>
      <c r="O160" s="458" t="s">
        <v>55</v>
      </c>
      <c r="P160" s="458" t="s">
        <v>55</v>
      </c>
      <c r="Q160" s="458" t="s">
        <v>55</v>
      </c>
      <c r="R160" s="458" t="s">
        <v>55</v>
      </c>
      <c r="S160" s="458" t="s">
        <v>55</v>
      </c>
      <c r="T160" s="458" t="s">
        <v>55</v>
      </c>
      <c r="U160" s="458" t="s">
        <v>55</v>
      </c>
      <c r="V160" s="458" t="s">
        <v>55</v>
      </c>
      <c r="W160" s="458" t="s">
        <v>55</v>
      </c>
      <c r="X160" s="143" t="s">
        <v>418</v>
      </c>
      <c r="Y160" s="66" t="s">
        <v>419</v>
      </c>
      <c r="Z160" s="144" t="s">
        <v>55</v>
      </c>
      <c r="AA160" s="67" t="s">
        <v>55</v>
      </c>
      <c r="AB160" s="67"/>
      <c r="AC160" s="67"/>
      <c r="AD160" s="67" t="s">
        <v>55</v>
      </c>
      <c r="AE160" s="68">
        <f>K160*C159</f>
        <v>0</v>
      </c>
      <c r="AF160" s="67" t="s">
        <v>206</v>
      </c>
      <c r="AG160" s="67" t="s">
        <v>55</v>
      </c>
      <c r="AH160" s="67" t="s">
        <v>55</v>
      </c>
      <c r="AI160" s="67" t="s">
        <v>55</v>
      </c>
      <c r="AJ160" s="69" t="s">
        <v>226</v>
      </c>
      <c r="AK160" s="145" t="s">
        <v>208</v>
      </c>
      <c r="AL160" s="70" t="s">
        <v>420</v>
      </c>
      <c r="AM160" s="71">
        <v>81</v>
      </c>
      <c r="AN160" s="71"/>
      <c r="AO160" s="72">
        <v>8800</v>
      </c>
      <c r="AP160" s="72"/>
      <c r="AQ160" s="72"/>
      <c r="AR160" s="72"/>
    </row>
    <row r="161" spans="1:44" ht="42.75" x14ac:dyDescent="0.25">
      <c r="B161" s="58" t="s">
        <v>441</v>
      </c>
      <c r="C161" s="59">
        <v>1</v>
      </c>
      <c r="D161" s="59" t="s">
        <v>413</v>
      </c>
      <c r="E161" s="59" t="s">
        <v>442</v>
      </c>
      <c r="F161" s="59" t="s">
        <v>443</v>
      </c>
      <c r="G161" s="59">
        <f>9300*1.1</f>
        <v>10230</v>
      </c>
      <c r="H161" s="59">
        <f>635+50</f>
        <v>685</v>
      </c>
      <c r="I161" s="59">
        <v>2860</v>
      </c>
      <c r="J161" s="59" t="s">
        <v>224</v>
      </c>
      <c r="K161" s="60">
        <v>5.5</v>
      </c>
      <c r="L161" s="59">
        <f t="shared" ref="L161:L178" si="10">I161</f>
        <v>2860</v>
      </c>
      <c r="M161" s="63" t="s">
        <v>55</v>
      </c>
      <c r="N161" s="63" t="s">
        <v>55</v>
      </c>
      <c r="O161" s="63" t="s">
        <v>55</v>
      </c>
      <c r="P161" s="63" t="s">
        <v>55</v>
      </c>
      <c r="Q161" s="62"/>
      <c r="R161" s="63" t="s">
        <v>55</v>
      </c>
      <c r="S161" s="63" t="s">
        <v>55</v>
      </c>
      <c r="T161" s="63" t="s">
        <v>55</v>
      </c>
      <c r="U161" s="61" t="s">
        <v>55</v>
      </c>
      <c r="V161" s="61" t="s">
        <v>55</v>
      </c>
      <c r="W161" s="62" t="s">
        <v>55</v>
      </c>
      <c r="X161" s="65" t="s">
        <v>55</v>
      </c>
      <c r="Y161" s="66" t="s">
        <v>444</v>
      </c>
      <c r="Z161" s="67" t="s">
        <v>55</v>
      </c>
      <c r="AA161" s="67" t="s">
        <v>55</v>
      </c>
      <c r="AB161" s="67"/>
      <c r="AC161" s="67"/>
      <c r="AD161" s="67" t="s">
        <v>55</v>
      </c>
      <c r="AE161" s="68">
        <f>K161*C161</f>
        <v>5.5</v>
      </c>
      <c r="AF161" s="67" t="s">
        <v>206</v>
      </c>
      <c r="AG161" s="67" t="s">
        <v>55</v>
      </c>
      <c r="AH161" s="67" t="s">
        <v>55</v>
      </c>
      <c r="AI161" s="67" t="s">
        <v>55</v>
      </c>
      <c r="AJ161" s="69" t="s">
        <v>226</v>
      </c>
      <c r="AK161" s="67" t="s">
        <v>208</v>
      </c>
      <c r="AL161" s="70" t="s">
        <v>445</v>
      </c>
      <c r="AM161" s="71"/>
      <c r="AN161" s="71"/>
      <c r="AO161" s="72"/>
      <c r="AP161" s="72"/>
      <c r="AQ161" s="72"/>
      <c r="AR161" s="72"/>
    </row>
    <row r="162" spans="1:44" ht="42.75" x14ac:dyDescent="0.25">
      <c r="B162" s="58" t="s">
        <v>446</v>
      </c>
      <c r="C162" s="59">
        <v>1</v>
      </c>
      <c r="D162" s="59" t="s">
        <v>447</v>
      </c>
      <c r="E162" s="59" t="s">
        <v>414</v>
      </c>
      <c r="F162" s="59" t="s">
        <v>448</v>
      </c>
      <c r="G162" s="59">
        <f>8800*1.1</f>
        <v>9680</v>
      </c>
      <c r="H162" s="59">
        <f>480+50</f>
        <v>530</v>
      </c>
      <c r="I162" s="59">
        <v>2860</v>
      </c>
      <c r="J162" s="59" t="s">
        <v>224</v>
      </c>
      <c r="K162" s="60">
        <v>3</v>
      </c>
      <c r="L162" s="59">
        <f>I162</f>
        <v>2860</v>
      </c>
      <c r="M162" s="63" t="s">
        <v>55</v>
      </c>
      <c r="N162" s="63" t="s">
        <v>55</v>
      </c>
      <c r="O162" s="63" t="s">
        <v>55</v>
      </c>
      <c r="P162" s="63" t="s">
        <v>55</v>
      </c>
      <c r="Q162" s="62"/>
      <c r="R162" s="63" t="s">
        <v>55</v>
      </c>
      <c r="S162" s="63" t="s">
        <v>55</v>
      </c>
      <c r="T162" s="63" t="s">
        <v>55</v>
      </c>
      <c r="U162" s="61" t="s">
        <v>55</v>
      </c>
      <c r="V162" s="61" t="s">
        <v>55</v>
      </c>
      <c r="W162" s="62" t="s">
        <v>55</v>
      </c>
      <c r="X162" s="65" t="s">
        <v>55</v>
      </c>
      <c r="Y162" s="66" t="s">
        <v>444</v>
      </c>
      <c r="Z162" s="67" t="s">
        <v>55</v>
      </c>
      <c r="AA162" s="67" t="s">
        <v>55</v>
      </c>
      <c r="AB162" s="67"/>
      <c r="AC162" s="67"/>
      <c r="AD162" s="67" t="s">
        <v>55</v>
      </c>
      <c r="AE162" s="68">
        <f>K162*C162</f>
        <v>3</v>
      </c>
      <c r="AF162" s="67" t="s">
        <v>206</v>
      </c>
      <c r="AG162" s="67" t="s">
        <v>55</v>
      </c>
      <c r="AH162" s="67" t="s">
        <v>55</v>
      </c>
      <c r="AI162" s="67" t="s">
        <v>55</v>
      </c>
      <c r="AJ162" s="69" t="s">
        <v>226</v>
      </c>
      <c r="AK162" s="67" t="s">
        <v>208</v>
      </c>
      <c r="AL162" s="70" t="s">
        <v>445</v>
      </c>
      <c r="AM162" s="71"/>
      <c r="AN162" s="71"/>
      <c r="AO162" s="72"/>
      <c r="AP162" s="72"/>
      <c r="AQ162" s="72"/>
      <c r="AR162" s="72"/>
    </row>
    <row r="163" spans="1:44" ht="42.75" x14ac:dyDescent="0.25">
      <c r="B163" s="58" t="s">
        <v>449</v>
      </c>
      <c r="C163" s="59">
        <v>1</v>
      </c>
      <c r="D163" s="59" t="s">
        <v>450</v>
      </c>
      <c r="E163" s="59" t="s">
        <v>442</v>
      </c>
      <c r="F163" s="59" t="s">
        <v>443</v>
      </c>
      <c r="G163" s="59">
        <f>9400*1.1</f>
        <v>10340</v>
      </c>
      <c r="H163" s="59">
        <f>530+50</f>
        <v>580</v>
      </c>
      <c r="I163" s="59">
        <v>2860</v>
      </c>
      <c r="J163" s="59" t="s">
        <v>224</v>
      </c>
      <c r="K163" s="60">
        <v>4</v>
      </c>
      <c r="L163" s="59">
        <f>I163</f>
        <v>2860</v>
      </c>
      <c r="M163" s="63" t="s">
        <v>55</v>
      </c>
      <c r="N163" s="63" t="s">
        <v>55</v>
      </c>
      <c r="O163" s="63" t="s">
        <v>55</v>
      </c>
      <c r="P163" s="63" t="s">
        <v>55</v>
      </c>
      <c r="Q163" s="62"/>
      <c r="R163" s="63" t="s">
        <v>55</v>
      </c>
      <c r="S163" s="63" t="s">
        <v>55</v>
      </c>
      <c r="T163" s="63" t="s">
        <v>55</v>
      </c>
      <c r="U163" s="61" t="s">
        <v>55</v>
      </c>
      <c r="V163" s="61" t="s">
        <v>55</v>
      </c>
      <c r="W163" s="62" t="s">
        <v>55</v>
      </c>
      <c r="X163" s="65" t="s">
        <v>55</v>
      </c>
      <c r="Y163" s="66" t="s">
        <v>444</v>
      </c>
      <c r="Z163" s="67" t="s">
        <v>55</v>
      </c>
      <c r="AA163" s="67" t="s">
        <v>55</v>
      </c>
      <c r="AB163" s="67"/>
      <c r="AC163" s="67"/>
      <c r="AD163" s="67" t="s">
        <v>55</v>
      </c>
      <c r="AE163" s="68">
        <v>0</v>
      </c>
      <c r="AF163" s="67" t="s">
        <v>206</v>
      </c>
      <c r="AG163" s="67" t="s">
        <v>55</v>
      </c>
      <c r="AH163" s="67" t="s">
        <v>55</v>
      </c>
      <c r="AI163" s="67" t="s">
        <v>55</v>
      </c>
      <c r="AJ163" s="69" t="s">
        <v>226</v>
      </c>
      <c r="AK163" s="67" t="s">
        <v>208</v>
      </c>
      <c r="AL163" s="70" t="s">
        <v>445</v>
      </c>
      <c r="AM163" s="71"/>
      <c r="AN163" s="71"/>
      <c r="AO163" s="72"/>
      <c r="AP163" s="72"/>
      <c r="AQ163" s="72"/>
      <c r="AR163" s="72"/>
    </row>
    <row r="164" spans="1:44" ht="43.5" thickBot="1" x14ac:dyDescent="0.3">
      <c r="B164" s="129" t="s">
        <v>451</v>
      </c>
      <c r="C164" s="130">
        <v>1</v>
      </c>
      <c r="D164" s="130" t="s">
        <v>452</v>
      </c>
      <c r="E164" s="130" t="s">
        <v>414</v>
      </c>
      <c r="F164" s="130" t="s">
        <v>453</v>
      </c>
      <c r="G164" s="130">
        <f>9400*1.1</f>
        <v>10340</v>
      </c>
      <c r="H164" s="130">
        <f>580+50</f>
        <v>630</v>
      </c>
      <c r="I164" s="130">
        <v>2860</v>
      </c>
      <c r="J164" s="130" t="s">
        <v>454</v>
      </c>
      <c r="K164" s="146">
        <v>4</v>
      </c>
      <c r="L164" s="130">
        <f>I164</f>
        <v>2860</v>
      </c>
      <c r="M164" s="132" t="s">
        <v>55</v>
      </c>
      <c r="N164" s="132" t="s">
        <v>55</v>
      </c>
      <c r="O164" s="132" t="s">
        <v>55</v>
      </c>
      <c r="P164" s="132" t="s">
        <v>55</v>
      </c>
      <c r="Q164" s="133"/>
      <c r="R164" s="132" t="s">
        <v>55</v>
      </c>
      <c r="S164" s="132" t="s">
        <v>55</v>
      </c>
      <c r="T164" s="132" t="s">
        <v>55</v>
      </c>
      <c r="U164" s="134" t="s">
        <v>55</v>
      </c>
      <c r="V164" s="134" t="s">
        <v>55</v>
      </c>
      <c r="W164" s="133" t="s">
        <v>55</v>
      </c>
      <c r="X164" s="135" t="s">
        <v>55</v>
      </c>
      <c r="Y164" s="66" t="s">
        <v>444</v>
      </c>
      <c r="Z164" s="67" t="s">
        <v>55</v>
      </c>
      <c r="AA164" s="67" t="s">
        <v>55</v>
      </c>
      <c r="AB164" s="67"/>
      <c r="AC164" s="67"/>
      <c r="AD164" s="67" t="s">
        <v>55</v>
      </c>
      <c r="AE164" s="68">
        <v>0</v>
      </c>
      <c r="AF164" s="67" t="s">
        <v>206</v>
      </c>
      <c r="AG164" s="67" t="s">
        <v>55</v>
      </c>
      <c r="AH164" s="67" t="s">
        <v>55</v>
      </c>
      <c r="AI164" s="67" t="s">
        <v>55</v>
      </c>
      <c r="AJ164" s="69" t="s">
        <v>226</v>
      </c>
      <c r="AK164" s="67" t="s">
        <v>208</v>
      </c>
      <c r="AL164" s="70" t="s">
        <v>445</v>
      </c>
      <c r="AM164" s="71"/>
      <c r="AN164" s="71"/>
      <c r="AO164" s="72"/>
      <c r="AP164" s="72"/>
      <c r="AQ164" s="72"/>
      <c r="AR164" s="72"/>
    </row>
    <row r="165" spans="1:44" ht="43.5" thickBot="1" x14ac:dyDescent="0.3">
      <c r="B165" s="147" t="s">
        <v>455</v>
      </c>
      <c r="C165" s="138">
        <v>1</v>
      </c>
      <c r="D165" s="138" t="s">
        <v>456</v>
      </c>
      <c r="E165" s="138" t="s">
        <v>442</v>
      </c>
      <c r="F165" s="138" t="s">
        <v>443</v>
      </c>
      <c r="G165" s="138">
        <f>9300*1.1</f>
        <v>10230</v>
      </c>
      <c r="H165" s="138">
        <f>1100</f>
        <v>1100</v>
      </c>
      <c r="I165" s="138">
        <v>2860</v>
      </c>
      <c r="J165" s="138" t="s">
        <v>224</v>
      </c>
      <c r="K165" s="148">
        <v>7.5</v>
      </c>
      <c r="L165" s="138">
        <f>I165</f>
        <v>2860</v>
      </c>
      <c r="M165" s="139" t="s">
        <v>55</v>
      </c>
      <c r="N165" s="139" t="s">
        <v>55</v>
      </c>
      <c r="O165" s="139" t="s">
        <v>55</v>
      </c>
      <c r="P165" s="139" t="s">
        <v>55</v>
      </c>
      <c r="Q165" s="140"/>
      <c r="R165" s="139" t="s">
        <v>55</v>
      </c>
      <c r="S165" s="139" t="s">
        <v>55</v>
      </c>
      <c r="T165" s="139" t="s">
        <v>55</v>
      </c>
      <c r="U165" s="141" t="s">
        <v>55</v>
      </c>
      <c r="V165" s="141" t="s">
        <v>55</v>
      </c>
      <c r="W165" s="140" t="s">
        <v>55</v>
      </c>
      <c r="X165" s="142" t="s">
        <v>55</v>
      </c>
      <c r="Y165" s="66" t="s">
        <v>444</v>
      </c>
      <c r="Z165" s="67" t="s">
        <v>55</v>
      </c>
      <c r="AA165" s="67" t="s">
        <v>55</v>
      </c>
      <c r="AB165" s="67"/>
      <c r="AC165" s="67"/>
      <c r="AD165" s="67" t="s">
        <v>55</v>
      </c>
      <c r="AE165" s="68">
        <f t="shared" ref="AE165:AE184" si="11">K165*C165</f>
        <v>7.5</v>
      </c>
      <c r="AF165" s="67" t="s">
        <v>206</v>
      </c>
      <c r="AG165" s="67" t="s">
        <v>55</v>
      </c>
      <c r="AH165" s="67" t="s">
        <v>55</v>
      </c>
      <c r="AI165" s="67" t="s">
        <v>55</v>
      </c>
      <c r="AJ165" s="69" t="s">
        <v>226</v>
      </c>
      <c r="AK165" s="67" t="s">
        <v>208</v>
      </c>
      <c r="AL165" s="70" t="s">
        <v>445</v>
      </c>
      <c r="AM165" s="71"/>
      <c r="AN165" s="71"/>
      <c r="AO165" s="72"/>
      <c r="AP165" s="72"/>
      <c r="AQ165" s="72"/>
      <c r="AR165" s="72"/>
    </row>
    <row r="166" spans="1:44" ht="42.75" x14ac:dyDescent="0.25">
      <c r="B166" s="98" t="s">
        <v>457</v>
      </c>
      <c r="C166" s="77">
        <v>1</v>
      </c>
      <c r="D166" s="77" t="s">
        <v>433</v>
      </c>
      <c r="E166" s="77" t="s">
        <v>442</v>
      </c>
      <c r="F166" s="77" t="s">
        <v>443</v>
      </c>
      <c r="G166" s="77">
        <f>8800*1.1</f>
        <v>9680</v>
      </c>
      <c r="H166" s="77">
        <v>700</v>
      </c>
      <c r="I166" s="77">
        <v>2860</v>
      </c>
      <c r="J166" s="77" t="s">
        <v>224</v>
      </c>
      <c r="K166" s="101">
        <v>5.5</v>
      </c>
      <c r="L166" s="77">
        <f>I166</f>
        <v>2860</v>
      </c>
      <c r="M166" s="102" t="s">
        <v>55</v>
      </c>
      <c r="N166" s="102" t="s">
        <v>55</v>
      </c>
      <c r="O166" s="102" t="s">
        <v>55</v>
      </c>
      <c r="P166" s="102" t="s">
        <v>55</v>
      </c>
      <c r="Q166" s="103"/>
      <c r="R166" s="102" t="s">
        <v>55</v>
      </c>
      <c r="S166" s="102" t="s">
        <v>55</v>
      </c>
      <c r="T166" s="102" t="s">
        <v>55</v>
      </c>
      <c r="U166" s="104" t="s">
        <v>55</v>
      </c>
      <c r="V166" s="104" t="s">
        <v>55</v>
      </c>
      <c r="W166" s="103" t="s">
        <v>55</v>
      </c>
      <c r="X166" s="105" t="s">
        <v>55</v>
      </c>
      <c r="Y166" s="66" t="s">
        <v>444</v>
      </c>
      <c r="Z166" s="67" t="s">
        <v>55</v>
      </c>
      <c r="AA166" s="67" t="s">
        <v>55</v>
      </c>
      <c r="AB166" s="67"/>
      <c r="AC166" s="67"/>
      <c r="AD166" s="67" t="s">
        <v>55</v>
      </c>
      <c r="AE166" s="68">
        <f t="shared" si="11"/>
        <v>5.5</v>
      </c>
      <c r="AF166" s="67" t="s">
        <v>206</v>
      </c>
      <c r="AG166" s="67" t="s">
        <v>55</v>
      </c>
      <c r="AH166" s="67" t="s">
        <v>55</v>
      </c>
      <c r="AI166" s="67" t="s">
        <v>55</v>
      </c>
      <c r="AJ166" s="69" t="s">
        <v>226</v>
      </c>
      <c r="AK166" s="67" t="s">
        <v>208</v>
      </c>
      <c r="AL166" s="70" t="s">
        <v>445</v>
      </c>
      <c r="AM166" s="71"/>
      <c r="AN166" s="71"/>
      <c r="AO166" s="72"/>
      <c r="AP166" s="72"/>
      <c r="AQ166" s="72"/>
      <c r="AR166" s="72"/>
    </row>
    <row r="167" spans="1:44" ht="57" x14ac:dyDescent="0.25">
      <c r="B167" s="58" t="s">
        <v>458</v>
      </c>
      <c r="C167" s="59">
        <v>1</v>
      </c>
      <c r="D167" s="59" t="s">
        <v>459</v>
      </c>
      <c r="E167" s="59" t="s">
        <v>442</v>
      </c>
      <c r="F167" s="59" t="s">
        <v>460</v>
      </c>
      <c r="G167" s="59">
        <v>19790</v>
      </c>
      <c r="H167" s="59">
        <f>200+50</f>
        <v>250</v>
      </c>
      <c r="I167" s="59">
        <v>2850</v>
      </c>
      <c r="J167" s="59" t="s">
        <v>224</v>
      </c>
      <c r="K167" s="60">
        <v>4</v>
      </c>
      <c r="L167" s="59">
        <f t="shared" si="10"/>
        <v>2850</v>
      </c>
      <c r="M167" s="63" t="s">
        <v>55</v>
      </c>
      <c r="N167" s="63" t="s">
        <v>55</v>
      </c>
      <c r="O167" s="63" t="s">
        <v>55</v>
      </c>
      <c r="P167" s="63" t="s">
        <v>55</v>
      </c>
      <c r="Q167" s="62"/>
      <c r="R167" s="63" t="s">
        <v>55</v>
      </c>
      <c r="S167" s="63" t="s">
        <v>55</v>
      </c>
      <c r="T167" s="63" t="s">
        <v>55</v>
      </c>
      <c r="U167" s="61" t="s">
        <v>55</v>
      </c>
      <c r="V167" s="61" t="s">
        <v>55</v>
      </c>
      <c r="W167" s="62" t="s">
        <v>55</v>
      </c>
      <c r="X167" s="65" t="s">
        <v>55</v>
      </c>
      <c r="Y167" s="66"/>
      <c r="Z167" s="67" t="s">
        <v>55</v>
      </c>
      <c r="AA167" s="67" t="s">
        <v>55</v>
      </c>
      <c r="AB167" s="67"/>
      <c r="AC167" s="67"/>
      <c r="AD167" s="67" t="s">
        <v>55</v>
      </c>
      <c r="AE167" s="68">
        <f t="shared" si="11"/>
        <v>4</v>
      </c>
      <c r="AF167" s="67" t="s">
        <v>206</v>
      </c>
      <c r="AG167" s="67" t="s">
        <v>55</v>
      </c>
      <c r="AH167" s="67" t="s">
        <v>55</v>
      </c>
      <c r="AI167" s="67" t="s">
        <v>55</v>
      </c>
      <c r="AJ167" s="69" t="s">
        <v>226</v>
      </c>
      <c r="AK167" s="67" t="s">
        <v>208</v>
      </c>
      <c r="AL167" s="70"/>
      <c r="AM167" s="71"/>
      <c r="AN167" s="71"/>
      <c r="AO167" s="72"/>
      <c r="AP167" s="72"/>
      <c r="AQ167" s="72"/>
      <c r="AR167" s="72"/>
    </row>
    <row r="168" spans="1:44" ht="57" x14ac:dyDescent="0.25">
      <c r="B168" s="58" t="s">
        <v>461</v>
      </c>
      <c r="C168" s="59">
        <v>1</v>
      </c>
      <c r="D168" s="59" t="s">
        <v>462</v>
      </c>
      <c r="E168" s="59" t="s">
        <v>442</v>
      </c>
      <c r="F168" s="59" t="s">
        <v>460</v>
      </c>
      <c r="G168" s="59">
        <v>19790</v>
      </c>
      <c r="H168" s="59">
        <f>200+50</f>
        <v>250</v>
      </c>
      <c r="I168" s="59">
        <v>2850</v>
      </c>
      <c r="J168" s="59" t="s">
        <v>224</v>
      </c>
      <c r="K168" s="60">
        <v>4</v>
      </c>
      <c r="L168" s="59">
        <f>I168</f>
        <v>2850</v>
      </c>
      <c r="M168" s="63" t="s">
        <v>55</v>
      </c>
      <c r="N168" s="63" t="s">
        <v>55</v>
      </c>
      <c r="O168" s="63" t="s">
        <v>55</v>
      </c>
      <c r="P168" s="63" t="s">
        <v>55</v>
      </c>
      <c r="Q168" s="62"/>
      <c r="R168" s="63" t="s">
        <v>55</v>
      </c>
      <c r="S168" s="63" t="s">
        <v>55</v>
      </c>
      <c r="T168" s="63" t="s">
        <v>55</v>
      </c>
      <c r="U168" s="61" t="s">
        <v>55</v>
      </c>
      <c r="V168" s="61" t="s">
        <v>55</v>
      </c>
      <c r="W168" s="62" t="s">
        <v>55</v>
      </c>
      <c r="X168" s="65" t="s">
        <v>55</v>
      </c>
      <c r="Y168" s="66"/>
      <c r="Z168" s="67" t="s">
        <v>55</v>
      </c>
      <c r="AA168" s="67" t="s">
        <v>55</v>
      </c>
      <c r="AB168" s="67"/>
      <c r="AC168" s="67"/>
      <c r="AD168" s="67" t="s">
        <v>55</v>
      </c>
      <c r="AE168" s="68">
        <f t="shared" si="11"/>
        <v>4</v>
      </c>
      <c r="AF168" s="67" t="s">
        <v>206</v>
      </c>
      <c r="AG168" s="67" t="s">
        <v>55</v>
      </c>
      <c r="AH168" s="67" t="s">
        <v>55</v>
      </c>
      <c r="AI168" s="67" t="s">
        <v>55</v>
      </c>
      <c r="AJ168" s="69" t="s">
        <v>226</v>
      </c>
      <c r="AK168" s="67" t="s">
        <v>208</v>
      </c>
      <c r="AL168" s="70"/>
      <c r="AM168" s="71"/>
      <c r="AN168" s="71"/>
      <c r="AO168" s="72"/>
      <c r="AP168" s="72"/>
      <c r="AQ168" s="72"/>
      <c r="AR168" s="72"/>
    </row>
    <row r="169" spans="1:44" ht="57" x14ac:dyDescent="0.25">
      <c r="B169" s="58" t="s">
        <v>463</v>
      </c>
      <c r="C169" s="59">
        <v>1</v>
      </c>
      <c r="D169" s="59" t="s">
        <v>464</v>
      </c>
      <c r="E169" s="59" t="s">
        <v>442</v>
      </c>
      <c r="F169" s="59" t="s">
        <v>460</v>
      </c>
      <c r="G169" s="59">
        <v>17640</v>
      </c>
      <c r="H169" s="59">
        <f>200+50</f>
        <v>250</v>
      </c>
      <c r="I169" s="59">
        <v>2850</v>
      </c>
      <c r="J169" s="59" t="s">
        <v>224</v>
      </c>
      <c r="K169" s="60">
        <v>4</v>
      </c>
      <c r="L169" s="59">
        <f t="shared" si="10"/>
        <v>2850</v>
      </c>
      <c r="M169" s="63" t="s">
        <v>55</v>
      </c>
      <c r="N169" s="63" t="s">
        <v>55</v>
      </c>
      <c r="O169" s="63" t="s">
        <v>55</v>
      </c>
      <c r="P169" s="63" t="s">
        <v>55</v>
      </c>
      <c r="Q169" s="62"/>
      <c r="R169" s="63" t="s">
        <v>55</v>
      </c>
      <c r="S169" s="63" t="s">
        <v>55</v>
      </c>
      <c r="T169" s="63" t="s">
        <v>55</v>
      </c>
      <c r="U169" s="61" t="s">
        <v>55</v>
      </c>
      <c r="V169" s="61" t="s">
        <v>55</v>
      </c>
      <c r="W169" s="62" t="s">
        <v>55</v>
      </c>
      <c r="X169" s="65" t="s">
        <v>55</v>
      </c>
      <c r="Y169" s="66"/>
      <c r="Z169" s="67" t="s">
        <v>55</v>
      </c>
      <c r="AA169" s="67" t="s">
        <v>55</v>
      </c>
      <c r="AB169" s="67"/>
      <c r="AC169" s="67"/>
      <c r="AD169" s="67" t="s">
        <v>55</v>
      </c>
      <c r="AE169" s="68">
        <f t="shared" si="11"/>
        <v>4</v>
      </c>
      <c r="AF169" s="67" t="s">
        <v>206</v>
      </c>
      <c r="AG169" s="67" t="s">
        <v>55</v>
      </c>
      <c r="AH169" s="67" t="s">
        <v>55</v>
      </c>
      <c r="AI169" s="67" t="s">
        <v>55</v>
      </c>
      <c r="AJ169" s="69" t="s">
        <v>226</v>
      </c>
      <c r="AK169" s="67" t="s">
        <v>208</v>
      </c>
      <c r="AL169" s="70"/>
      <c r="AM169" s="71"/>
      <c r="AN169" s="71"/>
      <c r="AO169" s="72"/>
      <c r="AP169" s="72"/>
      <c r="AQ169" s="72"/>
      <c r="AR169" s="72"/>
    </row>
    <row r="170" spans="1:44" ht="57" x14ac:dyDescent="0.25">
      <c r="B170" s="58" t="s">
        <v>465</v>
      </c>
      <c r="C170" s="59">
        <v>1</v>
      </c>
      <c r="D170" s="59" t="s">
        <v>466</v>
      </c>
      <c r="E170" s="59" t="s">
        <v>442</v>
      </c>
      <c r="F170" s="59" t="s">
        <v>460</v>
      </c>
      <c r="G170" s="59">
        <v>17640</v>
      </c>
      <c r="H170" s="59">
        <f>200+50</f>
        <v>250</v>
      </c>
      <c r="I170" s="59">
        <v>2850</v>
      </c>
      <c r="J170" s="59" t="s">
        <v>224</v>
      </c>
      <c r="K170" s="60">
        <v>4</v>
      </c>
      <c r="L170" s="59">
        <f t="shared" si="10"/>
        <v>2850</v>
      </c>
      <c r="M170" s="63" t="s">
        <v>55</v>
      </c>
      <c r="N170" s="63" t="s">
        <v>55</v>
      </c>
      <c r="O170" s="63" t="s">
        <v>55</v>
      </c>
      <c r="P170" s="63" t="s">
        <v>55</v>
      </c>
      <c r="Q170" s="62"/>
      <c r="R170" s="63" t="s">
        <v>55</v>
      </c>
      <c r="S170" s="63" t="s">
        <v>55</v>
      </c>
      <c r="T170" s="63" t="s">
        <v>55</v>
      </c>
      <c r="U170" s="61" t="s">
        <v>55</v>
      </c>
      <c r="V170" s="61" t="s">
        <v>55</v>
      </c>
      <c r="W170" s="62" t="s">
        <v>55</v>
      </c>
      <c r="X170" s="65" t="s">
        <v>55</v>
      </c>
      <c r="Y170" s="66"/>
      <c r="Z170" s="67" t="s">
        <v>55</v>
      </c>
      <c r="AA170" s="67" t="s">
        <v>55</v>
      </c>
      <c r="AB170" s="67"/>
      <c r="AC170" s="67"/>
      <c r="AD170" s="67" t="s">
        <v>55</v>
      </c>
      <c r="AE170" s="68">
        <f t="shared" si="11"/>
        <v>4</v>
      </c>
      <c r="AF170" s="67" t="s">
        <v>206</v>
      </c>
      <c r="AG170" s="67" t="s">
        <v>55</v>
      </c>
      <c r="AH170" s="67" t="s">
        <v>55</v>
      </c>
      <c r="AI170" s="67" t="s">
        <v>55</v>
      </c>
      <c r="AJ170" s="69" t="s">
        <v>226</v>
      </c>
      <c r="AK170" s="67" t="s">
        <v>208</v>
      </c>
      <c r="AL170" s="70"/>
      <c r="AM170" s="71"/>
      <c r="AN170" s="71"/>
      <c r="AO170" s="72"/>
      <c r="AP170" s="72"/>
      <c r="AQ170" s="72"/>
      <c r="AR170" s="72"/>
    </row>
    <row r="171" spans="1:44" s="149" customFormat="1" ht="57" x14ac:dyDescent="0.25">
      <c r="A171" s="5"/>
      <c r="B171" s="58" t="s">
        <v>467</v>
      </c>
      <c r="C171" s="59">
        <v>1</v>
      </c>
      <c r="D171" s="59" t="s">
        <v>468</v>
      </c>
      <c r="E171" s="59" t="s">
        <v>442</v>
      </c>
      <c r="F171" s="59" t="s">
        <v>469</v>
      </c>
      <c r="G171" s="59">
        <v>11340</v>
      </c>
      <c r="H171" s="59">
        <f>470+50</f>
        <v>520</v>
      </c>
      <c r="I171" s="59">
        <v>2860</v>
      </c>
      <c r="J171" s="59" t="s">
        <v>224</v>
      </c>
      <c r="K171" s="60">
        <v>3</v>
      </c>
      <c r="L171" s="59">
        <f t="shared" si="10"/>
        <v>2860</v>
      </c>
      <c r="M171" s="63" t="s">
        <v>55</v>
      </c>
      <c r="N171" s="63" t="s">
        <v>55</v>
      </c>
      <c r="O171" s="63" t="s">
        <v>55</v>
      </c>
      <c r="P171" s="63" t="s">
        <v>55</v>
      </c>
      <c r="Q171" s="62"/>
      <c r="R171" s="63" t="s">
        <v>55</v>
      </c>
      <c r="S171" s="63" t="s">
        <v>55</v>
      </c>
      <c r="T171" s="63" t="s">
        <v>55</v>
      </c>
      <c r="U171" s="61" t="s">
        <v>55</v>
      </c>
      <c r="V171" s="61" t="s">
        <v>55</v>
      </c>
      <c r="W171" s="62" t="s">
        <v>55</v>
      </c>
      <c r="X171" s="65" t="s">
        <v>55</v>
      </c>
      <c r="Y171" s="66"/>
      <c r="Z171" s="67" t="s">
        <v>55</v>
      </c>
      <c r="AA171" s="67" t="s">
        <v>55</v>
      </c>
      <c r="AB171" s="67"/>
      <c r="AC171" s="67"/>
      <c r="AD171" s="67" t="s">
        <v>55</v>
      </c>
      <c r="AE171" s="68">
        <f t="shared" si="11"/>
        <v>3</v>
      </c>
      <c r="AF171" s="67" t="s">
        <v>206</v>
      </c>
      <c r="AG171" s="67" t="s">
        <v>55</v>
      </c>
      <c r="AH171" s="67" t="s">
        <v>55</v>
      </c>
      <c r="AI171" s="67" t="s">
        <v>55</v>
      </c>
      <c r="AJ171" s="69" t="s">
        <v>226</v>
      </c>
      <c r="AK171" s="67" t="s">
        <v>208</v>
      </c>
      <c r="AL171" s="70"/>
      <c r="AM171" s="71"/>
      <c r="AN171" s="71"/>
      <c r="AO171" s="72"/>
      <c r="AP171" s="72"/>
      <c r="AQ171" s="72"/>
      <c r="AR171" s="72"/>
    </row>
    <row r="172" spans="1:44" s="149" customFormat="1" ht="57" x14ac:dyDescent="0.25">
      <c r="A172" s="5"/>
      <c r="B172" s="58" t="s">
        <v>470</v>
      </c>
      <c r="C172" s="59">
        <v>1</v>
      </c>
      <c r="D172" s="59" t="s">
        <v>471</v>
      </c>
      <c r="E172" s="59" t="s">
        <v>472</v>
      </c>
      <c r="F172" s="59" t="s">
        <v>473</v>
      </c>
      <c r="G172" s="59">
        <v>1240</v>
      </c>
      <c r="H172" s="59">
        <v>300</v>
      </c>
      <c r="I172" s="59">
        <v>1415</v>
      </c>
      <c r="J172" s="59" t="s">
        <v>224</v>
      </c>
      <c r="K172" s="60">
        <v>0.75</v>
      </c>
      <c r="L172" s="59">
        <f t="shared" si="10"/>
        <v>1415</v>
      </c>
      <c r="M172" s="63" t="s">
        <v>217</v>
      </c>
      <c r="N172" s="59">
        <v>-24</v>
      </c>
      <c r="O172" s="59">
        <v>18</v>
      </c>
      <c r="P172" s="59">
        <f>ROUNDUP(G172*1.2*(O172-N172)/3600,1)</f>
        <v>17.400000000000002</v>
      </c>
      <c r="Q172" s="62">
        <v>22.5</v>
      </c>
      <c r="R172" s="63" t="s">
        <v>55</v>
      </c>
      <c r="S172" s="63" t="s">
        <v>55</v>
      </c>
      <c r="T172" s="63" t="s">
        <v>55</v>
      </c>
      <c r="U172" s="61" t="s">
        <v>55</v>
      </c>
      <c r="V172" s="61" t="s">
        <v>55</v>
      </c>
      <c r="W172" s="62" t="s">
        <v>55</v>
      </c>
      <c r="X172" s="65" t="s">
        <v>55</v>
      </c>
      <c r="Y172" s="66"/>
      <c r="Z172" s="67" t="s">
        <v>55</v>
      </c>
      <c r="AA172" s="67" t="s">
        <v>55</v>
      </c>
      <c r="AB172" s="67"/>
      <c r="AC172" s="67"/>
      <c r="AD172" s="67" t="s">
        <v>55</v>
      </c>
      <c r="AE172" s="68">
        <f t="shared" si="11"/>
        <v>0.75</v>
      </c>
      <c r="AF172" s="67" t="s">
        <v>206</v>
      </c>
      <c r="AG172" s="67" t="s">
        <v>55</v>
      </c>
      <c r="AH172" s="67" t="s">
        <v>55</v>
      </c>
      <c r="AI172" s="67" t="s">
        <v>55</v>
      </c>
      <c r="AJ172" s="69" t="s">
        <v>226</v>
      </c>
      <c r="AK172" s="67" t="s">
        <v>208</v>
      </c>
      <c r="AL172" s="70"/>
      <c r="AM172" s="71"/>
      <c r="AN172" s="71"/>
      <c r="AO172" s="72"/>
      <c r="AP172" s="72"/>
      <c r="AQ172" s="72"/>
      <c r="AR172" s="72"/>
    </row>
    <row r="173" spans="1:44" s="149" customFormat="1" ht="57" x14ac:dyDescent="0.25">
      <c r="A173" s="5"/>
      <c r="B173" s="58" t="s">
        <v>474</v>
      </c>
      <c r="C173" s="59">
        <v>1</v>
      </c>
      <c r="D173" s="59" t="s">
        <v>475</v>
      </c>
      <c r="E173" s="59" t="s">
        <v>442</v>
      </c>
      <c r="F173" s="59" t="s">
        <v>469</v>
      </c>
      <c r="G173" s="59">
        <v>11340</v>
      </c>
      <c r="H173" s="59">
        <f>470+50</f>
        <v>520</v>
      </c>
      <c r="I173" s="59">
        <v>2860</v>
      </c>
      <c r="J173" s="59" t="s">
        <v>224</v>
      </c>
      <c r="K173" s="60">
        <v>3</v>
      </c>
      <c r="L173" s="59">
        <f t="shared" si="10"/>
        <v>2860</v>
      </c>
      <c r="M173" s="63" t="s">
        <v>55</v>
      </c>
      <c r="N173" s="63" t="s">
        <v>55</v>
      </c>
      <c r="O173" s="63" t="s">
        <v>55</v>
      </c>
      <c r="P173" s="63" t="s">
        <v>55</v>
      </c>
      <c r="Q173" s="62"/>
      <c r="R173" s="63" t="s">
        <v>55</v>
      </c>
      <c r="S173" s="63" t="s">
        <v>55</v>
      </c>
      <c r="T173" s="63" t="s">
        <v>55</v>
      </c>
      <c r="U173" s="61" t="s">
        <v>55</v>
      </c>
      <c r="V173" s="61" t="s">
        <v>55</v>
      </c>
      <c r="W173" s="62" t="s">
        <v>55</v>
      </c>
      <c r="X173" s="65" t="s">
        <v>55</v>
      </c>
      <c r="Y173" s="66"/>
      <c r="Z173" s="67" t="s">
        <v>55</v>
      </c>
      <c r="AA173" s="67" t="s">
        <v>55</v>
      </c>
      <c r="AB173" s="67"/>
      <c r="AC173" s="67"/>
      <c r="AD173" s="67" t="s">
        <v>55</v>
      </c>
      <c r="AE173" s="68">
        <f t="shared" si="11"/>
        <v>3</v>
      </c>
      <c r="AF173" s="67" t="s">
        <v>206</v>
      </c>
      <c r="AG173" s="67" t="s">
        <v>55</v>
      </c>
      <c r="AH173" s="67" t="s">
        <v>55</v>
      </c>
      <c r="AI173" s="67" t="s">
        <v>55</v>
      </c>
      <c r="AJ173" s="69" t="s">
        <v>226</v>
      </c>
      <c r="AK173" s="67" t="s">
        <v>208</v>
      </c>
      <c r="AL173" s="70"/>
      <c r="AM173" s="71"/>
      <c r="AN173" s="71"/>
      <c r="AO173" s="72"/>
      <c r="AP173" s="72"/>
      <c r="AQ173" s="72"/>
      <c r="AR173" s="72"/>
    </row>
    <row r="174" spans="1:44" s="149" customFormat="1" ht="57" x14ac:dyDescent="0.25">
      <c r="A174" s="5"/>
      <c r="B174" s="58" t="s">
        <v>476</v>
      </c>
      <c r="C174" s="59">
        <v>1</v>
      </c>
      <c r="D174" s="59" t="s">
        <v>477</v>
      </c>
      <c r="E174" s="59" t="s">
        <v>472</v>
      </c>
      <c r="F174" s="59" t="s">
        <v>473</v>
      </c>
      <c r="G174" s="59">
        <v>1240</v>
      </c>
      <c r="H174" s="59">
        <v>300</v>
      </c>
      <c r="I174" s="59">
        <v>1415</v>
      </c>
      <c r="J174" s="59" t="s">
        <v>224</v>
      </c>
      <c r="K174" s="60">
        <v>0.75</v>
      </c>
      <c r="L174" s="59">
        <f t="shared" si="10"/>
        <v>1415</v>
      </c>
      <c r="M174" s="63" t="s">
        <v>217</v>
      </c>
      <c r="N174" s="59">
        <v>-24</v>
      </c>
      <c r="O174" s="59">
        <v>18</v>
      </c>
      <c r="P174" s="59">
        <f>ROUNDUP(G174*1.2*(O174-N174)/3600,1)</f>
        <v>17.400000000000002</v>
      </c>
      <c r="Q174" s="62">
        <v>22.5</v>
      </c>
      <c r="R174" s="63" t="s">
        <v>55</v>
      </c>
      <c r="S174" s="63" t="s">
        <v>55</v>
      </c>
      <c r="T174" s="63" t="s">
        <v>55</v>
      </c>
      <c r="U174" s="61" t="s">
        <v>55</v>
      </c>
      <c r="V174" s="61" t="s">
        <v>55</v>
      </c>
      <c r="W174" s="62" t="s">
        <v>55</v>
      </c>
      <c r="X174" s="65" t="s">
        <v>55</v>
      </c>
      <c r="Y174" s="66"/>
      <c r="Z174" s="67" t="s">
        <v>55</v>
      </c>
      <c r="AA174" s="67" t="s">
        <v>55</v>
      </c>
      <c r="AB174" s="67"/>
      <c r="AC174" s="67"/>
      <c r="AD174" s="67" t="s">
        <v>55</v>
      </c>
      <c r="AE174" s="68">
        <f t="shared" si="11"/>
        <v>0.75</v>
      </c>
      <c r="AF174" s="67" t="s">
        <v>206</v>
      </c>
      <c r="AG174" s="67" t="s">
        <v>55</v>
      </c>
      <c r="AH174" s="67" t="s">
        <v>55</v>
      </c>
      <c r="AI174" s="67" t="s">
        <v>55</v>
      </c>
      <c r="AJ174" s="69" t="s">
        <v>226</v>
      </c>
      <c r="AK174" s="67" t="s">
        <v>208</v>
      </c>
      <c r="AL174" s="70"/>
      <c r="AM174" s="71"/>
      <c r="AN174" s="71"/>
      <c r="AO174" s="72"/>
      <c r="AP174" s="72"/>
      <c r="AQ174" s="72"/>
      <c r="AR174" s="72"/>
    </row>
    <row r="175" spans="1:44" ht="42.75" x14ac:dyDescent="0.25">
      <c r="B175" s="58" t="s">
        <v>478</v>
      </c>
      <c r="C175" s="59">
        <v>1</v>
      </c>
      <c r="D175" s="59" t="s">
        <v>479</v>
      </c>
      <c r="E175" s="59" t="s">
        <v>442</v>
      </c>
      <c r="F175" s="59" t="s">
        <v>480</v>
      </c>
      <c r="G175" s="59">
        <v>17460</v>
      </c>
      <c r="H175" s="59">
        <f>200+50</f>
        <v>250</v>
      </c>
      <c r="I175" s="59">
        <v>2850</v>
      </c>
      <c r="J175" s="59" t="s">
        <v>224</v>
      </c>
      <c r="K175" s="60">
        <v>4</v>
      </c>
      <c r="L175" s="59">
        <f t="shared" si="10"/>
        <v>2850</v>
      </c>
      <c r="M175" s="63" t="s">
        <v>55</v>
      </c>
      <c r="N175" s="63" t="s">
        <v>55</v>
      </c>
      <c r="O175" s="63" t="s">
        <v>55</v>
      </c>
      <c r="P175" s="63" t="s">
        <v>55</v>
      </c>
      <c r="Q175" s="62"/>
      <c r="R175" s="63" t="s">
        <v>55</v>
      </c>
      <c r="S175" s="63" t="s">
        <v>55</v>
      </c>
      <c r="T175" s="63" t="s">
        <v>55</v>
      </c>
      <c r="U175" s="61" t="s">
        <v>55</v>
      </c>
      <c r="V175" s="61" t="s">
        <v>55</v>
      </c>
      <c r="W175" s="62" t="s">
        <v>55</v>
      </c>
      <c r="X175" s="65" t="s">
        <v>55</v>
      </c>
      <c r="Y175" s="66"/>
      <c r="Z175" s="67" t="s">
        <v>55</v>
      </c>
      <c r="AA175" s="67" t="s">
        <v>55</v>
      </c>
      <c r="AB175" s="67"/>
      <c r="AC175" s="67"/>
      <c r="AD175" s="67" t="s">
        <v>55</v>
      </c>
      <c r="AE175" s="68">
        <f t="shared" si="11"/>
        <v>4</v>
      </c>
      <c r="AF175" s="67" t="s">
        <v>206</v>
      </c>
      <c r="AG175" s="67" t="s">
        <v>55</v>
      </c>
      <c r="AH175" s="67" t="s">
        <v>55</v>
      </c>
      <c r="AI175" s="67" t="s">
        <v>55</v>
      </c>
      <c r="AJ175" s="69" t="s">
        <v>226</v>
      </c>
      <c r="AK175" s="67" t="s">
        <v>208</v>
      </c>
      <c r="AL175" s="70"/>
      <c r="AM175" s="71"/>
      <c r="AN175" s="71"/>
      <c r="AO175" s="72"/>
      <c r="AP175" s="72"/>
      <c r="AQ175" s="72"/>
      <c r="AR175" s="72"/>
    </row>
    <row r="176" spans="1:44" ht="42.75" x14ac:dyDescent="0.25">
      <c r="B176" s="58" t="s">
        <v>481</v>
      </c>
      <c r="C176" s="59">
        <v>1</v>
      </c>
      <c r="D176" s="59" t="s">
        <v>479</v>
      </c>
      <c r="E176" s="59" t="s">
        <v>442</v>
      </c>
      <c r="F176" s="59" t="s">
        <v>480</v>
      </c>
      <c r="G176" s="59">
        <v>17460</v>
      </c>
      <c r="H176" s="59">
        <f>200+50</f>
        <v>250</v>
      </c>
      <c r="I176" s="59">
        <v>2850</v>
      </c>
      <c r="J176" s="59" t="s">
        <v>224</v>
      </c>
      <c r="K176" s="60">
        <v>4</v>
      </c>
      <c r="L176" s="59">
        <f t="shared" si="10"/>
        <v>2850</v>
      </c>
      <c r="M176" s="63" t="s">
        <v>55</v>
      </c>
      <c r="N176" s="63" t="s">
        <v>55</v>
      </c>
      <c r="O176" s="63" t="s">
        <v>55</v>
      </c>
      <c r="P176" s="63" t="s">
        <v>55</v>
      </c>
      <c r="Q176" s="62"/>
      <c r="R176" s="63" t="s">
        <v>55</v>
      </c>
      <c r="S176" s="63" t="s">
        <v>55</v>
      </c>
      <c r="T176" s="63" t="s">
        <v>55</v>
      </c>
      <c r="U176" s="61" t="s">
        <v>55</v>
      </c>
      <c r="V176" s="61" t="s">
        <v>55</v>
      </c>
      <c r="W176" s="62" t="s">
        <v>55</v>
      </c>
      <c r="X176" s="65" t="s">
        <v>55</v>
      </c>
      <c r="Y176" s="66"/>
      <c r="Z176" s="67" t="s">
        <v>55</v>
      </c>
      <c r="AA176" s="67" t="s">
        <v>55</v>
      </c>
      <c r="AB176" s="67"/>
      <c r="AC176" s="67"/>
      <c r="AD176" s="67" t="s">
        <v>55</v>
      </c>
      <c r="AE176" s="68">
        <f t="shared" si="11"/>
        <v>4</v>
      </c>
      <c r="AF176" s="67" t="s">
        <v>206</v>
      </c>
      <c r="AG176" s="67" t="s">
        <v>55</v>
      </c>
      <c r="AH176" s="67" t="s">
        <v>55</v>
      </c>
      <c r="AI176" s="67" t="s">
        <v>55</v>
      </c>
      <c r="AJ176" s="69" t="s">
        <v>226</v>
      </c>
      <c r="AK176" s="67" t="s">
        <v>208</v>
      </c>
      <c r="AL176" s="70"/>
      <c r="AM176" s="71"/>
      <c r="AN176" s="71"/>
      <c r="AO176" s="72"/>
      <c r="AP176" s="72"/>
      <c r="AQ176" s="72"/>
      <c r="AR176" s="72"/>
    </row>
    <row r="177" spans="1:44" s="149" customFormat="1" ht="57" x14ac:dyDescent="0.25">
      <c r="A177" s="5"/>
      <c r="B177" s="58" t="s">
        <v>482</v>
      </c>
      <c r="C177" s="59">
        <v>1</v>
      </c>
      <c r="D177" s="59" t="s">
        <v>483</v>
      </c>
      <c r="E177" s="59" t="s">
        <v>442</v>
      </c>
      <c r="F177" s="59" t="s">
        <v>469</v>
      </c>
      <c r="G177" s="59">
        <v>11340</v>
      </c>
      <c r="H177" s="59">
        <f>430+50</f>
        <v>480</v>
      </c>
      <c r="I177" s="59">
        <v>2860</v>
      </c>
      <c r="J177" s="59" t="s">
        <v>224</v>
      </c>
      <c r="K177" s="60">
        <v>3</v>
      </c>
      <c r="L177" s="59">
        <f t="shared" si="10"/>
        <v>2860</v>
      </c>
      <c r="M177" s="63" t="s">
        <v>55</v>
      </c>
      <c r="N177" s="63" t="s">
        <v>55</v>
      </c>
      <c r="O177" s="63" t="s">
        <v>55</v>
      </c>
      <c r="P177" s="63" t="s">
        <v>55</v>
      </c>
      <c r="Q177" s="62"/>
      <c r="R177" s="63" t="s">
        <v>55</v>
      </c>
      <c r="S177" s="63" t="s">
        <v>55</v>
      </c>
      <c r="T177" s="63" t="s">
        <v>55</v>
      </c>
      <c r="U177" s="61" t="s">
        <v>55</v>
      </c>
      <c r="V177" s="61" t="s">
        <v>55</v>
      </c>
      <c r="W177" s="62" t="s">
        <v>55</v>
      </c>
      <c r="X177" s="65" t="s">
        <v>55</v>
      </c>
      <c r="Y177" s="66"/>
      <c r="Z177" s="67" t="s">
        <v>55</v>
      </c>
      <c r="AA177" s="67" t="s">
        <v>55</v>
      </c>
      <c r="AB177" s="67"/>
      <c r="AC177" s="67"/>
      <c r="AD177" s="67" t="s">
        <v>55</v>
      </c>
      <c r="AE177" s="68">
        <f t="shared" si="11"/>
        <v>3</v>
      </c>
      <c r="AF177" s="67" t="s">
        <v>206</v>
      </c>
      <c r="AG177" s="67" t="s">
        <v>55</v>
      </c>
      <c r="AH177" s="67" t="s">
        <v>55</v>
      </c>
      <c r="AI177" s="67" t="s">
        <v>55</v>
      </c>
      <c r="AJ177" s="69" t="s">
        <v>226</v>
      </c>
      <c r="AK177" s="67" t="s">
        <v>208</v>
      </c>
      <c r="AL177" s="70"/>
      <c r="AM177" s="71"/>
      <c r="AN177" s="71"/>
      <c r="AO177" s="72"/>
      <c r="AP177" s="72"/>
      <c r="AQ177" s="72"/>
      <c r="AR177" s="72"/>
    </row>
    <row r="178" spans="1:44" s="149" customFormat="1" ht="57" x14ac:dyDescent="0.25">
      <c r="A178" s="5"/>
      <c r="B178" s="58" t="s">
        <v>484</v>
      </c>
      <c r="C178" s="59">
        <v>1</v>
      </c>
      <c r="D178" s="59" t="s">
        <v>485</v>
      </c>
      <c r="E178" s="59" t="s">
        <v>472</v>
      </c>
      <c r="F178" s="59" t="s">
        <v>473</v>
      </c>
      <c r="G178" s="59">
        <v>1990</v>
      </c>
      <c r="H178" s="59">
        <f>340+50</f>
        <v>390</v>
      </c>
      <c r="I178" s="59">
        <v>1415</v>
      </c>
      <c r="J178" s="59" t="s">
        <v>224</v>
      </c>
      <c r="K178" s="60">
        <v>1.1000000000000001</v>
      </c>
      <c r="L178" s="59">
        <f t="shared" si="10"/>
        <v>1415</v>
      </c>
      <c r="M178" s="63" t="s">
        <v>217</v>
      </c>
      <c r="N178" s="59">
        <v>-24</v>
      </c>
      <c r="O178" s="59">
        <v>18</v>
      </c>
      <c r="P178" s="59">
        <f>ROUNDUP(G178*1.2*(O178-N178)/3600,1)</f>
        <v>27.900000000000002</v>
      </c>
      <c r="Q178" s="62">
        <v>30</v>
      </c>
      <c r="R178" s="63" t="s">
        <v>55</v>
      </c>
      <c r="S178" s="63" t="s">
        <v>55</v>
      </c>
      <c r="T178" s="63" t="s">
        <v>55</v>
      </c>
      <c r="U178" s="61" t="s">
        <v>55</v>
      </c>
      <c r="V178" s="61" t="s">
        <v>55</v>
      </c>
      <c r="W178" s="62" t="s">
        <v>55</v>
      </c>
      <c r="X178" s="65" t="s">
        <v>55</v>
      </c>
      <c r="Y178" s="66"/>
      <c r="Z178" s="67" t="s">
        <v>55</v>
      </c>
      <c r="AA178" s="67" t="s">
        <v>55</v>
      </c>
      <c r="AB178" s="67"/>
      <c r="AC178" s="67"/>
      <c r="AD178" s="67" t="s">
        <v>55</v>
      </c>
      <c r="AE178" s="68">
        <f t="shared" si="11"/>
        <v>1.1000000000000001</v>
      </c>
      <c r="AF178" s="67" t="s">
        <v>206</v>
      </c>
      <c r="AG178" s="67" t="s">
        <v>55</v>
      </c>
      <c r="AH178" s="67" t="s">
        <v>55</v>
      </c>
      <c r="AI178" s="67" t="s">
        <v>55</v>
      </c>
      <c r="AJ178" s="69" t="s">
        <v>226</v>
      </c>
      <c r="AK178" s="67" t="s">
        <v>208</v>
      </c>
      <c r="AL178" s="70"/>
      <c r="AM178" s="71"/>
      <c r="AN178" s="71"/>
      <c r="AO178" s="72"/>
      <c r="AP178" s="72"/>
      <c r="AQ178" s="72"/>
      <c r="AR178" s="72"/>
    </row>
    <row r="179" spans="1:44" ht="57" x14ac:dyDescent="0.25">
      <c r="B179" s="150" t="s">
        <v>486</v>
      </c>
      <c r="C179" s="59">
        <v>2</v>
      </c>
      <c r="D179" s="151" t="s">
        <v>487</v>
      </c>
      <c r="E179" s="152" t="s">
        <v>488</v>
      </c>
      <c r="F179" s="59" t="s">
        <v>489</v>
      </c>
      <c r="G179" s="59"/>
      <c r="H179" s="59"/>
      <c r="I179" s="59"/>
      <c r="J179" s="59" t="s">
        <v>216</v>
      </c>
      <c r="K179" s="60">
        <f>1.65*2</f>
        <v>3.3</v>
      </c>
      <c r="L179" s="59" t="s">
        <v>55</v>
      </c>
      <c r="M179" s="63" t="s">
        <v>55</v>
      </c>
      <c r="N179" s="63" t="s">
        <v>55</v>
      </c>
      <c r="O179" s="63" t="s">
        <v>55</v>
      </c>
      <c r="P179" s="63" t="s">
        <v>55</v>
      </c>
      <c r="Q179" s="62">
        <f>SUM(Q172:Q178)</f>
        <v>75</v>
      </c>
      <c r="R179" s="63" t="s">
        <v>55</v>
      </c>
      <c r="S179" s="63" t="s">
        <v>55</v>
      </c>
      <c r="T179" s="63" t="s">
        <v>55</v>
      </c>
      <c r="U179" s="61" t="s">
        <v>55</v>
      </c>
      <c r="V179" s="61" t="s">
        <v>55</v>
      </c>
      <c r="W179" s="62">
        <v>5.3</v>
      </c>
      <c r="X179" s="153" t="s">
        <v>490</v>
      </c>
      <c r="Y179" s="66"/>
      <c r="Z179" s="67" t="s">
        <v>55</v>
      </c>
      <c r="AA179" s="67" t="s">
        <v>55</v>
      </c>
      <c r="AB179" s="67"/>
      <c r="AC179" s="67"/>
      <c r="AD179" s="67" t="s">
        <v>55</v>
      </c>
      <c r="AE179" s="68">
        <f t="shared" si="11"/>
        <v>6.6</v>
      </c>
      <c r="AF179" s="67" t="s">
        <v>206</v>
      </c>
      <c r="AG179" s="67" t="s">
        <v>55</v>
      </c>
      <c r="AH179" s="67" t="s">
        <v>55</v>
      </c>
      <c r="AI179" s="67" t="s">
        <v>55</v>
      </c>
      <c r="AJ179" s="69" t="s">
        <v>226</v>
      </c>
      <c r="AK179" s="67" t="s">
        <v>208</v>
      </c>
      <c r="AL179" s="70"/>
      <c r="AM179" s="71"/>
      <c r="AN179" s="71"/>
      <c r="AO179" s="72"/>
      <c r="AP179" s="72"/>
      <c r="AQ179" s="72"/>
      <c r="AR179" s="72"/>
    </row>
    <row r="180" spans="1:44" ht="57" x14ac:dyDescent="0.25">
      <c r="B180" s="150" t="s">
        <v>491</v>
      </c>
      <c r="C180" s="59">
        <v>2</v>
      </c>
      <c r="D180" s="151" t="s">
        <v>492</v>
      </c>
      <c r="E180" s="152" t="s">
        <v>488</v>
      </c>
      <c r="F180" s="59" t="s">
        <v>489</v>
      </c>
      <c r="G180" s="59"/>
      <c r="H180" s="59"/>
      <c r="I180" s="59"/>
      <c r="J180" s="59" t="s">
        <v>216</v>
      </c>
      <c r="K180" s="60">
        <f>1.65*2</f>
        <v>3.3</v>
      </c>
      <c r="L180" s="59" t="s">
        <v>55</v>
      </c>
      <c r="M180" s="63" t="s">
        <v>55</v>
      </c>
      <c r="N180" s="63" t="s">
        <v>55</v>
      </c>
      <c r="O180" s="63" t="s">
        <v>55</v>
      </c>
      <c r="P180" s="63" t="s">
        <v>55</v>
      </c>
      <c r="Q180" s="62"/>
      <c r="R180" s="63" t="s">
        <v>55</v>
      </c>
      <c r="S180" s="63" t="s">
        <v>55</v>
      </c>
      <c r="T180" s="63" t="s">
        <v>55</v>
      </c>
      <c r="U180" s="61" t="s">
        <v>55</v>
      </c>
      <c r="V180" s="61" t="s">
        <v>55</v>
      </c>
      <c r="W180" s="62">
        <v>5.3</v>
      </c>
      <c r="X180" s="153" t="s">
        <v>490</v>
      </c>
      <c r="Y180" s="66"/>
      <c r="Z180" s="67" t="s">
        <v>55</v>
      </c>
      <c r="AA180" s="67" t="s">
        <v>55</v>
      </c>
      <c r="AB180" s="67"/>
      <c r="AC180" s="67"/>
      <c r="AD180" s="67" t="s">
        <v>55</v>
      </c>
      <c r="AE180" s="68">
        <f t="shared" si="11"/>
        <v>6.6</v>
      </c>
      <c r="AF180" s="67" t="s">
        <v>206</v>
      </c>
      <c r="AG180" s="67" t="s">
        <v>55</v>
      </c>
      <c r="AH180" s="67" t="s">
        <v>55</v>
      </c>
      <c r="AI180" s="67" t="s">
        <v>55</v>
      </c>
      <c r="AJ180" s="69" t="s">
        <v>226</v>
      </c>
      <c r="AK180" s="67" t="s">
        <v>208</v>
      </c>
      <c r="AL180" s="70"/>
      <c r="AM180" s="71"/>
      <c r="AN180" s="71"/>
      <c r="AO180" s="72"/>
      <c r="AP180" s="72"/>
      <c r="AQ180" s="72"/>
      <c r="AR180" s="72"/>
    </row>
    <row r="181" spans="1:44" ht="42.75" x14ac:dyDescent="0.25">
      <c r="B181" s="150" t="s">
        <v>493</v>
      </c>
      <c r="C181" s="59">
        <v>1</v>
      </c>
      <c r="D181" s="151" t="s">
        <v>494</v>
      </c>
      <c r="E181" s="154" t="s">
        <v>495</v>
      </c>
      <c r="F181" s="59" t="s">
        <v>496</v>
      </c>
      <c r="G181" s="59"/>
      <c r="H181" s="59"/>
      <c r="I181" s="59"/>
      <c r="J181" s="59" t="s">
        <v>216</v>
      </c>
      <c r="K181" s="60">
        <v>2.2999999999999998</v>
      </c>
      <c r="L181" s="59" t="s">
        <v>55</v>
      </c>
      <c r="M181" s="63" t="s">
        <v>55</v>
      </c>
      <c r="N181" s="63" t="s">
        <v>55</v>
      </c>
      <c r="O181" s="63" t="s">
        <v>55</v>
      </c>
      <c r="P181" s="63" t="s">
        <v>55</v>
      </c>
      <c r="Q181" s="62"/>
      <c r="R181" s="63" t="s">
        <v>55</v>
      </c>
      <c r="S181" s="63" t="s">
        <v>55</v>
      </c>
      <c r="T181" s="63" t="s">
        <v>55</v>
      </c>
      <c r="U181" s="61" t="s">
        <v>55</v>
      </c>
      <c r="V181" s="61" t="s">
        <v>55</v>
      </c>
      <c r="W181" s="62">
        <v>8.3000000000000007</v>
      </c>
      <c r="X181" s="153" t="s">
        <v>497</v>
      </c>
      <c r="Y181" s="66"/>
      <c r="Z181" s="67" t="s">
        <v>55</v>
      </c>
      <c r="AA181" s="67" t="s">
        <v>55</v>
      </c>
      <c r="AB181" s="67"/>
      <c r="AC181" s="67"/>
      <c r="AD181" s="67" t="s">
        <v>55</v>
      </c>
      <c r="AE181" s="68">
        <f t="shared" si="11"/>
        <v>2.2999999999999998</v>
      </c>
      <c r="AF181" s="67" t="s">
        <v>206</v>
      </c>
      <c r="AG181" s="67" t="s">
        <v>55</v>
      </c>
      <c r="AH181" s="67" t="s">
        <v>55</v>
      </c>
      <c r="AI181" s="67" t="s">
        <v>55</v>
      </c>
      <c r="AJ181" s="69" t="s">
        <v>226</v>
      </c>
      <c r="AK181" s="67" t="s">
        <v>208</v>
      </c>
      <c r="AL181" s="70" t="e">
        <f>W60</f>
        <v>#VALUE!</v>
      </c>
      <c r="AM181" s="71"/>
      <c r="AN181" s="71"/>
      <c r="AO181" s="72"/>
      <c r="AP181" s="72"/>
      <c r="AQ181" s="72"/>
      <c r="AR181" s="72"/>
    </row>
    <row r="182" spans="1:44" ht="42.75" x14ac:dyDescent="0.25">
      <c r="B182" s="150" t="s">
        <v>498</v>
      </c>
      <c r="C182" s="59">
        <v>1</v>
      </c>
      <c r="D182" s="151" t="s">
        <v>382</v>
      </c>
      <c r="E182" s="154" t="s">
        <v>495</v>
      </c>
      <c r="F182" s="59" t="s">
        <v>499</v>
      </c>
      <c r="G182" s="59"/>
      <c r="H182" s="59"/>
      <c r="I182" s="59"/>
      <c r="J182" s="59" t="s">
        <v>216</v>
      </c>
      <c r="K182" s="60">
        <v>0.7</v>
      </c>
      <c r="L182" s="59" t="s">
        <v>55</v>
      </c>
      <c r="M182" s="63" t="s">
        <v>55</v>
      </c>
      <c r="N182" s="63" t="s">
        <v>55</v>
      </c>
      <c r="O182" s="63" t="s">
        <v>55</v>
      </c>
      <c r="P182" s="63" t="s">
        <v>55</v>
      </c>
      <c r="Q182" s="62"/>
      <c r="R182" s="63" t="s">
        <v>55</v>
      </c>
      <c r="S182" s="63" t="s">
        <v>55</v>
      </c>
      <c r="T182" s="63" t="s">
        <v>55</v>
      </c>
      <c r="U182" s="61" t="s">
        <v>55</v>
      </c>
      <c r="V182" s="61" t="s">
        <v>55</v>
      </c>
      <c r="W182" s="155">
        <v>2.9</v>
      </c>
      <c r="X182" s="153" t="s">
        <v>500</v>
      </c>
      <c r="Y182" s="66"/>
      <c r="Z182" s="67" t="s">
        <v>55</v>
      </c>
      <c r="AA182" s="67" t="s">
        <v>55</v>
      </c>
      <c r="AB182" s="67"/>
      <c r="AC182" s="67"/>
      <c r="AD182" s="67" t="s">
        <v>55</v>
      </c>
      <c r="AE182" s="68">
        <f t="shared" si="11"/>
        <v>0.7</v>
      </c>
      <c r="AF182" s="67" t="s">
        <v>206</v>
      </c>
      <c r="AG182" s="67" t="s">
        <v>55</v>
      </c>
      <c r="AH182" s="67" t="s">
        <v>55</v>
      </c>
      <c r="AI182" s="67" t="s">
        <v>55</v>
      </c>
      <c r="AJ182" s="69" t="s">
        <v>226</v>
      </c>
      <c r="AK182" s="67" t="s">
        <v>208</v>
      </c>
      <c r="AL182" s="70" t="e">
        <f>#REF!</f>
        <v>#REF!</v>
      </c>
      <c r="AM182" s="71"/>
      <c r="AN182" s="71"/>
      <c r="AO182" s="72"/>
      <c r="AP182" s="72"/>
      <c r="AQ182" s="72"/>
      <c r="AR182" s="72"/>
    </row>
    <row r="183" spans="1:44" ht="42.75" x14ac:dyDescent="0.25">
      <c r="B183" s="156" t="s">
        <v>501</v>
      </c>
      <c r="C183" s="77">
        <v>1</v>
      </c>
      <c r="D183" s="157" t="s">
        <v>260</v>
      </c>
      <c r="E183" s="158" t="s">
        <v>495</v>
      </c>
      <c r="F183" s="77" t="s">
        <v>502</v>
      </c>
      <c r="G183" s="77"/>
      <c r="H183" s="77"/>
      <c r="I183" s="77"/>
      <c r="J183" s="77" t="s">
        <v>216</v>
      </c>
      <c r="K183" s="101">
        <v>9</v>
      </c>
      <c r="L183" s="77" t="s">
        <v>55</v>
      </c>
      <c r="M183" s="102" t="s">
        <v>55</v>
      </c>
      <c r="N183" s="102" t="s">
        <v>55</v>
      </c>
      <c r="O183" s="102" t="s">
        <v>55</v>
      </c>
      <c r="P183" s="102" t="s">
        <v>55</v>
      </c>
      <c r="Q183" s="103"/>
      <c r="R183" s="102" t="s">
        <v>55</v>
      </c>
      <c r="S183" s="102" t="s">
        <v>55</v>
      </c>
      <c r="T183" s="102" t="s">
        <v>55</v>
      </c>
      <c r="U183" s="104" t="s">
        <v>55</v>
      </c>
      <c r="V183" s="104" t="s">
        <v>55</v>
      </c>
      <c r="W183" s="103">
        <v>32.4</v>
      </c>
      <c r="X183" s="159" t="s">
        <v>503</v>
      </c>
      <c r="Y183" s="66"/>
      <c r="Z183" s="67" t="s">
        <v>55</v>
      </c>
      <c r="AA183" s="67" t="s">
        <v>55</v>
      </c>
      <c r="AB183" s="67"/>
      <c r="AC183" s="67"/>
      <c r="AD183" s="67" t="s">
        <v>55</v>
      </c>
      <c r="AE183" s="68">
        <f t="shared" si="11"/>
        <v>9</v>
      </c>
      <c r="AF183" s="67" t="s">
        <v>206</v>
      </c>
      <c r="AG183" s="67" t="s">
        <v>55</v>
      </c>
      <c r="AH183" s="67" t="s">
        <v>55</v>
      </c>
      <c r="AI183" s="67" t="s">
        <v>55</v>
      </c>
      <c r="AJ183" s="69" t="s">
        <v>226</v>
      </c>
      <c r="AK183" s="67" t="s">
        <v>208</v>
      </c>
      <c r="AL183" s="70" t="str">
        <f>W62</f>
        <v>-</v>
      </c>
      <c r="AM183" s="71"/>
      <c r="AN183" s="71"/>
      <c r="AO183" s="72"/>
      <c r="AP183" s="72"/>
      <c r="AQ183" s="72"/>
      <c r="AR183" s="72"/>
    </row>
    <row r="184" spans="1:44" ht="72" thickBot="1" x14ac:dyDescent="0.3">
      <c r="B184" s="160" t="s">
        <v>504</v>
      </c>
      <c r="C184" s="109">
        <v>1</v>
      </c>
      <c r="D184" s="161" t="s">
        <v>505</v>
      </c>
      <c r="E184" s="162" t="s">
        <v>495</v>
      </c>
      <c r="F184" s="77" t="s">
        <v>506</v>
      </c>
      <c r="G184" s="109"/>
      <c r="H184" s="109"/>
      <c r="I184" s="109"/>
      <c r="J184" s="109" t="s">
        <v>216</v>
      </c>
      <c r="K184" s="112">
        <v>1.8</v>
      </c>
      <c r="L184" s="109" t="s">
        <v>55</v>
      </c>
      <c r="M184" s="113" t="s">
        <v>55</v>
      </c>
      <c r="N184" s="113" t="s">
        <v>55</v>
      </c>
      <c r="O184" s="113" t="s">
        <v>55</v>
      </c>
      <c r="P184" s="113" t="s">
        <v>55</v>
      </c>
      <c r="Q184" s="114"/>
      <c r="R184" s="113" t="s">
        <v>55</v>
      </c>
      <c r="S184" s="113" t="s">
        <v>55</v>
      </c>
      <c r="T184" s="113" t="s">
        <v>55</v>
      </c>
      <c r="U184" s="115" t="s">
        <v>55</v>
      </c>
      <c r="V184" s="115" t="s">
        <v>55</v>
      </c>
      <c r="W184" s="163">
        <v>6.4</v>
      </c>
      <c r="X184" s="164" t="s">
        <v>507</v>
      </c>
      <c r="Y184" s="66"/>
      <c r="Z184" s="67" t="s">
        <v>55</v>
      </c>
      <c r="AA184" s="67" t="s">
        <v>55</v>
      </c>
      <c r="AB184" s="67"/>
      <c r="AC184" s="67"/>
      <c r="AD184" s="67" t="s">
        <v>55</v>
      </c>
      <c r="AE184" s="68">
        <f t="shared" si="11"/>
        <v>1.8</v>
      </c>
      <c r="AF184" s="67" t="s">
        <v>206</v>
      </c>
      <c r="AG184" s="67" t="s">
        <v>55</v>
      </c>
      <c r="AH184" s="67" t="s">
        <v>55</v>
      </c>
      <c r="AI184" s="67" t="s">
        <v>55</v>
      </c>
      <c r="AJ184" s="69" t="s">
        <v>226</v>
      </c>
      <c r="AK184" s="67" t="s">
        <v>208</v>
      </c>
      <c r="AL184" s="70" t="e">
        <f>#REF!</f>
        <v>#REF!</v>
      </c>
      <c r="AM184" s="71"/>
      <c r="AN184" s="71"/>
      <c r="AO184" s="72"/>
      <c r="AP184" s="72"/>
      <c r="AQ184" s="72"/>
      <c r="AR184" s="72"/>
    </row>
    <row r="185" spans="1:44" ht="24" customHeight="1" x14ac:dyDescent="0.25">
      <c r="K185" s="167">
        <f>SUM(K7:K184)</f>
        <v>186.83099999999999</v>
      </c>
      <c r="P185" s="168"/>
      <c r="Z185" s="5" t="e">
        <f>SUM(Z9:Z94)</f>
        <v>#VALUE!</v>
      </c>
      <c r="AE185" s="167">
        <f>SUM(AE9:AE94)</f>
        <v>438.2030000000002</v>
      </c>
    </row>
    <row r="186" spans="1:44" ht="24" customHeight="1" x14ac:dyDescent="0.25">
      <c r="B186" s="169"/>
      <c r="C186" s="169"/>
      <c r="D186" s="169"/>
      <c r="E186" s="169"/>
      <c r="F186" s="169"/>
      <c r="G186" s="169"/>
      <c r="H186" s="169"/>
      <c r="I186" s="169"/>
      <c r="J186" s="169"/>
      <c r="K186" s="477"/>
      <c r="L186" s="477"/>
      <c r="M186" s="1"/>
    </row>
  </sheetData>
  <sheetProtection formatCells="0" formatColumns="0" formatRows="0" insertColumns="0" insertRows="0" insertHyperlinks="0" deleteColumns="0" deleteRows="0" sort="0" autoFilter="0" pivotTables="0"/>
  <autoFilter ref="B6:X185" xr:uid="{FCA32FAC-C166-4D22-A939-61D11DFFEC18}"/>
  <mergeCells count="190">
    <mergeCell ref="K186:L186"/>
    <mergeCell ref="P159:P160"/>
    <mergeCell ref="Q159:Q160"/>
    <mergeCell ref="R159:R160"/>
    <mergeCell ref="S159:S160"/>
    <mergeCell ref="T159:T160"/>
    <mergeCell ref="U159:U160"/>
    <mergeCell ref="M159:M160"/>
    <mergeCell ref="N159:N160"/>
    <mergeCell ref="O159:O160"/>
    <mergeCell ref="U157:U158"/>
    <mergeCell ref="V157:V158"/>
    <mergeCell ref="W157:W158"/>
    <mergeCell ref="Q157:Q158"/>
    <mergeCell ref="R157:R158"/>
    <mergeCell ref="S157:S158"/>
    <mergeCell ref="T157:T158"/>
    <mergeCell ref="V159:V160"/>
    <mergeCell ref="W159:W160"/>
    <mergeCell ref="B159:B160"/>
    <mergeCell ref="C159:C160"/>
    <mergeCell ref="D159:D160"/>
    <mergeCell ref="E159:E160"/>
    <mergeCell ref="F159:F160"/>
    <mergeCell ref="G159:G160"/>
    <mergeCell ref="I159:I160"/>
    <mergeCell ref="O157:O158"/>
    <mergeCell ref="P157:P158"/>
    <mergeCell ref="I157:I158"/>
    <mergeCell ref="J157:J158"/>
    <mergeCell ref="K157:K158"/>
    <mergeCell ref="L157:L158"/>
    <mergeCell ref="M157:M158"/>
    <mergeCell ref="N157:N158"/>
    <mergeCell ref="B157:B158"/>
    <mergeCell ref="C157:C158"/>
    <mergeCell ref="D157:D158"/>
    <mergeCell ref="E157:E158"/>
    <mergeCell ref="F157:F158"/>
    <mergeCell ref="G157:G158"/>
    <mergeCell ref="J159:J160"/>
    <mergeCell ref="K159:K160"/>
    <mergeCell ref="L159:L160"/>
    <mergeCell ref="T155:T156"/>
    <mergeCell ref="U155:U156"/>
    <mergeCell ref="V155:V156"/>
    <mergeCell ref="W155:W156"/>
    <mergeCell ref="L155:L156"/>
    <mergeCell ref="M155:M156"/>
    <mergeCell ref="N155:N156"/>
    <mergeCell ref="O155:O156"/>
    <mergeCell ref="P155:P156"/>
    <mergeCell ref="Q155:Q156"/>
    <mergeCell ref="W153:W154"/>
    <mergeCell ref="B155:B156"/>
    <mergeCell ref="C155:C156"/>
    <mergeCell ref="D155:D156"/>
    <mergeCell ref="E155:E156"/>
    <mergeCell ref="F155:F156"/>
    <mergeCell ref="G155:G156"/>
    <mergeCell ref="I155:I156"/>
    <mergeCell ref="J155:J156"/>
    <mergeCell ref="K155:K156"/>
    <mergeCell ref="Q153:Q154"/>
    <mergeCell ref="R153:R154"/>
    <mergeCell ref="S153:S154"/>
    <mergeCell ref="T153:T154"/>
    <mergeCell ref="U153:U154"/>
    <mergeCell ref="V153:V154"/>
    <mergeCell ref="K153:K154"/>
    <mergeCell ref="L153:L154"/>
    <mergeCell ref="M153:M154"/>
    <mergeCell ref="N153:N154"/>
    <mergeCell ref="O153:O154"/>
    <mergeCell ref="P153:P154"/>
    <mergeCell ref="R155:R156"/>
    <mergeCell ref="S155:S156"/>
    <mergeCell ref="Q151:Q152"/>
    <mergeCell ref="R151:R152"/>
    <mergeCell ref="S151:S152"/>
    <mergeCell ref="T151:T152"/>
    <mergeCell ref="U151:U152"/>
    <mergeCell ref="J151:J152"/>
    <mergeCell ref="K151:K152"/>
    <mergeCell ref="L151:L152"/>
    <mergeCell ref="M151:M152"/>
    <mergeCell ref="N151:N152"/>
    <mergeCell ref="O151:O152"/>
    <mergeCell ref="B153:B154"/>
    <mergeCell ref="C153:C154"/>
    <mergeCell ref="D153:D154"/>
    <mergeCell ref="E153:E154"/>
    <mergeCell ref="F153:F154"/>
    <mergeCell ref="G153:G154"/>
    <mergeCell ref="I153:I154"/>
    <mergeCell ref="J153:J154"/>
    <mergeCell ref="P151:P152"/>
    <mergeCell ref="W149:W150"/>
    <mergeCell ref="B151:B152"/>
    <mergeCell ref="C151:C152"/>
    <mergeCell ref="D151:D152"/>
    <mergeCell ref="E151:E152"/>
    <mergeCell ref="F151:F152"/>
    <mergeCell ref="G151:G152"/>
    <mergeCell ref="I151:I152"/>
    <mergeCell ref="O149:O150"/>
    <mergeCell ref="P149:P150"/>
    <mergeCell ref="Q149:Q150"/>
    <mergeCell ref="R149:R150"/>
    <mergeCell ref="S149:S150"/>
    <mergeCell ref="T149:T150"/>
    <mergeCell ref="I149:I150"/>
    <mergeCell ref="J149:J150"/>
    <mergeCell ref="K149:K150"/>
    <mergeCell ref="L149:L150"/>
    <mergeCell ref="M149:M150"/>
    <mergeCell ref="N149:N150"/>
    <mergeCell ref="B149:B150"/>
    <mergeCell ref="C149:C150"/>
    <mergeCell ref="V151:V152"/>
    <mergeCell ref="W151:W152"/>
    <mergeCell ref="D149:D150"/>
    <mergeCell ref="E149:E150"/>
    <mergeCell ref="F149:F150"/>
    <mergeCell ref="G149:G150"/>
    <mergeCell ref="R147:R148"/>
    <mergeCell ref="S147:S148"/>
    <mergeCell ref="T147:T148"/>
    <mergeCell ref="U147:U148"/>
    <mergeCell ref="V147:V148"/>
    <mergeCell ref="U149:U150"/>
    <mergeCell ref="V149:V150"/>
    <mergeCell ref="AM5:AN5"/>
    <mergeCell ref="B147:B148"/>
    <mergeCell ref="C147:C148"/>
    <mergeCell ref="D147:D148"/>
    <mergeCell ref="E147:E148"/>
    <mergeCell ref="F147:F148"/>
    <mergeCell ref="G147:G148"/>
    <mergeCell ref="I147:I148"/>
    <mergeCell ref="J147:J148"/>
    <mergeCell ref="K147:K148"/>
    <mergeCell ref="S4:S5"/>
    <mergeCell ref="T4:T5"/>
    <mergeCell ref="U4:V4"/>
    <mergeCell ref="W4:W5"/>
    <mergeCell ref="Z4:Z6"/>
    <mergeCell ref="AA4:AA6"/>
    <mergeCell ref="L4:L5"/>
    <mergeCell ref="AH2:AH6"/>
    <mergeCell ref="AI2:AI6"/>
    <mergeCell ref="AJ2:AJ6"/>
    <mergeCell ref="AK2:AK6"/>
    <mergeCell ref="AE2:AE6"/>
    <mergeCell ref="AF2:AF6"/>
    <mergeCell ref="AG2:AG6"/>
    <mergeCell ref="W147:W148"/>
    <mergeCell ref="L147:L148"/>
    <mergeCell ref="M147:M148"/>
    <mergeCell ref="N147:N148"/>
    <mergeCell ref="O147:O148"/>
    <mergeCell ref="P147:P148"/>
    <mergeCell ref="Q147:Q148"/>
    <mergeCell ref="Z2:AA3"/>
    <mergeCell ref="AB2:AD3"/>
    <mergeCell ref="AB4:AB6"/>
    <mergeCell ref="AC4:AC6"/>
    <mergeCell ref="AD4:AD6"/>
    <mergeCell ref="M4:M5"/>
    <mergeCell ref="N4:O4"/>
    <mergeCell ref="P4:P5"/>
    <mergeCell ref="Q4:Q5"/>
    <mergeCell ref="R4:R5"/>
    <mergeCell ref="B1:X1"/>
    <mergeCell ref="B2:B5"/>
    <mergeCell ref="C2:C5"/>
    <mergeCell ref="D2:D5"/>
    <mergeCell ref="E2:E5"/>
    <mergeCell ref="F2:I3"/>
    <mergeCell ref="J2:L3"/>
    <mergeCell ref="M2:Q3"/>
    <mergeCell ref="R2:S3"/>
    <mergeCell ref="T2:W3"/>
    <mergeCell ref="F4:F5"/>
    <mergeCell ref="G4:G5"/>
    <mergeCell ref="H4:H5"/>
    <mergeCell ref="I4:I5"/>
    <mergeCell ref="J4:J5"/>
    <mergeCell ref="K4:K5"/>
    <mergeCell ref="X2:X5"/>
  </mergeCells>
  <printOptions horizontalCentered="1"/>
  <pageMargins left="0.19685039370078741" right="0.23622047244094491" top="0.19685039370078741" bottom="1.1417322834645669" header="0.19685039370078741" footer="0.19685039370078741"/>
  <pageSetup paperSize="8" scale="96" fitToWidth="0" fitToHeight="0" orientation="landscape" blackAndWhite="1" useFirstPageNumber="1" errors="dash" r:id="rId1"/>
  <headerFooter scaleWithDoc="0">
    <oddHeader>&amp;L&amp;G</oddHeader>
    <oddFooter>&amp;R&amp;"Times New Roman,обычный"&amp;22&amp;X             &amp;"Arial,курсив"Приложение 2&amp;"ISOCPEUR,обычный"&amp;28     &amp;12 &amp;"Arial,курсив"&amp;X&amp;P  . &amp;"ISOCPEUR,обычный"  &amp;3              &amp;22&amp;X &amp;11&amp;X
&amp;"Arial,курсив"Формат А3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ACB31-E008-422E-8E1D-7C80D7F62540}">
  <dimension ref="A1"/>
  <sheetViews>
    <sheetView topLeftCell="A13" workbookViewId="0">
      <selection activeCell="Q15" sqref="Q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ВО</vt:lpstr>
      <vt:lpstr>Лист2</vt:lpstr>
      <vt:lpstr>ХОВС</vt:lpstr>
      <vt:lpstr>Лист1</vt:lpstr>
      <vt:lpstr>ВО!Заголовки_для_печати</vt:lpstr>
      <vt:lpstr>ХОВС!Заголовки_для_печати</vt:lpstr>
      <vt:lpstr>ВО!Область_печати</vt:lpstr>
      <vt:lpstr>ХОВС!Область_печати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Tkachenko Ekaterina</dc:creator>
  <cp:lastModifiedBy>Tkachenko Ekaterina</cp:lastModifiedBy>
  <cp:lastPrinted>2025-07-17T16:00:13Z</cp:lastPrinted>
  <dcterms:created xsi:type="dcterms:W3CDTF">2025-03-27T12:34:45Z</dcterms:created>
  <dcterms:modified xsi:type="dcterms:W3CDTF">2025-07-24T13:41:35Z</dcterms:modified>
</cp:coreProperties>
</file>