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Users\79307\Desktop\Ремонт кровли_Коломна\Усиление конструкций\"/>
    </mc:Choice>
  </mc:AlternateContent>
  <xr:revisionPtr revIDLastSave="0" documentId="13_ncr:1_{B0438EAB-583A-4407-8A4A-AA2927C95376}" xr6:coauthVersionLast="37" xr6:coauthVersionMax="47" xr10:uidLastSave="{00000000-0000-0000-0000-000000000000}"/>
  <bookViews>
    <workbookView xWindow="0" yWindow="0" windowWidth="28800" windowHeight="11925" xr2:uid="{00000000-000D-0000-FFFF-FFFF00000000}"/>
  </bookViews>
  <sheets>
    <sheet name="Лист1" sheetId="1" r:id="rId1"/>
  </sheets>
  <calcPr calcId="179021"/>
</workbook>
</file>

<file path=xl/calcChain.xml><?xml version="1.0" encoding="utf-8"?>
<calcChain xmlns="http://schemas.openxmlformats.org/spreadsheetml/2006/main">
  <c r="H191" i="1" l="1"/>
  <c r="D42" i="1"/>
  <c r="D34" i="1"/>
  <c r="I26" i="1"/>
  <c r="I25" i="1"/>
  <c r="H25" i="1" s="1"/>
  <c r="D24" i="1"/>
  <c r="D14" i="1"/>
  <c r="H15" i="1"/>
  <c r="H5" i="1"/>
  <c r="F300" i="1" l="1"/>
  <c r="I301" i="1"/>
  <c r="H301" i="1" s="1"/>
  <c r="G293" i="1"/>
  <c r="F281" i="1"/>
  <c r="F257" i="1"/>
  <c r="J303" i="1"/>
  <c r="J305" i="1"/>
  <c r="G248" i="1"/>
  <c r="J248" i="1" s="1"/>
  <c r="I247" i="1"/>
  <c r="J247" i="1" s="1"/>
  <c r="F246" i="1"/>
  <c r="F229" i="1"/>
  <c r="F227" i="1"/>
  <c r="G227" i="1" s="1"/>
  <c r="J227" i="1" s="1"/>
  <c r="F200" i="1"/>
  <c r="F198" i="1"/>
  <c r="G198" i="1" s="1"/>
  <c r="J198" i="1" s="1"/>
  <c r="D193" i="1"/>
  <c r="G193" i="1" s="1"/>
  <c r="J193" i="1" s="1"/>
  <c r="I191" i="1"/>
  <c r="J191" i="1" s="1"/>
  <c r="D179" i="1"/>
  <c r="I179" i="1" s="1"/>
  <c r="J179" i="1" s="1"/>
  <c r="G190" i="1"/>
  <c r="J190" i="1" s="1"/>
  <c r="F113" i="1"/>
  <c r="F111" i="1"/>
  <c r="G111" i="1" s="1"/>
  <c r="J111" i="1" s="1"/>
  <c r="F42" i="1"/>
  <c r="G42" i="1" s="1"/>
  <c r="J42" i="1" s="1"/>
  <c r="F40" i="1"/>
  <c r="F34" i="1"/>
  <c r="G34" i="1" s="1"/>
  <c r="J34" i="1" s="1"/>
  <c r="F32" i="1"/>
  <c r="F30" i="1"/>
  <c r="G30" i="1" s="1"/>
  <c r="J30" i="1" s="1"/>
  <c r="F24" i="1"/>
  <c r="G24" i="1" s="1"/>
  <c r="J24" i="1" s="1"/>
  <c r="F22" i="1"/>
  <c r="G22" i="1" s="1"/>
  <c r="J22" i="1" s="1"/>
  <c r="F20" i="1"/>
  <c r="G20" i="1" s="1"/>
  <c r="J20" i="1" s="1"/>
  <c r="F14" i="1"/>
  <c r="F12" i="1"/>
  <c r="G12" i="1" s="1"/>
  <c r="J12" i="1" s="1"/>
  <c r="F10" i="1"/>
  <c r="G10" i="1" s="1"/>
  <c r="J10" i="1" s="1"/>
  <c r="F4" i="1"/>
  <c r="G4" i="1" s="1"/>
  <c r="J301" i="1" l="1"/>
  <c r="I304" i="1" l="1"/>
  <c r="J304" i="1" s="1"/>
  <c r="I299" i="1" l="1"/>
  <c r="J299" i="1" s="1"/>
  <c r="I298" i="1"/>
  <c r="I297" i="1"/>
  <c r="I296" i="1"/>
  <c r="I295" i="1"/>
  <c r="I283" i="1"/>
  <c r="J283" i="1" s="1"/>
  <c r="I293" i="1"/>
  <c r="J293" i="1" s="1"/>
  <c r="I261" i="1"/>
  <c r="J261" i="1" s="1"/>
  <c r="I252" i="1"/>
  <c r="J252" i="1" s="1"/>
  <c r="I251" i="1"/>
  <c r="I255" i="1"/>
  <c r="J255" i="1" s="1"/>
  <c r="I254" i="1"/>
  <c r="J254" i="1" s="1"/>
  <c r="I237" i="1"/>
  <c r="J237" i="1" s="1"/>
  <c r="I234" i="1"/>
  <c r="J234" i="1" s="1"/>
  <c r="I226" i="1"/>
  <c r="J226" i="1" s="1"/>
  <c r="I225" i="1"/>
  <c r="J225" i="1" s="1"/>
  <c r="I204" i="1"/>
  <c r="J204" i="1" s="1"/>
  <c r="I197" i="1"/>
  <c r="J197" i="1" s="1"/>
  <c r="I196" i="1"/>
  <c r="J196" i="1" s="1"/>
  <c r="I119" i="1"/>
  <c r="J119" i="1" s="1"/>
  <c r="I118" i="1"/>
  <c r="J118" i="1" s="1"/>
  <c r="I114" i="1"/>
  <c r="J114" i="1" s="1"/>
  <c r="I112" i="1"/>
  <c r="J112" i="1" s="1"/>
  <c r="I110" i="1"/>
  <c r="J110" i="1" s="1"/>
  <c r="I109" i="1"/>
  <c r="J109" i="1" s="1"/>
  <c r="D48" i="1"/>
  <c r="I48" i="1" s="1"/>
  <c r="J48" i="1" s="1"/>
  <c r="I47" i="1"/>
  <c r="J47" i="1" s="1"/>
  <c r="I46" i="1"/>
  <c r="J46" i="1" s="1"/>
  <c r="I45" i="1"/>
  <c r="J45" i="1" s="1"/>
  <c r="I36" i="1"/>
  <c r="J36" i="1" s="1"/>
  <c r="I16" i="1"/>
  <c r="J16" i="1" s="1"/>
  <c r="I15" i="1"/>
  <c r="J15" i="1" s="1"/>
  <c r="I6" i="1"/>
  <c r="J6" i="1" s="1"/>
  <c r="I5" i="1"/>
  <c r="I4" i="1"/>
  <c r="H252" i="1" l="1"/>
  <c r="H295" i="1"/>
  <c r="J295" i="1"/>
  <c r="H296" i="1"/>
  <c r="J296" i="1"/>
  <c r="J25" i="1"/>
  <c r="J251" i="1"/>
  <c r="H298" i="1"/>
  <c r="J298" i="1"/>
  <c r="H26" i="1"/>
  <c r="J26" i="1"/>
  <c r="H297" i="1"/>
  <c r="J297" i="1"/>
  <c r="J4" i="1"/>
  <c r="H299" i="1"/>
  <c r="J5" i="1"/>
  <c r="D302" i="1" l="1"/>
  <c r="G302" i="1" s="1"/>
  <c r="J302" i="1" s="1"/>
  <c r="D300" i="1"/>
  <c r="G300" i="1" s="1"/>
  <c r="J300" i="1" s="1"/>
  <c r="D291" i="1"/>
  <c r="D290" i="1"/>
  <c r="D288" i="1"/>
  <c r="D286" i="1"/>
  <c r="D285" i="1"/>
  <c r="D281" i="1"/>
  <c r="D279" i="1"/>
  <c r="G279" i="1" s="1"/>
  <c r="J279" i="1" s="1"/>
  <c r="D278" i="1"/>
  <c r="I278" i="1" s="1"/>
  <c r="J278" i="1" s="1"/>
  <c r="D277" i="1"/>
  <c r="G277" i="1" s="1"/>
  <c r="J277" i="1" s="1"/>
  <c r="D276" i="1"/>
  <c r="I276" i="1" s="1"/>
  <c r="J276" i="1" s="1"/>
  <c r="D275" i="1"/>
  <c r="D274" i="1"/>
  <c r="G274" i="1" s="1"/>
  <c r="J274" i="1" s="1"/>
  <c r="D273" i="1"/>
  <c r="G273" i="1" s="1"/>
  <c r="J273" i="1" s="1"/>
  <c r="D272" i="1"/>
  <c r="G272" i="1" s="1"/>
  <c r="J272" i="1" s="1"/>
  <c r="D271" i="1"/>
  <c r="G271" i="1" s="1"/>
  <c r="J271" i="1" s="1"/>
  <c r="D270" i="1"/>
  <c r="G270" i="1" s="1"/>
  <c r="J270" i="1" s="1"/>
  <c r="D268" i="1"/>
  <c r="D267" i="1"/>
  <c r="G267" i="1" s="1"/>
  <c r="J267" i="1" s="1"/>
  <c r="D266" i="1"/>
  <c r="G266" i="1" s="1"/>
  <c r="J266" i="1" s="1"/>
  <c r="D265" i="1"/>
  <c r="G265" i="1" s="1"/>
  <c r="J265" i="1" s="1"/>
  <c r="D264" i="1"/>
  <c r="G264" i="1" s="1"/>
  <c r="J264" i="1" s="1"/>
  <c r="D263" i="1"/>
  <c r="G263" i="1" s="1"/>
  <c r="J263" i="1" s="1"/>
  <c r="D258" i="1"/>
  <c r="D256" i="1"/>
  <c r="D251" i="1"/>
  <c r="H251" i="1" s="1"/>
  <c r="D245" i="1"/>
  <c r="D242" i="1"/>
  <c r="G242" i="1" s="1"/>
  <c r="J242" i="1" s="1"/>
  <c r="D241" i="1"/>
  <c r="I241" i="1" s="1"/>
  <c r="J241" i="1" s="1"/>
  <c r="D239" i="1"/>
  <c r="D233" i="1"/>
  <c r="I233" i="1" s="1"/>
  <c r="J233" i="1" s="1"/>
  <c r="D230" i="1"/>
  <c r="D228" i="1"/>
  <c r="D227" i="1"/>
  <c r="D223" i="1"/>
  <c r="D222" i="1"/>
  <c r="G222" i="1" s="1"/>
  <c r="J222" i="1" s="1"/>
  <c r="D221" i="1"/>
  <c r="I221" i="1" s="1"/>
  <c r="J221" i="1" s="1"/>
  <c r="D219" i="1"/>
  <c r="D216" i="1"/>
  <c r="G216" i="1" s="1"/>
  <c r="J216" i="1" s="1"/>
  <c r="D214" i="1"/>
  <c r="G214" i="1" s="1"/>
  <c r="J214" i="1" s="1"/>
  <c r="D212" i="1"/>
  <c r="I212" i="1" s="1"/>
  <c r="J212" i="1" s="1"/>
  <c r="D211" i="1"/>
  <c r="G211" i="1" s="1"/>
  <c r="J211" i="1" s="1"/>
  <c r="D209" i="1"/>
  <c r="G209" i="1" s="1"/>
  <c r="J209" i="1" s="1"/>
  <c r="D207" i="1"/>
  <c r="D201" i="1"/>
  <c r="I201" i="1" s="1"/>
  <c r="J201" i="1" s="1"/>
  <c r="D199" i="1"/>
  <c r="I199" i="1" s="1"/>
  <c r="J199" i="1" s="1"/>
  <c r="D198" i="1"/>
  <c r="D194" i="1"/>
  <c r="G194" i="1" s="1"/>
  <c r="J194" i="1" s="1"/>
  <c r="D190" i="1"/>
  <c r="D188" i="1"/>
  <c r="G188" i="1" s="1"/>
  <c r="J188" i="1" s="1"/>
  <c r="D186" i="1"/>
  <c r="G186" i="1" s="1"/>
  <c r="J186" i="1" s="1"/>
  <c r="D185" i="1"/>
  <c r="D184" i="1"/>
  <c r="G184" i="1" s="1"/>
  <c r="J184" i="1" s="1"/>
  <c r="D183" i="1"/>
  <c r="D182" i="1"/>
  <c r="D181" i="1"/>
  <c r="G181" i="1" s="1"/>
  <c r="J181" i="1" s="1"/>
  <c r="D178" i="1"/>
  <c r="I178" i="1" s="1"/>
  <c r="J178" i="1" s="1"/>
  <c r="D177" i="1"/>
  <c r="G177" i="1" s="1"/>
  <c r="J177" i="1" s="1"/>
  <c r="D176" i="1"/>
  <c r="D175" i="1"/>
  <c r="G175" i="1" s="1"/>
  <c r="J175" i="1" s="1"/>
  <c r="D174" i="1"/>
  <c r="G174" i="1" s="1"/>
  <c r="J174" i="1" s="1"/>
  <c r="D173" i="1"/>
  <c r="G173" i="1" s="1"/>
  <c r="J173" i="1" s="1"/>
  <c r="D172" i="1"/>
  <c r="G172" i="1" s="1"/>
  <c r="J172" i="1" s="1"/>
  <c r="D171" i="1"/>
  <c r="G171" i="1" s="1"/>
  <c r="J171" i="1" s="1"/>
  <c r="D169" i="1"/>
  <c r="D168" i="1"/>
  <c r="G168" i="1" s="1"/>
  <c r="J168" i="1" s="1"/>
  <c r="D167" i="1"/>
  <c r="G167" i="1" s="1"/>
  <c r="J167" i="1" s="1"/>
  <c r="D166" i="1"/>
  <c r="G166" i="1" s="1"/>
  <c r="J166" i="1" s="1"/>
  <c r="D165" i="1"/>
  <c r="G165" i="1" s="1"/>
  <c r="J165" i="1" s="1"/>
  <c r="D164" i="1"/>
  <c r="G164" i="1" s="1"/>
  <c r="J164" i="1" s="1"/>
  <c r="D163" i="1"/>
  <c r="D162" i="1"/>
  <c r="D161" i="1"/>
  <c r="G161" i="1" s="1"/>
  <c r="J161" i="1" s="1"/>
  <c r="D160" i="1"/>
  <c r="G160" i="1" s="1"/>
  <c r="J160" i="1" s="1"/>
  <c r="D159" i="1"/>
  <c r="G159" i="1" s="1"/>
  <c r="J159" i="1" s="1"/>
  <c r="D158" i="1"/>
  <c r="G158" i="1" s="1"/>
  <c r="J158" i="1" s="1"/>
  <c r="D157" i="1"/>
  <c r="G157" i="1" s="1"/>
  <c r="J157" i="1" s="1"/>
  <c r="D156" i="1"/>
  <c r="D154" i="1"/>
  <c r="G154" i="1" s="1"/>
  <c r="J154" i="1" s="1"/>
  <c r="D153" i="1"/>
  <c r="G153" i="1" s="1"/>
  <c r="J153" i="1" s="1"/>
  <c r="D152" i="1"/>
  <c r="D151" i="1"/>
  <c r="G151" i="1" s="1"/>
  <c r="J151" i="1" s="1"/>
  <c r="D150" i="1"/>
  <c r="D149" i="1"/>
  <c r="D148" i="1"/>
  <c r="G148" i="1" s="1"/>
  <c r="J148" i="1" s="1"/>
  <c r="D147" i="1"/>
  <c r="G147" i="1" s="1"/>
  <c r="J147" i="1" s="1"/>
  <c r="D146" i="1"/>
  <c r="G146" i="1" s="1"/>
  <c r="J146" i="1" s="1"/>
  <c r="D145" i="1"/>
  <c r="D144" i="1"/>
  <c r="I144" i="1" s="1"/>
  <c r="J144" i="1" s="1"/>
  <c r="D143" i="1"/>
  <c r="G143" i="1" s="1"/>
  <c r="J143" i="1" s="1"/>
  <c r="D142" i="1"/>
  <c r="G142" i="1" s="1"/>
  <c r="J142" i="1" s="1"/>
  <c r="D141" i="1"/>
  <c r="D140" i="1"/>
  <c r="D139" i="1"/>
  <c r="G139" i="1" s="1"/>
  <c r="J139" i="1" s="1"/>
  <c r="D138" i="1"/>
  <c r="G138" i="1" s="1"/>
  <c r="J138" i="1" s="1"/>
  <c r="D137" i="1"/>
  <c r="G137" i="1" s="1"/>
  <c r="J137" i="1" s="1"/>
  <c r="D136" i="1"/>
  <c r="D134" i="1"/>
  <c r="D133" i="1"/>
  <c r="G133" i="1" s="1"/>
  <c r="J133" i="1" s="1"/>
  <c r="D132" i="1"/>
  <c r="G132" i="1" s="1"/>
  <c r="J132" i="1" s="1"/>
  <c r="D131" i="1"/>
  <c r="G131" i="1" s="1"/>
  <c r="J131" i="1" s="1"/>
  <c r="D130" i="1"/>
  <c r="G130" i="1" s="1"/>
  <c r="J130" i="1" s="1"/>
  <c r="D129" i="1"/>
  <c r="G129" i="1" s="1"/>
  <c r="J129" i="1" s="1"/>
  <c r="D127" i="1"/>
  <c r="D126" i="1"/>
  <c r="G126" i="1" s="1"/>
  <c r="J126" i="1" s="1"/>
  <c r="D125" i="1"/>
  <c r="G125" i="1" s="1"/>
  <c r="J125" i="1" s="1"/>
  <c r="D124" i="1"/>
  <c r="G124" i="1" s="1"/>
  <c r="J124" i="1" s="1"/>
  <c r="D123" i="1"/>
  <c r="G123" i="1" s="1"/>
  <c r="J123" i="1" s="1"/>
  <c r="D122" i="1"/>
  <c r="G122" i="1" s="1"/>
  <c r="J122" i="1" s="1"/>
  <c r="D120" i="1"/>
  <c r="I120" i="1" s="1"/>
  <c r="J120" i="1" s="1"/>
  <c r="D115" i="1"/>
  <c r="G115" i="1" s="1"/>
  <c r="J115" i="1" s="1"/>
  <c r="D113" i="1"/>
  <c r="G113" i="1" s="1"/>
  <c r="J113" i="1" s="1"/>
  <c r="D111" i="1"/>
  <c r="D107" i="1"/>
  <c r="D106" i="1"/>
  <c r="G106" i="1" s="1"/>
  <c r="J106" i="1" s="1"/>
  <c r="D105" i="1"/>
  <c r="G105" i="1" s="1"/>
  <c r="J105" i="1" s="1"/>
  <c r="D104" i="1"/>
  <c r="G104" i="1" s="1"/>
  <c r="J104" i="1" s="1"/>
  <c r="D103" i="1"/>
  <c r="G103" i="1" s="1"/>
  <c r="J103" i="1" s="1"/>
  <c r="D102" i="1"/>
  <c r="D101" i="1"/>
  <c r="G101" i="1" s="1"/>
  <c r="J101" i="1" s="1"/>
  <c r="D100" i="1"/>
  <c r="G100" i="1" s="1"/>
  <c r="J100" i="1" s="1"/>
  <c r="D99" i="1"/>
  <c r="G99" i="1" s="1"/>
  <c r="J99" i="1" s="1"/>
  <c r="D98" i="1"/>
  <c r="G98" i="1" s="1"/>
  <c r="J98" i="1" s="1"/>
  <c r="D97" i="1"/>
  <c r="D96" i="1"/>
  <c r="G96" i="1" s="1"/>
  <c r="J96" i="1" s="1"/>
  <c r="D95" i="1"/>
  <c r="G95" i="1" s="1"/>
  <c r="J95" i="1" s="1"/>
  <c r="D94" i="1"/>
  <c r="G94" i="1" s="1"/>
  <c r="J94" i="1" s="1"/>
  <c r="D93" i="1"/>
  <c r="G93" i="1" s="1"/>
  <c r="J93" i="1" s="1"/>
  <c r="D92" i="1"/>
  <c r="D91" i="1"/>
  <c r="I91" i="1" s="1"/>
  <c r="J91" i="1" s="1"/>
  <c r="D90" i="1"/>
  <c r="D89" i="1"/>
  <c r="G89" i="1" s="1"/>
  <c r="J89" i="1" s="1"/>
  <c r="D88" i="1"/>
  <c r="G88" i="1" s="1"/>
  <c r="J88" i="1" s="1"/>
  <c r="D87" i="1"/>
  <c r="G87" i="1" s="1"/>
  <c r="J87" i="1" s="1"/>
  <c r="D86" i="1"/>
  <c r="G86" i="1" s="1"/>
  <c r="J86" i="1" s="1"/>
  <c r="D85" i="1"/>
  <c r="D84" i="1"/>
  <c r="G84" i="1" s="1"/>
  <c r="J84" i="1" s="1"/>
  <c r="D83" i="1"/>
  <c r="G83" i="1" s="1"/>
  <c r="J83" i="1" s="1"/>
  <c r="D82" i="1"/>
  <c r="G82" i="1" s="1"/>
  <c r="J82" i="1" s="1"/>
  <c r="D81" i="1"/>
  <c r="G81" i="1" s="1"/>
  <c r="J81" i="1" s="1"/>
  <c r="D80" i="1"/>
  <c r="D79" i="1"/>
  <c r="I79" i="1" s="1"/>
  <c r="J79" i="1" s="1"/>
  <c r="D78" i="1"/>
  <c r="D77" i="1"/>
  <c r="G77" i="1" s="1"/>
  <c r="J77" i="1" s="1"/>
  <c r="D76" i="1"/>
  <c r="G76" i="1" s="1"/>
  <c r="J76" i="1" s="1"/>
  <c r="D75" i="1"/>
  <c r="G75" i="1" s="1"/>
  <c r="J75" i="1" s="1"/>
  <c r="D74" i="1"/>
  <c r="G74" i="1" s="1"/>
  <c r="J74" i="1" s="1"/>
  <c r="D73" i="1"/>
  <c r="D72" i="1"/>
  <c r="G72" i="1" s="1"/>
  <c r="J72" i="1" s="1"/>
  <c r="D71" i="1"/>
  <c r="G71" i="1" s="1"/>
  <c r="J71" i="1" s="1"/>
  <c r="D70" i="1"/>
  <c r="G70" i="1" s="1"/>
  <c r="J70" i="1" s="1"/>
  <c r="D69" i="1"/>
  <c r="G69" i="1" s="1"/>
  <c r="J69" i="1" s="1"/>
  <c r="D68" i="1"/>
  <c r="D67" i="1"/>
  <c r="I67" i="1" s="1"/>
  <c r="J67" i="1" s="1"/>
  <c r="D66" i="1"/>
  <c r="D65" i="1"/>
  <c r="G65" i="1" s="1"/>
  <c r="J65" i="1" s="1"/>
  <c r="D64" i="1"/>
  <c r="G64" i="1" s="1"/>
  <c r="J64" i="1" s="1"/>
  <c r="D63" i="1"/>
  <c r="G63" i="1" s="1"/>
  <c r="J63" i="1" s="1"/>
  <c r="D62" i="1"/>
  <c r="G62" i="1" s="1"/>
  <c r="J62" i="1" s="1"/>
  <c r="D61" i="1"/>
  <c r="D60" i="1"/>
  <c r="I60" i="1" s="1"/>
  <c r="D59" i="1"/>
  <c r="D58" i="1"/>
  <c r="G58" i="1" s="1"/>
  <c r="J58" i="1" s="1"/>
  <c r="D57" i="1"/>
  <c r="G57" i="1" s="1"/>
  <c r="J57" i="1" s="1"/>
  <c r="D56" i="1"/>
  <c r="G56" i="1" s="1"/>
  <c r="J56" i="1" s="1"/>
  <c r="D55" i="1"/>
  <c r="G55" i="1" s="1"/>
  <c r="J55" i="1" s="1"/>
  <c r="D54" i="1"/>
  <c r="D53" i="1"/>
  <c r="G53" i="1" s="1"/>
  <c r="J53" i="1" s="1"/>
  <c r="D52" i="1"/>
  <c r="G52" i="1" s="1"/>
  <c r="D51" i="1"/>
  <c r="G51" i="1" s="1"/>
  <c r="J51" i="1" s="1"/>
  <c r="D50" i="1"/>
  <c r="G50" i="1" s="1"/>
  <c r="J50" i="1" s="1"/>
  <c r="D49" i="1"/>
  <c r="D40" i="1"/>
  <c r="G40" i="1" s="1"/>
  <c r="J40" i="1" s="1"/>
  <c r="D32" i="1"/>
  <c r="G32" i="1" s="1"/>
  <c r="J32" i="1" s="1"/>
  <c r="G14" i="1"/>
  <c r="J14" i="1" s="1"/>
  <c r="J60" i="1" l="1"/>
  <c r="J52" i="1"/>
  <c r="D229" i="1"/>
  <c r="G229" i="1" s="1"/>
  <c r="J229" i="1" s="1"/>
  <c r="I228" i="1"/>
  <c r="J228" i="1" s="1"/>
  <c r="G281" i="1"/>
  <c r="I281" i="1"/>
  <c r="D238" i="1"/>
  <c r="I238" i="1" s="1"/>
  <c r="J238" i="1" s="1"/>
  <c r="G239" i="1"/>
  <c r="J239" i="1" s="1"/>
  <c r="G285" i="1"/>
  <c r="I285" i="1"/>
  <c r="J285" i="1" s="1"/>
  <c r="D205" i="1"/>
  <c r="I205" i="1" s="1"/>
  <c r="J205" i="1" s="1"/>
  <c r="G207" i="1"/>
  <c r="J207" i="1" s="1"/>
  <c r="I286" i="1"/>
  <c r="G286" i="1"/>
  <c r="I288" i="1"/>
  <c r="G288" i="1"/>
  <c r="J288" i="1" s="1"/>
  <c r="D187" i="1"/>
  <c r="D246" i="1"/>
  <c r="G246" i="1" s="1"/>
  <c r="J246" i="1" s="1"/>
  <c r="I245" i="1"/>
  <c r="J245" i="1" s="1"/>
  <c r="D217" i="1"/>
  <c r="I217" i="1" s="1"/>
  <c r="J217" i="1" s="1"/>
  <c r="G219" i="1"/>
  <c r="J219" i="1" s="1"/>
  <c r="D189" i="1"/>
  <c r="F190" i="1"/>
  <c r="D257" i="1"/>
  <c r="G257" i="1" s="1"/>
  <c r="J257" i="1" s="1"/>
  <c r="I256" i="1"/>
  <c r="J256" i="1" s="1"/>
  <c r="D231" i="1"/>
  <c r="G231" i="1" s="1"/>
  <c r="J231" i="1" s="1"/>
  <c r="I230" i="1"/>
  <c r="J230" i="1" s="1"/>
  <c r="D259" i="1"/>
  <c r="G259" i="1" s="1"/>
  <c r="J259" i="1" s="1"/>
  <c r="I258" i="1"/>
  <c r="J258" i="1" s="1"/>
  <c r="D180" i="1"/>
  <c r="G182" i="1"/>
  <c r="J182" i="1" s="1"/>
  <c r="D135" i="1"/>
  <c r="G136" i="1"/>
  <c r="J136" i="1" s="1"/>
  <c r="D202" i="1"/>
  <c r="G202" i="1" s="1"/>
  <c r="J202" i="1" s="1"/>
  <c r="D121" i="1"/>
  <c r="D128" i="1"/>
  <c r="D200" i="1"/>
  <c r="G200" i="1" s="1"/>
  <c r="J200" i="1" s="1"/>
  <c r="D262" i="1"/>
  <c r="I262" i="1" s="1"/>
  <c r="J262" i="1" s="1"/>
  <c r="D170" i="1"/>
  <c r="D269" i="1"/>
  <c r="I269" i="1" s="1"/>
  <c r="J269" i="1" s="1"/>
  <c r="D155" i="1"/>
  <c r="I155" i="1" s="1"/>
  <c r="J155" i="1" s="1"/>
  <c r="J286" i="1" l="1"/>
  <c r="G308" i="1"/>
  <c r="I308" i="1"/>
  <c r="J281" i="1"/>
  <c r="J308" i="1" s="1"/>
</calcChain>
</file>

<file path=xl/sharedStrings.xml><?xml version="1.0" encoding="utf-8"?>
<sst xmlns="http://schemas.openxmlformats.org/spreadsheetml/2006/main" count="1140" uniqueCount="683">
  <si>
    <t>№п/п</t>
  </si>
  <si>
    <t>Наименование и техническая характеристика</t>
  </si>
  <si>
    <t>Единица измерения</t>
  </si>
  <si>
    <t>Кол-во для расчета</t>
  </si>
  <si>
    <t>Примечание</t>
  </si>
  <si>
    <t>Цена материала руб. с НДС</t>
  </si>
  <si>
    <t>Сумма материала руб. с НДС</t>
  </si>
  <si>
    <t>1</t>
  </si>
  <si>
    <t>м2</t>
  </si>
  <si>
    <t>2</t>
  </si>
  <si>
    <t>Демонтажные ослабленного бетона  по продольным ребрам плит покрытия фонарей (узел 1К) на отм. +9,710, +16,043, +20,034</t>
  </si>
  <si>
    <t>м3</t>
  </si>
  <si>
    <t>на 1 п.м.-0,00405. Использовать ручной и электрофицированный иснтрумент с малой энергией удара</t>
  </si>
  <si>
    <t>3</t>
  </si>
  <si>
    <t>Восстановительные работы по продольным ребрам плит покрытия фонарей (узел 1К) на отм. +9,710, +16,043, +20,034</t>
  </si>
  <si>
    <t>м.пог</t>
  </si>
  <si>
    <t>3.1</t>
  </si>
  <si>
    <t>Нанесение насечек на ремонтируемую поверхность</t>
  </si>
  <si>
    <t>3.2</t>
  </si>
  <si>
    <t>Промывка ремонтируемой поверхности струей воды под давлением с последующим удалением лишней влаги</t>
  </si>
  <si>
    <t>0.1 м² на 1 м.п</t>
  </si>
  <si>
    <t>3.3</t>
  </si>
  <si>
    <t>Обработка оголённой арматуры</t>
  </si>
  <si>
    <t>3.3.1</t>
  </si>
  <si>
    <t>ингибитор коррозии MCI-2020</t>
  </si>
  <si>
    <t>л</t>
  </si>
  <si>
    <t>(0.08м2 на 1 м.пог. шва, расход 3.68л на 1м2)</t>
  </si>
  <si>
    <t>3.4</t>
  </si>
  <si>
    <t>Восстановление защитного слоя бетона (до 100мм)</t>
  </si>
  <si>
    <t>возможен аналог. 0,004*8992=35,968м3</t>
  </si>
  <si>
    <t>3.4.1</t>
  </si>
  <si>
    <t>безусадочная быстротвердеющая ремонтная смесь MasterEmaco S 560 FR</t>
  </si>
  <si>
    <t>кг</t>
  </si>
  <si>
    <t xml:space="preserve"> 1850кг/1м3. (35,968*1850=66540,8кг)</t>
  </si>
  <si>
    <t>3.5</t>
  </si>
  <si>
    <t>Выравнивание поверхности до 10мм</t>
  </si>
  <si>
    <t>899,2*2слоя</t>
  </si>
  <si>
    <t>3.5.1</t>
  </si>
  <si>
    <t>штукатурка КНАУФ-Ротбанд</t>
  </si>
  <si>
    <t>4</t>
  </si>
  <si>
    <t>Демонтажн ослабленного бетона по поперечным ребрам плит покрытия фонарей (узел 2К) на отм. +9,710, +16,043, +20,034</t>
  </si>
  <si>
    <t>на 1 п.м.-0,00107. Использовать ручной и электрофицированный иснтрумент с малой энергией удара</t>
  </si>
  <si>
    <t>5</t>
  </si>
  <si>
    <t>Восстановительные работы по поперечным ребрам плит покрытия фонарей (узел 2К) на отм. +9,710, +16,043, +20,0346:</t>
  </si>
  <si>
    <t>5.1</t>
  </si>
  <si>
    <t>5.2</t>
  </si>
  <si>
    <t>0.06 м² на 1 м.п</t>
  </si>
  <si>
    <t>5.3</t>
  </si>
  <si>
    <t>(0.019м2 на 1 м.пог. шва, расход 3.68л на 1м2)</t>
  </si>
  <si>
    <t>5.3.1</t>
  </si>
  <si>
    <t>5.4</t>
  </si>
  <si>
    <t>Восстановление защитного слоя бетона</t>
  </si>
  <si>
    <t>возможен аналог. 0,06м3</t>
  </si>
  <si>
    <t>5.4.1</t>
  </si>
  <si>
    <t>1850кг/м3</t>
  </si>
  <si>
    <t>5.5</t>
  </si>
  <si>
    <t>3,85м2*2слоя</t>
  </si>
  <si>
    <t>5.5.1</t>
  </si>
  <si>
    <t>расход 0.9кг/м2 на слой 1мм</t>
  </si>
  <si>
    <t>6</t>
  </si>
  <si>
    <t>Демонтаж бетонна вокруг необрамленного отверстия на 100мм, в границах дефекта плит перекрытия (узел 3К) на отм. от +7,040 до + 18,300</t>
  </si>
  <si>
    <t>м.3</t>
  </si>
  <si>
    <t>7</t>
  </si>
  <si>
    <t>Ремонт отверстий в полках плит, в границах дефекта плит перекрытия (узел 3К) на отм. от +7,040 до + 18,300:</t>
  </si>
  <si>
    <t>шт.</t>
  </si>
  <si>
    <t>7.1</t>
  </si>
  <si>
    <t>7.2</t>
  </si>
  <si>
    <t>0.06 м²*37шт на 1 м.п</t>
  </si>
  <si>
    <t>7.3</t>
  </si>
  <si>
    <t>Монтаж оцинкованной сетки 50х50х4 с привязкой к существующей арматуре с помощью проволоки</t>
  </si>
  <si>
    <t>0,32м2 *37шт. на 1 узел. 46,7кг</t>
  </si>
  <si>
    <t>7.3.1</t>
  </si>
  <si>
    <t>сетка оцинкованная 50х50х4</t>
  </si>
  <si>
    <t>4,2м2/кг</t>
  </si>
  <si>
    <t>7.4</t>
  </si>
  <si>
    <t>возможен аналог, 37м2*0,01=0,37м3</t>
  </si>
  <si>
    <t>7.4.1</t>
  </si>
  <si>
    <t>1м3/1850кг</t>
  </si>
  <si>
    <t>7.5</t>
  </si>
  <si>
    <t>Выравнивание поверхности</t>
  </si>
  <si>
    <t>0,32м2*37шт</t>
  </si>
  <si>
    <t>7.5.1</t>
  </si>
  <si>
    <t>8</t>
  </si>
  <si>
    <t>Демонтаж ослабленного бетона в границах дефекта полок плиты покрытия (узел 4К) на отм. от +7,040 до + 18,300</t>
  </si>
  <si>
    <t>9</t>
  </si>
  <si>
    <t>Восстановительные работы в границах дефекта полок плиты покрытия (узел 4К) на отм. от +7,040 до + 18,300:</t>
  </si>
  <si>
    <t>9.1</t>
  </si>
  <si>
    <t>9.2</t>
  </si>
  <si>
    <t>9.3</t>
  </si>
  <si>
    <t>возможен аналог, 319,2*0,01=3,19м3</t>
  </si>
  <si>
    <t>9.3.1</t>
  </si>
  <si>
    <t>1850кг/1м3</t>
  </si>
  <si>
    <t>9.4</t>
  </si>
  <si>
    <t>Выравнивание поверхности слоем в 1мм</t>
  </si>
  <si>
    <t>9.4.1</t>
  </si>
  <si>
    <t>10</t>
  </si>
  <si>
    <t>Усиление ж/б ферм</t>
  </si>
  <si>
    <t>11</t>
  </si>
  <si>
    <t>Подготовительные работы</t>
  </si>
  <si>
    <t>ФС-1.1, ФС-1.1*, ФС-2.1, ФС-3.1, ФФ-1</t>
  </si>
  <si>
    <t>11.1</t>
  </si>
  <si>
    <t>Зачистка поверхности щетками</t>
  </si>
  <si>
    <t>11.2</t>
  </si>
  <si>
    <t>Промывка поверхности водой</t>
  </si>
  <si>
    <t>11.3</t>
  </si>
  <si>
    <t>Резка м/к</t>
  </si>
  <si>
    <t>п.м.</t>
  </si>
  <si>
    <t>12</t>
  </si>
  <si>
    <t>Усиление ж/б ферм ФС-1.1 на отм. от +12,900 до + 16,080:</t>
  </si>
  <si>
    <t>тн</t>
  </si>
  <si>
    <t>43шт учтены + сварные швы 1430,18кг</t>
  </si>
  <si>
    <t>12.1</t>
  </si>
  <si>
    <t>Усиление (монтаж) ферм металлическими обоймами (монтажный пояс УВП-1.1)</t>
  </si>
  <si>
    <t>2шт учтены</t>
  </si>
  <si>
    <t>12.1.1</t>
  </si>
  <si>
    <t>пластины 8x300x380 (накладки)</t>
  </si>
  <si>
    <t>6шт*7,16кг*2шт*43шт ГОСТ 19903-2015</t>
  </si>
  <si>
    <t>12.1.2</t>
  </si>
  <si>
    <t>пластины 8x380x390 (накладки)</t>
  </si>
  <si>
    <t>6шт*9,31кг*2шт*43шт ГОСТ 19903-2015</t>
  </si>
  <si>
    <t>12.1.3</t>
  </si>
  <si>
    <t>пакет пластин 350x370x40 ...10</t>
  </si>
  <si>
    <t>12шт*25,40кг*2шт*43шт ГОСТ 19903-2015 (пакет пластин)</t>
  </si>
  <si>
    <t>12.1.4</t>
  </si>
  <si>
    <t>Швеллер 18П L-4500</t>
  </si>
  <si>
    <t>2шт*73,35кг*2шт*43шт ГОСТ 8240-97</t>
  </si>
  <si>
    <t>12.2</t>
  </si>
  <si>
    <t>Усиление ферм металлическими обоймами (монтажный пояс УВП-1.2)</t>
  </si>
  <si>
    <t>Швеллер 18П L-4750</t>
  </si>
  <si>
    <t>2шт*77,43кг*2шт*43шт ГОСТ 8240-97</t>
  </si>
  <si>
    <t>12.3</t>
  </si>
  <si>
    <t>Сварные швы</t>
  </si>
  <si>
    <t>х43шт учтены, сидят в усилении</t>
  </si>
  <si>
    <t>13</t>
  </si>
  <si>
    <t>Усиление верхнего пояса ж/б ферм ФС-1.1* (на опоре) на отм. от +12,900 до + 16,080:</t>
  </si>
  <si>
    <t>26шт учтены. без учета сварных швов</t>
  </si>
  <si>
    <t>13.1</t>
  </si>
  <si>
    <t>Монтаж пояса УВП-1.1*</t>
  </si>
  <si>
    <t>13.1.1</t>
  </si>
  <si>
    <t>6шт*7,16кг*2шт*26шт ГОСТ 19903-2015</t>
  </si>
  <si>
    <t>13.1.2</t>
  </si>
  <si>
    <t>6шт*9,31кг*2шт*26шт ГОСТ 19903-2015</t>
  </si>
  <si>
    <t>13.1.3</t>
  </si>
  <si>
    <t>12шт*25,40кг*2шт*26шт ГОСТ 19903-2015 (пакет пластин)</t>
  </si>
  <si>
    <t>13.1.4</t>
  </si>
  <si>
    <t>2шт*73,35кг*2шт*26шт ГОСТ 8240-97</t>
  </si>
  <si>
    <t>13.2</t>
  </si>
  <si>
    <t>х26шт учтены, не учтены в усилении</t>
  </si>
  <si>
    <t>14</t>
  </si>
  <si>
    <t>Усиление ж/б ферм ФС-2.1 на отм. от +10,100 до +12,748:</t>
  </si>
  <si>
    <t>27шт учтены+сварные швы 744,93кг</t>
  </si>
  <si>
    <t>14.1</t>
  </si>
  <si>
    <t>Усиление ферм металлическими обоймами (Монтажная сварка пояса УВП-2.1)</t>
  </si>
  <si>
    <t>14.1.1</t>
  </si>
  <si>
    <t>пластина 8x280x380 (накладки)</t>
  </si>
  <si>
    <t>6шт*6,68кг*2шт*27шт</t>
  </si>
  <si>
    <t>14.1.2</t>
  </si>
  <si>
    <t>пластина 8x340x380 (накладки)</t>
  </si>
  <si>
    <t>6шт*8,11кг*2шт*27шт</t>
  </si>
  <si>
    <t>14.1.3</t>
  </si>
  <si>
    <t>пакет пластин 320x370x40.10</t>
  </si>
  <si>
    <t>12шт*23,23кг*2шт*27шт</t>
  </si>
  <si>
    <t>14.1.4</t>
  </si>
  <si>
    <t>Швеллер 16П L-3100</t>
  </si>
  <si>
    <t>2шт*44,02кг*2шт*27шт</t>
  </si>
  <si>
    <t>14.2</t>
  </si>
  <si>
    <t>Усиление ферм металлическими обоймами (Монтажная сварка пояса УВП-2.2)</t>
  </si>
  <si>
    <t>14.2.1</t>
  </si>
  <si>
    <t>14.2.2</t>
  </si>
  <si>
    <t>14.2.3</t>
  </si>
  <si>
    <t>14.2.4</t>
  </si>
  <si>
    <t>Швеллер 16П L-3400</t>
  </si>
  <si>
    <t>2шт*48,28кг*2шт*27шт</t>
  </si>
  <si>
    <t>14.3</t>
  </si>
  <si>
    <t>27,59х27шт учтены, сидят в усилении</t>
  </si>
  <si>
    <t>15</t>
  </si>
  <si>
    <t>Усиление ж/б ферм ФС-3.1 на отм. от +10,100 до +12,748:</t>
  </si>
  <si>
    <t>54шт учтены+ сварные швы 1489,86кг</t>
  </si>
  <si>
    <t>15.1</t>
  </si>
  <si>
    <t>Монтаж пояса УВП-3.1</t>
  </si>
  <si>
    <t>15.1.1</t>
  </si>
  <si>
    <t>пластины 8x280x380 (накладки)</t>
  </si>
  <si>
    <t>6шт*6,68кг</t>
  </si>
  <si>
    <t>15.1.2</t>
  </si>
  <si>
    <t>пластины 8x340x380 (накладки)</t>
  </si>
  <si>
    <t>6шт*8,11кг</t>
  </si>
  <si>
    <t>15.1.3</t>
  </si>
  <si>
    <t>12шт*23,23кг</t>
  </si>
  <si>
    <t>15.1.4</t>
  </si>
  <si>
    <t>2шт*44,02кг</t>
  </si>
  <si>
    <t>15.2</t>
  </si>
  <si>
    <t>Монтажн пояса УВП-3.2</t>
  </si>
  <si>
    <t>15.2.1</t>
  </si>
  <si>
    <t>15.2.2</t>
  </si>
  <si>
    <t>плстины 8x340x380 (накладки)</t>
  </si>
  <si>
    <t>15.2.3</t>
  </si>
  <si>
    <t>15.2.4</t>
  </si>
  <si>
    <t>2шт*48,28кг</t>
  </si>
  <si>
    <t>15.3</t>
  </si>
  <si>
    <t>27,59х54 учтены, сидят в усилении</t>
  </si>
  <si>
    <t>16</t>
  </si>
  <si>
    <t>Усиление ж/б ферм фонаря ФФ-1 на отм .+15,715 до +19,870</t>
  </si>
  <si>
    <t>26шт учтены+сварные швы 713,7кг</t>
  </si>
  <si>
    <t>16.1</t>
  </si>
  <si>
    <t>Монтаж пояса УВПФ-1</t>
  </si>
  <si>
    <t>16.1.1</t>
  </si>
  <si>
    <t>пластина 8x280x380 (накладка)</t>
  </si>
  <si>
    <t>16.1.2</t>
  </si>
  <si>
    <t>пластина 8x240x380 (накладка)</t>
  </si>
  <si>
    <t>6шт*5,73кг</t>
  </si>
  <si>
    <t>16.1.3</t>
  </si>
  <si>
    <t>пакет пластин 220x250x40-10</t>
  </si>
  <si>
    <t>12шт*15,11кг</t>
  </si>
  <si>
    <t>16.1.4</t>
  </si>
  <si>
    <t>Швеллер16П L= 1750</t>
  </si>
  <si>
    <t>2шт*24,85кг</t>
  </si>
  <si>
    <t>16.2</t>
  </si>
  <si>
    <t>Монтаж пояса УВПФ-2</t>
  </si>
  <si>
    <t>16.2.1</t>
  </si>
  <si>
    <t>16.2.2</t>
  </si>
  <si>
    <t>16.2.3</t>
  </si>
  <si>
    <t>пакет пластин 220x250x40.10</t>
  </si>
  <si>
    <t>16.2.4</t>
  </si>
  <si>
    <t>Швеллер 16П 1=1500</t>
  </si>
  <si>
    <t>2шт*21,30кг</t>
  </si>
  <si>
    <t>16.3</t>
  </si>
  <si>
    <t>Монтаж пояса УВПФ-3</t>
  </si>
  <si>
    <t>16.3.1</t>
  </si>
  <si>
    <t>пластины 8x280x380</t>
  </si>
  <si>
    <t>16.3.2</t>
  </si>
  <si>
    <t>пластины 8x240x380</t>
  </si>
  <si>
    <t>16.3.3</t>
  </si>
  <si>
    <t>пакет пластин 220x250x40...10</t>
  </si>
  <si>
    <t>16.3.4</t>
  </si>
  <si>
    <t>Швеллер 16П 1=1950</t>
  </si>
  <si>
    <t>2шт*27,69кг</t>
  </si>
  <si>
    <t>16.4</t>
  </si>
  <si>
    <t>х26шт учтены, сидят в усилении</t>
  </si>
  <si>
    <t>17</t>
  </si>
  <si>
    <t>Обработка металла после сварки</t>
  </si>
  <si>
    <t>17.1</t>
  </si>
  <si>
    <t>Обеспыливание</t>
  </si>
  <si>
    <t>17.2</t>
  </si>
  <si>
    <t>Обезжиривание м/к</t>
  </si>
  <si>
    <t>растворителем ксилол по ГОСТ 9410. ФС-1.1, ФС-1.1*, ФС-2.1, ФС-3.1, ФФ-1</t>
  </si>
  <si>
    <t>17.2.1</t>
  </si>
  <si>
    <t>растворитель ксилол по ГОСТ 9410</t>
  </si>
  <si>
    <t xml:space="preserve">80 – 150 г/м², взято 0,115кг.  </t>
  </si>
  <si>
    <t>17.3</t>
  </si>
  <si>
    <t>Огрунтование поверхности в 2 слоя</t>
  </si>
  <si>
    <t>17.3.1</t>
  </si>
  <si>
    <t>грунтовка ГФ-0,21 в 2 слоя</t>
  </si>
  <si>
    <t>60-100 г/м² на 1 слой</t>
  </si>
  <si>
    <t>17.4</t>
  </si>
  <si>
    <t>Окраска огнезащитой до предела огнестойкости R30</t>
  </si>
  <si>
    <t>17.4.1</t>
  </si>
  <si>
    <t>краска "Термобарьер"</t>
  </si>
  <si>
    <t>1,5 кг/м2. возможен аналог</t>
  </si>
  <si>
    <t>18</t>
  </si>
  <si>
    <t>Усиление плит покрытия</t>
  </si>
  <si>
    <t>19</t>
  </si>
  <si>
    <t>19.1</t>
  </si>
  <si>
    <t>Зачистка поверхность существующих металлоконструкций щетками</t>
  </si>
  <si>
    <t>Узлы: 1Р,2Р,3Р,4Р</t>
  </si>
  <si>
    <t>19.2</t>
  </si>
  <si>
    <t>Нарезка пластин</t>
  </si>
  <si>
    <t>20</t>
  </si>
  <si>
    <t>Усиление ребёр плиты по узлу 1Р</t>
  </si>
  <si>
    <t>18шт учтены</t>
  </si>
  <si>
    <t>20.1</t>
  </si>
  <si>
    <t>Монтаж элемента 1П входящее в узел 1Р</t>
  </si>
  <si>
    <t>без сварных швов и пластины</t>
  </si>
  <si>
    <t>20.1.1</t>
  </si>
  <si>
    <t>Швеллер 14П</t>
  </si>
  <si>
    <t>5,96м.п.*12,3кг*18шт</t>
  </si>
  <si>
    <t>20.1.2</t>
  </si>
  <si>
    <t>Пластина 160х60х5</t>
  </si>
  <si>
    <t>3шт*0,38кгт*18шт</t>
  </si>
  <si>
    <t>20.1.3</t>
  </si>
  <si>
    <t>Пластина t=5мм S=0.0065м2</t>
  </si>
  <si>
    <t>5шт*0,26кг*18шт</t>
  </si>
  <si>
    <t>20.1.4</t>
  </si>
  <si>
    <t>Пластина t=5мм S=0.0039м2</t>
  </si>
  <si>
    <t>3шт*0,15кг*18шт</t>
  </si>
  <si>
    <t>20.2</t>
  </si>
  <si>
    <t>Пластина t=5мм</t>
  </si>
  <si>
    <t>0,073121м2*39,25кг*18шт</t>
  </si>
  <si>
    <t>20.3</t>
  </si>
  <si>
    <t>Сварные швы kf=5мм</t>
  </si>
  <si>
    <t>3,186м.п.(0,37кг*18шт)</t>
  </si>
  <si>
    <t>20.4</t>
  </si>
  <si>
    <t>Монтаж элемента 1Па входящее в узел 1Р</t>
  </si>
  <si>
    <t xml:space="preserve"> без сварных швов и пластины</t>
  </si>
  <si>
    <t>20.4.1</t>
  </si>
  <si>
    <t>20.4.2</t>
  </si>
  <si>
    <t>3шт*0,38кг*18шт</t>
  </si>
  <si>
    <t>20.4.3</t>
  </si>
  <si>
    <t>20.4.4</t>
  </si>
  <si>
    <t>20.5</t>
  </si>
  <si>
    <t>0,07м2*39,25кг*18шт</t>
  </si>
  <si>
    <t>20.6</t>
  </si>
  <si>
    <t>3,186 п.м. х18шт</t>
  </si>
  <si>
    <t>20.7</t>
  </si>
  <si>
    <t>Монтаж элемента 2П входящее в узел 1Р</t>
  </si>
  <si>
    <t>3шт,  без сварных швов и пластины</t>
  </si>
  <si>
    <t>20.7.1</t>
  </si>
  <si>
    <t>Уголок 70х5</t>
  </si>
  <si>
    <t>0,16м.п.*5,38кг*792шт*18шт</t>
  </si>
  <si>
    <t>20.7.2</t>
  </si>
  <si>
    <t>Пластина 210х60х5</t>
  </si>
  <si>
    <t>1шт*0,494кг*792*18шт</t>
  </si>
  <si>
    <t>20.7.3</t>
  </si>
  <si>
    <t>Пластина t=5мм S=0.0149м2</t>
  </si>
  <si>
    <t>1шт*0,585кг*792*18шт</t>
  </si>
  <si>
    <t>20.8</t>
  </si>
  <si>
    <t xml:space="preserve">0,03м2*39,25кг.*18шт </t>
  </si>
  <si>
    <t>20.9</t>
  </si>
  <si>
    <t>Сварные швы Кв=5мм</t>
  </si>
  <si>
    <t>0,87м.п. х18шт</t>
  </si>
  <si>
    <t>20.10</t>
  </si>
  <si>
    <t>Сборка элемента 3П входящий в узел 1Р</t>
  </si>
  <si>
    <t>20.10.1</t>
  </si>
  <si>
    <t>Пластина t=5мм S=0.0101м2</t>
  </si>
  <si>
    <t>8шт*0,396кг*18шт</t>
  </si>
  <si>
    <t>20.11</t>
  </si>
  <si>
    <t>0,08м2*39,25кг*18шт</t>
  </si>
  <si>
    <t>21</t>
  </si>
  <si>
    <t>Усиление ребёр плиты по узлу 2Р</t>
  </si>
  <si>
    <t>9шт</t>
  </si>
  <si>
    <t>21.1</t>
  </si>
  <si>
    <t>Монтаж элемента  4П входящее в узел 2Р</t>
  </si>
  <si>
    <t>21.1.1</t>
  </si>
  <si>
    <t>Двутавр 14Б2</t>
  </si>
  <si>
    <t>5,7м.п.*12,9кг. ГОСТ Р 57837-2017</t>
  </si>
  <si>
    <t>21.1.2</t>
  </si>
  <si>
    <t>Пластина t=5мм S=0.0043м2</t>
  </si>
  <si>
    <t>6шт*0,169кг</t>
  </si>
  <si>
    <t>21.2</t>
  </si>
  <si>
    <t>0,03м2*39,25кг. ГОСТ 19903-2015</t>
  </si>
  <si>
    <t>21.3</t>
  </si>
  <si>
    <t>1,99м.п.</t>
  </si>
  <si>
    <t>21.4</t>
  </si>
  <si>
    <t>Монтаж элемента  5П входящий в узел 2Р</t>
  </si>
  <si>
    <t>21.4.1</t>
  </si>
  <si>
    <t>Уголок 75х5</t>
  </si>
  <si>
    <t>0,16м.п.*5,8кг. ГОСТ 8509-93</t>
  </si>
  <si>
    <t>21.5</t>
  </si>
  <si>
    <t>Монтаж элемента  6П входящий в узел 2Р</t>
  </si>
  <si>
    <t>21.5.1</t>
  </si>
  <si>
    <t>Пластина 65х65х5мм</t>
  </si>
  <si>
    <t>12шт*0,165кг</t>
  </si>
  <si>
    <t>21.6</t>
  </si>
  <si>
    <t>0,05м2*39,25кг. ГОСТ 19903-2015</t>
  </si>
  <si>
    <t>22</t>
  </si>
  <si>
    <t>Усиление ребёр плиты по узлу 3Р</t>
  </si>
  <si>
    <t>246шт, без сварных швов и добавочных пластин</t>
  </si>
  <si>
    <t>22.1</t>
  </si>
  <si>
    <t>Монтаж элемента  1П входящее в узел 3Р</t>
  </si>
  <si>
    <t>22.1.1</t>
  </si>
  <si>
    <t>5,96м.п.*12,3кг</t>
  </si>
  <si>
    <t>22.1.2</t>
  </si>
  <si>
    <t>3шт*0,38кг</t>
  </si>
  <si>
    <t>22.1.3</t>
  </si>
  <si>
    <t>5шт*0,26кг</t>
  </si>
  <si>
    <t>22.1.4</t>
  </si>
  <si>
    <t>3шт*0,15кг</t>
  </si>
  <si>
    <t>22.2</t>
  </si>
  <si>
    <t>0,07м2*39,25кг</t>
  </si>
  <si>
    <t>22.3</t>
  </si>
  <si>
    <t>3,186 п.м.</t>
  </si>
  <si>
    <t>22.4</t>
  </si>
  <si>
    <t>Монтаж элемента  1Па входящее в узел 3Р</t>
  </si>
  <si>
    <t>22.4.1</t>
  </si>
  <si>
    <t>22.4.2</t>
  </si>
  <si>
    <t>22.4.3</t>
  </si>
  <si>
    <t>22.4.4</t>
  </si>
  <si>
    <t>22.5</t>
  </si>
  <si>
    <t>22.6</t>
  </si>
  <si>
    <t>22.7</t>
  </si>
  <si>
    <t>Монтаж элемента  2П входящее в узел 3Р</t>
  </si>
  <si>
    <t>3шт*1,94кг</t>
  </si>
  <si>
    <t>22.7.1</t>
  </si>
  <si>
    <t>0,16м.п.*5,38кг</t>
  </si>
  <si>
    <t>22.7.2</t>
  </si>
  <si>
    <t>1шт*0,494кг</t>
  </si>
  <si>
    <t>22.7.3</t>
  </si>
  <si>
    <t>1шт*0,585кг</t>
  </si>
  <si>
    <t>22.8</t>
  </si>
  <si>
    <t>22.9</t>
  </si>
  <si>
    <t>0,87м.п.</t>
  </si>
  <si>
    <t>22.10</t>
  </si>
  <si>
    <t>Монтаж элемента  5П входящий в узел 3Р</t>
  </si>
  <si>
    <t>22.10.1</t>
  </si>
  <si>
    <t>0,312м.п.*5,8кг. ГОСТ 8509-93</t>
  </si>
  <si>
    <t>23</t>
  </si>
  <si>
    <t>Усиление ребёр плиты по узлу 4Р</t>
  </si>
  <si>
    <t>121шт</t>
  </si>
  <si>
    <t>23.1</t>
  </si>
  <si>
    <t>Сверление отверстий в основании электроперфоратором Ø 10мм</t>
  </si>
  <si>
    <t>шт</t>
  </si>
  <si>
    <t>23.2</t>
  </si>
  <si>
    <t>Монтаж элемента 4П входящее в узел 4Р</t>
  </si>
  <si>
    <t>23.2.1</t>
  </si>
  <si>
    <t>23.2.2</t>
  </si>
  <si>
    <t>23.3</t>
  </si>
  <si>
    <t>23.4</t>
  </si>
  <si>
    <t>23.5</t>
  </si>
  <si>
    <t>Монтаж элемента  5П входящий в узел 4Р</t>
  </si>
  <si>
    <t>23.5.1</t>
  </si>
  <si>
    <t>23.6</t>
  </si>
  <si>
    <t>Монтаж элемента  6П входящий в узел 4Р</t>
  </si>
  <si>
    <t>23.6.1</t>
  </si>
  <si>
    <t>27шт*0,165кг</t>
  </si>
  <si>
    <t>23.7</t>
  </si>
  <si>
    <t>Монтаж элемента  7П входящий в узел 4Р</t>
  </si>
  <si>
    <t>23.7.1</t>
  </si>
  <si>
    <t>Закладная деталь МН 105-3</t>
  </si>
  <si>
    <t>2шт*0,8кг</t>
  </si>
  <si>
    <t>23.7.2</t>
  </si>
  <si>
    <t>Обрезка закладной детали МН 105-3 до 90мм</t>
  </si>
  <si>
    <t>23.8</t>
  </si>
  <si>
    <t>Монтаж элемента  8П входящий в узел 4Р</t>
  </si>
  <si>
    <t>23.8.1</t>
  </si>
  <si>
    <t>Химический анкер Манопокс 341</t>
  </si>
  <si>
    <t>мл</t>
  </si>
  <si>
    <t>23.9</t>
  </si>
  <si>
    <t>0,11м2*39,25кг. ГОСТ 19903-2015</t>
  </si>
  <si>
    <t>24</t>
  </si>
  <si>
    <t>Послемонтажные работы</t>
  </si>
  <si>
    <t>24.1</t>
  </si>
  <si>
    <t>24.2</t>
  </si>
  <si>
    <t>Обезжиривание</t>
  </si>
  <si>
    <t>обезжирить растворителем ксилол по ГОСТ 9410 или Р-4, Р-5 по ГОСТ 7827 до степени 1 по ГОСТ 9.402.</t>
  </si>
  <si>
    <t>24.2.1</t>
  </si>
  <si>
    <t>80 – 150 г/м²</t>
  </si>
  <si>
    <t>24.3</t>
  </si>
  <si>
    <t>24.3.1</t>
  </si>
  <si>
    <t>24.4</t>
  </si>
  <si>
    <t>24.4.1</t>
  </si>
  <si>
    <t>25</t>
  </si>
  <si>
    <t>Усиление стальных ферм и связей</t>
  </si>
  <si>
    <t>26</t>
  </si>
  <si>
    <t>Зачистка поверхности металла от коррозии, грязи и старой краски</t>
  </si>
  <si>
    <t>ФС-4.1, ФС-4.2, ФФ-4.1, РС-1.1</t>
  </si>
  <si>
    <t>30</t>
  </si>
  <si>
    <t>Стальные фермы ФС-4.1</t>
  </si>
  <si>
    <t>17шт</t>
  </si>
  <si>
    <t>30.1</t>
  </si>
  <si>
    <t>Усиление раскоса р3.1, позиция 1С</t>
  </si>
  <si>
    <t>30.1.1</t>
  </si>
  <si>
    <t>Уголок 90х56х5.5</t>
  </si>
  <si>
    <t>16м.п.*6,17кг</t>
  </si>
  <si>
    <t>30.2</t>
  </si>
  <si>
    <t>Усиление стойки с2.1, позиция 2С</t>
  </si>
  <si>
    <t>30.2.1</t>
  </si>
  <si>
    <t>Уголок 50х5</t>
  </si>
  <si>
    <t>10,28м.п.*3,77кг</t>
  </si>
  <si>
    <t>30.3</t>
  </si>
  <si>
    <t>Усиление ВП.1, позиция 3С</t>
  </si>
  <si>
    <t>30.3.1</t>
  </si>
  <si>
    <t>Уголок 110х8</t>
  </si>
  <si>
    <t>24,08м.п.*13,5кг</t>
  </si>
  <si>
    <t>31</t>
  </si>
  <si>
    <t>Стальные фермы ФС-4.2</t>
  </si>
  <si>
    <t>2шт</t>
  </si>
  <si>
    <t>31.1</t>
  </si>
  <si>
    <t>31.1.1</t>
  </si>
  <si>
    <t>31.2</t>
  </si>
  <si>
    <t>31.2.1</t>
  </si>
  <si>
    <t>32</t>
  </si>
  <si>
    <t>Стальные фермы ФФ-4.1</t>
  </si>
  <si>
    <t>8шт</t>
  </si>
  <si>
    <t>32.1</t>
  </si>
  <si>
    <t>Усиление раскоса р1.1, позиция 4С</t>
  </si>
  <si>
    <t>32.1.1</t>
  </si>
  <si>
    <t>Уголок 40х4</t>
  </si>
  <si>
    <t>6,82м.п.*2,42кг</t>
  </si>
  <si>
    <t>33</t>
  </si>
  <si>
    <t>Связи РС-1.1</t>
  </si>
  <si>
    <t>33.1</t>
  </si>
  <si>
    <t>Усиление связи, позиция 5С</t>
  </si>
  <si>
    <t>53,25*24шт</t>
  </si>
  <si>
    <t>33.1.1</t>
  </si>
  <si>
    <t>Уголок 63х5</t>
  </si>
  <si>
    <t>11,07м.п.4,81кг</t>
  </si>
  <si>
    <t>34</t>
  </si>
  <si>
    <t>356,918п.м.</t>
  </si>
  <si>
    <t>35</t>
  </si>
  <si>
    <t>35.1</t>
  </si>
  <si>
    <t>35.2</t>
  </si>
  <si>
    <t>35.2.1</t>
  </si>
  <si>
    <t>35.3</t>
  </si>
  <si>
    <t>35.3.1</t>
  </si>
  <si>
    <t>35.4</t>
  </si>
  <si>
    <t>35.4.1</t>
  </si>
  <si>
    <t>36</t>
  </si>
  <si>
    <t>Демонтаж элементов связей РС-2. и РЖ-2.1</t>
  </si>
  <si>
    <t>36.1</t>
  </si>
  <si>
    <t>Демонтаж существующей связи РС 2.1 из уголка 63х6</t>
  </si>
  <si>
    <t>5,54м.п.</t>
  </si>
  <si>
    <t>36.2</t>
  </si>
  <si>
    <t>Демонтаж существующей связи РЖ-2.1</t>
  </si>
  <si>
    <t>по ПК-01-28 Выпуск 1. Масса элемента 0.376 т. 6 шт</t>
  </si>
  <si>
    <t>37</t>
  </si>
  <si>
    <t>Монтаж элементов связей</t>
  </si>
  <si>
    <t>37.1</t>
  </si>
  <si>
    <t>Подготовительные работы на устройство связей</t>
  </si>
  <si>
    <t>37.1.1</t>
  </si>
  <si>
    <t>Зачистка поверхность существующих металлоконструкций в местах стыков и устройства сварных швов от лакокрасочного покрытия</t>
  </si>
  <si>
    <t>37.2</t>
  </si>
  <si>
    <t>Связь РС-2.1</t>
  </si>
  <si>
    <t>3шт</t>
  </si>
  <si>
    <t>37.2.1</t>
  </si>
  <si>
    <t>5,54п.м.*4,81кг</t>
  </si>
  <si>
    <t>37.3</t>
  </si>
  <si>
    <t>0,678м.п.</t>
  </si>
  <si>
    <t>37.4</t>
  </si>
  <si>
    <t>Связь РЖ-2.1</t>
  </si>
  <si>
    <t>6шт</t>
  </si>
  <si>
    <t>37.4.1</t>
  </si>
  <si>
    <t>Двутавр 18Б1</t>
  </si>
  <si>
    <t>5,6м.п.*15,4кг</t>
  </si>
  <si>
    <t>37.5</t>
  </si>
  <si>
    <t>2,292м.п.</t>
  </si>
  <si>
    <t>38</t>
  </si>
  <si>
    <t>Послемонтажная обработка связей РС-2.1, РЖ-2.1</t>
  </si>
  <si>
    <t>38.1</t>
  </si>
  <si>
    <t>38.1.1</t>
  </si>
  <si>
    <t>38.2</t>
  </si>
  <si>
    <t>Покрытие огнезащитной краской Термобарьер 0.6мм</t>
  </si>
  <si>
    <t>38.2.1</t>
  </si>
  <si>
    <t>39</t>
  </si>
  <si>
    <t>Замена плит покрытия</t>
  </si>
  <si>
    <t>40</t>
  </si>
  <si>
    <t>Демонтаж работы</t>
  </si>
  <si>
    <t>с помощью алмазных дисковых пил</t>
  </si>
  <si>
    <t>40.1</t>
  </si>
  <si>
    <t>Сборная ребристая плита покрытия</t>
  </si>
  <si>
    <t>40.2</t>
  </si>
  <si>
    <t xml:space="preserve">Межплитные швы (цементный заполнитель) </t>
  </si>
  <si>
    <t>44шва*6м*0.0213м2=5,62м3</t>
  </si>
  <si>
    <t>41</t>
  </si>
  <si>
    <t>Обеспыливание поверхности</t>
  </si>
  <si>
    <t>Промывка струей воды</t>
  </si>
  <si>
    <t>40.3</t>
  </si>
  <si>
    <t>40.3.1</t>
  </si>
  <si>
    <t>40.4</t>
  </si>
  <si>
    <t>40.4.1</t>
  </si>
  <si>
    <t>Монтаж стального каркаса плит покрытия. Узел 5Р.</t>
  </si>
  <si>
    <t>41.1</t>
  </si>
  <si>
    <t>41.2</t>
  </si>
  <si>
    <t>Монтаж элементов изделия У1</t>
  </si>
  <si>
    <t>22шт, без сварных швов и резерв.пластин</t>
  </si>
  <si>
    <t>41.1.1</t>
  </si>
  <si>
    <t>Швеллер 30</t>
  </si>
  <si>
    <t>5,98м.п.*31,8кг*22шт/1000</t>
  </si>
  <si>
    <t>41.1.2</t>
  </si>
  <si>
    <t>Пластина t=6мм S=0.026м2</t>
  </si>
  <si>
    <t>4шт*1,23кг*22шт/1000</t>
  </si>
  <si>
    <t>41.1.3</t>
  </si>
  <si>
    <t>Пластина t=6мм S=0.016м2</t>
  </si>
  <si>
    <t>24шт*0,75кг*22шт/1000</t>
  </si>
  <si>
    <t>41.1.4</t>
  </si>
  <si>
    <t>Пластина 2230х94х6мм</t>
  </si>
  <si>
    <t>2шт*9,87кг*22шт/1000</t>
  </si>
  <si>
    <t>Пластина t=6мм</t>
  </si>
  <si>
    <t>0,9057м2*47,1кг*22шт/1000</t>
  </si>
  <si>
    <t>41.3</t>
  </si>
  <si>
    <t>Сварные швы kf=6мм</t>
  </si>
  <si>
    <t>26,95м.п. 4,16*22/1000</t>
  </si>
  <si>
    <t>41.4</t>
  </si>
  <si>
    <t>Монтаж элементов изделия 1Уа</t>
  </si>
  <si>
    <t>41.4.1</t>
  </si>
  <si>
    <t>41.4.2</t>
  </si>
  <si>
    <t>41.4.3</t>
  </si>
  <si>
    <t>41.4.4</t>
  </si>
  <si>
    <t>41.5</t>
  </si>
  <si>
    <t>41.6</t>
  </si>
  <si>
    <t>41.7</t>
  </si>
  <si>
    <t>Монтаж элементов 2У</t>
  </si>
  <si>
    <t>41.7.1</t>
  </si>
  <si>
    <t>Уголок 70х6</t>
  </si>
  <si>
    <t>5,56п.м.*6,39кг</t>
  </si>
  <si>
    <t>41.8</t>
  </si>
  <si>
    <t>Монтаж элементов 2У1</t>
  </si>
  <si>
    <t>41.8.1</t>
  </si>
  <si>
    <t>Пластина 110х1270х11мм</t>
  </si>
  <si>
    <t>2шт*12,06кг</t>
  </si>
  <si>
    <t>42</t>
  </si>
  <si>
    <t>Монтаж не съемной опалубки плит покрытия</t>
  </si>
  <si>
    <t>42.1</t>
  </si>
  <si>
    <t>Монтаж профлиста Н57- 750 - 0.8 (Монтаж элементов 3У)</t>
  </si>
  <si>
    <t>13,11м2*6,38кг*22шт/1000. Масса профлиста дана с учётом перехлёста на 2 гофры</t>
  </si>
  <si>
    <t>43</t>
  </si>
  <si>
    <t>Армирование плит покрытия</t>
  </si>
  <si>
    <t>43.1</t>
  </si>
  <si>
    <t>Очистка арматуры от ржавчины и грязи</t>
  </si>
  <si>
    <t>44</t>
  </si>
  <si>
    <t>Каркас 5У</t>
  </si>
  <si>
    <t>44.1</t>
  </si>
  <si>
    <t>Монтаж арматуры гладкой 6 мм A240, L-97мм, шаг 188мм (в каждую гофру)</t>
  </si>
  <si>
    <t>10шт*0,023кг*528шт/1000</t>
  </si>
  <si>
    <t>44.2</t>
  </si>
  <si>
    <t>Монтаж арматуры 8 мм рифленая A500С. L-1450мм</t>
  </si>
  <si>
    <t>2шт*0,573кг*528шт/1000</t>
  </si>
  <si>
    <t>45</t>
  </si>
  <si>
    <t>Каркас 6У</t>
  </si>
  <si>
    <t>45.1</t>
  </si>
  <si>
    <t>Монтаж арматуры 8 мм рифленая A500С</t>
  </si>
  <si>
    <t>26,6п.м*0,395кг</t>
  </si>
  <si>
    <t>45.2</t>
  </si>
  <si>
    <t>Монтаж вязальной проволоки ∅ 1-2 мм двойным узлом</t>
  </si>
  <si>
    <t>45.3</t>
  </si>
  <si>
    <t>5,76м.п.</t>
  </si>
  <si>
    <t>45.4</t>
  </si>
  <si>
    <t>Сварные швы kf=8мм</t>
  </si>
  <si>
    <t>0,3м.п.</t>
  </si>
  <si>
    <t>46</t>
  </si>
  <si>
    <t>Бетонирование плит покрытия на отм. +11,555, +16,570</t>
  </si>
  <si>
    <t>46.1</t>
  </si>
  <si>
    <t>Мелкозернистый бетон В25, толщ. 115мм</t>
  </si>
  <si>
    <t>11,15м3 высота от +11.185 до +16,380</t>
  </si>
  <si>
    <t>47</t>
  </si>
  <si>
    <t>Устройство межплитных швов</t>
  </si>
  <si>
    <t>м.п.</t>
  </si>
  <si>
    <t>47.1</t>
  </si>
  <si>
    <t>Зачистка межплиточных швов</t>
  </si>
  <si>
    <t>47.2</t>
  </si>
  <si>
    <t>Нанесение насечек на боковуюю поверхность рёбер ж.б. плит вдоль шва</t>
  </si>
  <si>
    <t>47.3</t>
  </si>
  <si>
    <t>Увлажнение поверхности водой с удалением излишек</t>
  </si>
  <si>
    <t>47.4</t>
  </si>
  <si>
    <t>Монтаж опалубки на нижней грани межплиточного шва шириной от 50мм</t>
  </si>
  <si>
    <t>0,05*263,12</t>
  </si>
  <si>
    <t>47.5</t>
  </si>
  <si>
    <t>возможен аналог. 4,79м3</t>
  </si>
  <si>
    <t>47.5.1</t>
  </si>
  <si>
    <t xml:space="preserve"> 1850кг/1м3.</t>
  </si>
  <si>
    <t>47.6.1</t>
  </si>
  <si>
    <t>(0.2м2 на 1.мпог, слой 1мм, расход 0.9кг/м2)</t>
  </si>
  <si>
    <t>48</t>
  </si>
  <si>
    <t>Вывоз мусора (бетонный бой)</t>
  </si>
  <si>
    <t>99,05*2,4т+2,236</t>
  </si>
  <si>
    <t>49</t>
  </si>
  <si>
    <t>Погрузо-разгрузочные работы при автомобильных перевозках: Погрузка мусора строительного с погрузкой вручную</t>
  </si>
  <si>
    <t>1 т груза</t>
  </si>
  <si>
    <t>50</t>
  </si>
  <si>
    <t>Перевозка грузов I класса автомобилями-самосвалами грузоподъемностью 10 т работающих вне карьера на расстояние до 47 км</t>
  </si>
  <si>
    <t>51</t>
  </si>
  <si>
    <t>Утилизация строительного мусора</t>
  </si>
  <si>
    <t>52</t>
  </si>
  <si>
    <t>Вывоз сдемонтированного металла</t>
  </si>
  <si>
    <t>Цена работ руб. с НДС</t>
  </si>
  <si>
    <t>Сумма работ руб. с НДС</t>
  </si>
  <si>
    <t>ИТОГО руб. материал/работы с НДС</t>
  </si>
  <si>
    <t>Устройство рабочего настила/демонтаж</t>
  </si>
  <si>
    <t>на узел 2 детали МН-105-3 в каждой детали 4 анкера</t>
  </si>
  <si>
    <r>
      <rPr>
        <b/>
        <sz val="16"/>
        <color rgb="FF000000"/>
        <rFont val="Times New Roman"/>
        <family val="1"/>
        <charset val="204"/>
      </rPr>
      <t>Общество с ограниченной ответственностью "АЛЬФА-СПЕКТР"</t>
    </r>
    <r>
      <rPr>
        <sz val="16"/>
        <color rgb="FF000000"/>
        <rFont val="Times New Roman"/>
        <family val="1"/>
        <charset val="204"/>
      </rPr>
      <t xml:space="preserve">
ИНН:5250073829 КПП: 526001001
Расчётный счет: № 40702810814500027008 ООО "Банк Точка" БИК: 044525104 Город: Москва
Корр. счет: 30101810745374525104
Адрес местонахождения:
РФ, 603093, НИЖЕГОРОДСКАЯ ОБЛАСТЬ,
Г. НИЖНИЙ НОВГОРОД,
УЛ РОДИОНОВА, Д. 188, пом. 47
Тел. 8-930-710-10-35, email: emelyanov89@mail.ru</t>
    </r>
  </si>
  <si>
    <t>в ПОС, кол-во материала рассчитано на 4004 м2, по осям В-Я'/25-30</t>
  </si>
  <si>
    <t>расход 0.9кг/м2 на слой 1мм(0,2м2*8992м.п.*0,9кг) взято 2 слоя по 2 мм</t>
  </si>
  <si>
    <t>Коммерческое предложение на восстановление строительных конструкций крыши( внутренние работы), кровельного покрытия цеха М-10 на территории АО «Коломенский завод» поадресу: 140408, Московская область, г. Коломна ул. Партизан, д.42.</t>
  </si>
  <si>
    <t>Итого</t>
  </si>
  <si>
    <t>*В стоимость КП включены все расходы, необходимые для выполнения полного комплекса работ, в соответствии с Тех.заданием:</t>
  </si>
  <si>
    <t>Срок мобилизации на Объекте после получения аванса:</t>
  </si>
  <si>
    <t>Количественный состав ИТР и рабочих:</t>
  </si>
  <si>
    <t>ИТР 2 человек/ 30-60 рабочих*</t>
  </si>
  <si>
    <t>- поставка всех необходимых расходных материалов;</t>
  </si>
  <si>
    <t>Срок монтажа:</t>
  </si>
  <si>
    <t>Размер аванса (на материалы):</t>
  </si>
  <si>
    <t>Размер аванса (на работы):</t>
  </si>
  <si>
    <t>- подготовка исполнительной документации;</t>
  </si>
  <si>
    <t>Гарантийный срок на работы:</t>
  </si>
  <si>
    <t>36 месяцев</t>
  </si>
  <si>
    <t>Примечание:</t>
  </si>
  <si>
    <t>Генеральный директор ООО "Альфа-Спектр"</t>
  </si>
  <si>
    <t>Емельянов М.Я.</t>
  </si>
  <si>
    <t>подпись</t>
  </si>
  <si>
    <t>(расшифровка подписи - Ф.И.О.)</t>
  </si>
  <si>
    <t>М.П.</t>
  </si>
  <si>
    <r>
      <rPr>
        <b/>
        <sz val="14"/>
        <color rgb="FFFF0000"/>
        <rFont val="Times New Roman"/>
        <family val="1"/>
        <charset val="204"/>
      </rPr>
      <t xml:space="preserve">5 </t>
    </r>
    <r>
      <rPr>
        <b/>
        <sz val="14"/>
        <color theme="1"/>
        <rFont val="Times New Roman"/>
        <family val="1"/>
        <charset val="204"/>
      </rPr>
      <t>календарных дней после получения аванса</t>
    </r>
  </si>
  <si>
    <r>
      <rPr>
        <b/>
        <sz val="14"/>
        <color rgb="FFFF0000"/>
        <rFont val="Times New Roman"/>
        <family val="1"/>
        <charset val="204"/>
      </rPr>
      <t xml:space="preserve">240 </t>
    </r>
    <r>
      <rPr>
        <b/>
        <sz val="14"/>
        <color theme="1"/>
        <rFont val="Times New Roman"/>
        <family val="1"/>
        <charset val="204"/>
      </rPr>
      <t>календарных дней*</t>
    </r>
  </si>
  <si>
    <t>- выполнение всех основных и сопутствующих работ, в т.ч. Погрузка демонтированных материалов; подъём материалов;</t>
  </si>
  <si>
    <t>*количество рабочего персонала на объекте зависит от выданных в работу захваток в конкретный момент времени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</si>
</sst>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₽&quot;_-;\-* #,##0.00\ &quot;₽&quot;_-;_-* &quot;-&quot;??\ &quot;₽&quot;_-;_-@_-"/>
    <numFmt numFmtId="164" formatCode="0.000"/>
    <numFmt numFmtId="165" formatCode="0.0"/>
    <numFmt numFmtId="166" formatCode="0.0000"/>
    <numFmt numFmtId="167" formatCode="0.00000"/>
    <numFmt numFmtId="168" formatCode="d\.m"/>
  </numFmts>
  <fonts count="25" x14ac:knownFonts="1">
    <font>
      <sz val="10"/>
      <color rgb="FF000000"/>
      <name val="Arial"/>
      <scheme val="minor"/>
    </font>
    <font>
      <sz val="10"/>
      <color rgb="FF000000"/>
      <name val="Arial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00FF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rgb="FF4A86E8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"/>
      <family val="2"/>
      <charset val="204"/>
      <scheme val="minor"/>
    </font>
    <font>
      <b/>
      <sz val="14"/>
      <name val="Arial"/>
      <family val="2"/>
      <charset val="204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EEECE1"/>
        <bgColor rgb="FFEEECE1"/>
      </patternFill>
    </fill>
    <fill>
      <patternFill patternType="solid">
        <fgColor rgb="FF00FF00"/>
        <bgColor rgb="FF00FF00"/>
      </patternFill>
    </fill>
    <fill>
      <patternFill patternType="solid">
        <fgColor rgb="FFFFF2CC"/>
        <bgColor rgb="FFFFF2CC"/>
      </patternFill>
    </fill>
    <fill>
      <patternFill patternType="solid">
        <fgColor rgb="FFFFFF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rgb="FFEEECE1"/>
      </patternFill>
    </fill>
    <fill>
      <patternFill patternType="solid">
        <fgColor rgb="FFFF9999"/>
        <bgColor rgb="FF92D050"/>
      </patternFill>
    </fill>
    <fill>
      <patternFill patternType="solid">
        <fgColor rgb="FFFF9999"/>
        <bgColor indexed="64"/>
      </patternFill>
    </fill>
    <fill>
      <patternFill patternType="solid">
        <fgColor rgb="FFFF9999"/>
        <bgColor rgb="FFFFFFFF"/>
      </patternFill>
    </fill>
    <fill>
      <patternFill patternType="solid">
        <fgColor rgb="FFFF9999"/>
        <bgColor rgb="FFEEECE1"/>
      </patternFill>
    </fill>
    <fill>
      <patternFill patternType="solid">
        <fgColor rgb="FFFF9999"/>
        <bgColor rgb="FFFFFF00"/>
      </patternFill>
    </fill>
    <fill>
      <patternFill patternType="solid">
        <fgColor rgb="FFFF9999"/>
        <bgColor rgb="FFFFF2CC"/>
      </patternFill>
    </fill>
    <fill>
      <patternFill patternType="solid">
        <fgColor rgb="FF99FFCC"/>
        <bgColor rgb="FF92D050"/>
      </patternFill>
    </fill>
    <fill>
      <patternFill patternType="solid">
        <fgColor rgb="FF99FFCC"/>
        <bgColor indexed="64"/>
      </patternFill>
    </fill>
    <fill>
      <patternFill patternType="solid">
        <fgColor rgb="FF99FFCC"/>
        <bgColor rgb="FFFFFFFF"/>
      </patternFill>
    </fill>
    <fill>
      <patternFill patternType="solid">
        <fgColor rgb="FF99FFCC"/>
        <bgColor rgb="FFEEECE1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5">
    <xf numFmtId="0" fontId="0" fillId="0" borderId="0" xfId="0" applyFont="1" applyAlignment="1"/>
    <xf numFmtId="0" fontId="2" fillId="0" borderId="0" xfId="0" applyFont="1" applyAlignment="1"/>
    <xf numFmtId="44" fontId="4" fillId="2" borderId="4" xfId="1" applyFont="1" applyFill="1" applyBorder="1" applyAlignment="1">
      <alignment horizontal="center" vertical="center" wrapText="1"/>
    </xf>
    <xf numFmtId="49" fontId="5" fillId="11" borderId="1" xfId="0" applyNumberFormat="1" applyFont="1" applyFill="1" applyBorder="1" applyAlignment="1">
      <alignment horizontal="center" vertical="center" wrapText="1"/>
    </xf>
    <xf numFmtId="0" fontId="4" fillId="11" borderId="7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 wrapText="1"/>
    </xf>
    <xf numFmtId="0" fontId="7" fillId="11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49" fontId="5" fillId="13" borderId="1" xfId="0" applyNumberFormat="1" applyFont="1" applyFill="1" applyBorder="1" applyAlignment="1">
      <alignment horizontal="center" vertical="center" wrapText="1"/>
    </xf>
    <xf numFmtId="0" fontId="4" fillId="14" borderId="1" xfId="0" applyFont="1" applyFill="1" applyBorder="1" applyAlignment="1">
      <alignment horizontal="center" vertical="center" wrapText="1"/>
    </xf>
    <xf numFmtId="0" fontId="5" fillId="14" borderId="1" xfId="0" applyFont="1" applyFill="1" applyBorder="1" applyAlignment="1">
      <alignment horizontal="center" vertical="center" wrapText="1"/>
    </xf>
    <xf numFmtId="164" fontId="8" fillId="14" borderId="1" xfId="0" applyNumberFormat="1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49" fontId="5" fillId="8" borderId="1" xfId="0" applyNumberFormat="1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4" fillId="11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2" fontId="8" fillId="15" borderId="1" xfId="0" applyNumberFormat="1" applyFont="1" applyFill="1" applyBorder="1" applyAlignment="1">
      <alignment horizontal="center" vertical="center" wrapText="1"/>
    </xf>
    <xf numFmtId="2" fontId="8" fillId="3" borderId="1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2" fontId="4" fillId="15" borderId="1" xfId="0" applyNumberFormat="1" applyFont="1" applyFill="1" applyBorder="1" applyAlignment="1">
      <alignment horizontal="center" vertical="center" wrapText="1"/>
    </xf>
    <xf numFmtId="2" fontId="4" fillId="14" borderId="3" xfId="0" applyNumberFormat="1" applyFont="1" applyFill="1" applyBorder="1" applyAlignment="1">
      <alignment horizontal="center" vertical="center" wrapText="1"/>
    </xf>
    <xf numFmtId="2" fontId="4" fillId="3" borderId="3" xfId="0" applyNumberFormat="1" applyFont="1" applyFill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2" fontId="5" fillId="3" borderId="3" xfId="0" applyNumberFormat="1" applyFont="1" applyFill="1" applyBorder="1" applyAlignment="1">
      <alignment horizontal="center" vertical="center" wrapText="1"/>
    </xf>
    <xf numFmtId="2" fontId="4" fillId="15" borderId="3" xfId="0" applyNumberFormat="1" applyFont="1" applyFill="1" applyBorder="1" applyAlignment="1">
      <alignment horizontal="center" vertical="center" wrapText="1"/>
    </xf>
    <xf numFmtId="2" fontId="4" fillId="3" borderId="5" xfId="0" applyNumberFormat="1" applyFont="1" applyFill="1" applyBorder="1" applyAlignment="1">
      <alignment horizontal="center" vertical="center" wrapText="1"/>
    </xf>
    <xf numFmtId="2" fontId="7" fillId="15" borderId="1" xfId="0" applyNumberFormat="1" applyFont="1" applyFill="1" applyBorder="1" applyAlignment="1">
      <alignment horizontal="center" vertical="center" wrapText="1"/>
    </xf>
    <xf numFmtId="2" fontId="7" fillId="3" borderId="1" xfId="0" applyNumberFormat="1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2" fontId="5" fillId="4" borderId="1" xfId="0" applyNumberFormat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4" fillId="16" borderId="1" xfId="0" applyFont="1" applyFill="1" applyBorder="1" applyAlignment="1">
      <alignment horizontal="center" vertical="center" wrapText="1"/>
    </xf>
    <xf numFmtId="165" fontId="7" fillId="16" borderId="1" xfId="0" applyNumberFormat="1" applyFont="1" applyFill="1" applyBorder="1" applyAlignment="1">
      <alignment horizontal="center" vertical="center" wrapText="1"/>
    </xf>
    <xf numFmtId="2" fontId="6" fillId="4" borderId="1" xfId="0" applyNumberFormat="1" applyFont="1" applyFill="1" applyBorder="1" applyAlignment="1">
      <alignment horizontal="center" vertical="center" wrapText="1"/>
    </xf>
    <xf numFmtId="2" fontId="6" fillId="3" borderId="1" xfId="0" applyNumberFormat="1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166" fontId="4" fillId="3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167" fontId="4" fillId="4" borderId="1" xfId="0" applyNumberFormat="1" applyFont="1" applyFill="1" applyBorder="1" applyAlignment="1">
      <alignment horizontal="center" vertical="center" wrapText="1"/>
    </xf>
    <xf numFmtId="167" fontId="4" fillId="0" borderId="1" xfId="0" applyNumberFormat="1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164" fontId="4" fillId="14" borderId="1" xfId="0" applyNumberFormat="1" applyFont="1" applyFill="1" applyBorder="1" applyAlignment="1">
      <alignment horizontal="center" vertical="center" wrapText="1"/>
    </xf>
    <xf numFmtId="166" fontId="4" fillId="4" borderId="1" xfId="0" applyNumberFormat="1" applyFont="1" applyFill="1" applyBorder="1" applyAlignment="1">
      <alignment horizontal="center" vertical="center" wrapText="1"/>
    </xf>
    <xf numFmtId="2" fontId="9" fillId="3" borderId="1" xfId="0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2" fontId="8" fillId="14" borderId="1" xfId="0" applyNumberFormat="1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wrapText="1"/>
    </xf>
    <xf numFmtId="0" fontId="4" fillId="13" borderId="2" xfId="0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2" fontId="10" fillId="3" borderId="1" xfId="0" applyNumberFormat="1" applyFont="1" applyFill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2" fontId="7" fillId="4" borderId="3" xfId="0" applyNumberFormat="1" applyFont="1" applyFill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2" fontId="10" fillId="0" borderId="11" xfId="0" applyNumberFormat="1" applyFont="1" applyBorder="1" applyAlignment="1">
      <alignment horizontal="center" vertical="center" wrapText="1"/>
    </xf>
    <xf numFmtId="2" fontId="5" fillId="4" borderId="3" xfId="0" applyNumberFormat="1" applyFont="1" applyFill="1" applyBorder="1" applyAlignment="1">
      <alignment horizontal="center" vertical="center" wrapText="1"/>
    </xf>
    <xf numFmtId="0" fontId="7" fillId="16" borderId="1" xfId="0" applyFont="1" applyFill="1" applyBorder="1" applyAlignment="1">
      <alignment horizontal="center" vertical="center" wrapText="1"/>
    </xf>
    <xf numFmtId="164" fontId="8" fillId="16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164" fontId="6" fillId="4" borderId="1" xfId="0" applyNumberFormat="1" applyFont="1" applyFill="1" applyBorder="1" applyAlignment="1">
      <alignment horizontal="center" vertical="center" wrapText="1"/>
    </xf>
    <xf numFmtId="164" fontId="7" fillId="4" borderId="1" xfId="0" applyNumberFormat="1" applyFont="1" applyFill="1" applyBorder="1" applyAlignment="1">
      <alignment horizontal="center" vertical="center" wrapText="1"/>
    </xf>
    <xf numFmtId="164" fontId="5" fillId="4" borderId="1" xfId="0" applyNumberFormat="1" applyFont="1" applyFill="1" applyBorder="1" applyAlignment="1">
      <alignment horizontal="center" vertical="center" wrapText="1"/>
    </xf>
    <xf numFmtId="0" fontId="6" fillId="16" borderId="1" xfId="0" applyFont="1" applyFill="1" applyBorder="1" applyAlignment="1">
      <alignment horizontal="center" vertical="center" wrapText="1"/>
    </xf>
    <xf numFmtId="0" fontId="7" fillId="13" borderId="1" xfId="0" applyFont="1" applyFill="1" applyBorder="1" applyAlignment="1">
      <alignment horizontal="center" vertical="center" wrapText="1"/>
    </xf>
    <xf numFmtId="164" fontId="8" fillId="13" borderId="1" xfId="0" applyNumberFormat="1" applyFont="1" applyFill="1" applyBorder="1" applyAlignment="1">
      <alignment horizontal="center" vertical="center" wrapText="1"/>
    </xf>
    <xf numFmtId="166" fontId="5" fillId="4" borderId="3" xfId="0" applyNumberFormat="1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vertical="center" wrapText="1"/>
    </xf>
    <xf numFmtId="2" fontId="10" fillId="4" borderId="1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2" fontId="4" fillId="4" borderId="3" xfId="0" applyNumberFormat="1" applyFont="1" applyFill="1" applyBorder="1" applyAlignment="1">
      <alignment horizontal="center" vertical="center" wrapText="1"/>
    </xf>
    <xf numFmtId="49" fontId="5" fillId="17" borderId="1" xfId="0" applyNumberFormat="1" applyFont="1" applyFill="1" applyBorder="1" applyAlignment="1">
      <alignment horizontal="center" vertical="center" wrapText="1"/>
    </xf>
    <xf numFmtId="0" fontId="4" fillId="17" borderId="1" xfId="0" applyFont="1" applyFill="1" applyBorder="1" applyAlignment="1">
      <alignment horizontal="center" vertical="center" wrapText="1"/>
    </xf>
    <xf numFmtId="0" fontId="5" fillId="17" borderId="1" xfId="0" applyFont="1" applyFill="1" applyBorder="1" applyAlignment="1">
      <alignment horizontal="center" vertical="center" wrapText="1"/>
    </xf>
    <xf numFmtId="49" fontId="5" fillId="19" borderId="1" xfId="0" applyNumberFormat="1" applyFont="1" applyFill="1" applyBorder="1" applyAlignment="1">
      <alignment horizontal="center" vertical="center" wrapText="1"/>
    </xf>
    <xf numFmtId="0" fontId="7" fillId="20" borderId="0" xfId="0" applyFont="1" applyFill="1" applyAlignment="1">
      <alignment horizontal="center" vertical="center" wrapText="1"/>
    </xf>
    <xf numFmtId="164" fontId="5" fillId="6" borderId="1" xfId="0" applyNumberFormat="1" applyFont="1" applyFill="1" applyBorder="1" applyAlignment="1">
      <alignment horizontal="center" vertical="center" wrapText="1"/>
    </xf>
    <xf numFmtId="164" fontId="12" fillId="4" borderId="1" xfId="0" applyNumberFormat="1" applyFont="1" applyFill="1" applyBorder="1" applyAlignment="1">
      <alignment horizontal="center" vertical="center" wrapText="1"/>
    </xf>
    <xf numFmtId="0" fontId="4" fillId="20" borderId="3" xfId="0" applyFont="1" applyFill="1" applyBorder="1" applyAlignment="1">
      <alignment horizontal="center" vertical="center" wrapText="1"/>
    </xf>
    <xf numFmtId="0" fontId="4" fillId="20" borderId="1" xfId="0" applyFont="1" applyFill="1" applyBorder="1" applyAlignment="1">
      <alignment horizontal="center" vertical="center" wrapText="1"/>
    </xf>
    <xf numFmtId="0" fontId="4" fillId="20" borderId="2" xfId="0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5" fillId="18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168" fontId="5" fillId="4" borderId="1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44" fontId="3" fillId="0" borderId="0" xfId="1" applyFont="1" applyAlignment="1">
      <alignment horizontal="center" vertical="center"/>
    </xf>
    <xf numFmtId="44" fontId="2" fillId="9" borderId="9" xfId="1" applyFont="1" applyFill="1" applyBorder="1" applyAlignment="1">
      <alignment horizontal="center" vertical="center"/>
    </xf>
    <xf numFmtId="44" fontId="3" fillId="9" borderId="9" xfId="1" applyFont="1" applyFill="1" applyBorder="1" applyAlignment="1">
      <alignment horizontal="center" vertical="center"/>
    </xf>
    <xf numFmtId="0" fontId="4" fillId="10" borderId="2" xfId="0" applyFont="1" applyFill="1" applyBorder="1" applyAlignment="1">
      <alignment horizontal="center" vertical="center" wrapText="1"/>
    </xf>
    <xf numFmtId="44" fontId="6" fillId="9" borderId="9" xfId="1" applyFont="1" applyFill="1" applyBorder="1" applyAlignment="1">
      <alignment horizontal="center" vertical="center" wrapText="1"/>
    </xf>
    <xf numFmtId="44" fontId="6" fillId="0" borderId="9" xfId="1" applyFont="1" applyBorder="1" applyAlignment="1">
      <alignment horizontal="center" vertical="center" wrapText="1"/>
    </xf>
    <xf numFmtId="44" fontId="3" fillId="0" borderId="9" xfId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10" borderId="2" xfId="0" applyFont="1" applyFill="1" applyBorder="1" applyAlignment="1">
      <alignment horizontal="center" vertical="center" wrapText="1"/>
    </xf>
    <xf numFmtId="44" fontId="6" fillId="12" borderId="9" xfId="1" applyFont="1" applyFill="1" applyBorder="1" applyAlignment="1">
      <alignment horizontal="center" vertical="center" wrapText="1"/>
    </xf>
    <xf numFmtId="44" fontId="3" fillId="12" borderId="9" xfId="1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0" fontId="4" fillId="14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18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44" fontId="2" fillId="0" borderId="9" xfId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7" fillId="11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16" borderId="2" xfId="0" applyFont="1" applyFill="1" applyBorder="1" applyAlignment="1">
      <alignment horizontal="center" vertical="center" wrapText="1"/>
    </xf>
    <xf numFmtId="44" fontId="11" fillId="13" borderId="9" xfId="1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11" borderId="2" xfId="0" applyFont="1" applyFill="1" applyBorder="1" applyAlignment="1">
      <alignment horizontal="center" vertical="center" wrapText="1"/>
    </xf>
    <xf numFmtId="0" fontId="5" fillId="16" borderId="2" xfId="0" applyFont="1" applyFill="1" applyBorder="1" applyAlignment="1">
      <alignment horizontal="center" vertical="center" wrapText="1"/>
    </xf>
    <xf numFmtId="0" fontId="4" fillId="13" borderId="1" xfId="0" applyFont="1" applyFill="1" applyBorder="1" applyAlignment="1">
      <alignment horizontal="center" vertical="center" wrapText="1"/>
    </xf>
    <xf numFmtId="0" fontId="5" fillId="14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5" fillId="17" borderId="2" xfId="0" applyFont="1" applyFill="1" applyBorder="1" applyAlignment="1">
      <alignment horizontal="center" vertical="center" wrapText="1"/>
    </xf>
    <xf numFmtId="44" fontId="6" fillId="18" borderId="9" xfId="1" applyFont="1" applyFill="1" applyBorder="1" applyAlignment="1">
      <alignment horizontal="center" vertical="center" wrapText="1"/>
    </xf>
    <xf numFmtId="44" fontId="3" fillId="18" borderId="9" xfId="1" applyFont="1" applyFill="1" applyBorder="1" applyAlignment="1">
      <alignment horizontal="center" vertical="center"/>
    </xf>
    <xf numFmtId="0" fontId="5" fillId="20" borderId="1" xfId="0" applyFont="1" applyFill="1" applyBorder="1" applyAlignment="1">
      <alignment horizontal="center" vertical="center" wrapText="1"/>
    </xf>
    <xf numFmtId="0" fontId="5" fillId="20" borderId="2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18" borderId="3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4" fontId="2" fillId="0" borderId="0" xfId="1" applyFont="1" applyAlignment="1">
      <alignment horizontal="center" vertical="center"/>
    </xf>
    <xf numFmtId="44" fontId="3" fillId="0" borderId="9" xfId="1" applyFont="1" applyFill="1" applyBorder="1" applyAlignment="1">
      <alignment horizontal="center" vertical="center"/>
    </xf>
    <xf numFmtId="49" fontId="5" fillId="4" borderId="15" xfId="0" applyNumberFormat="1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44" fontId="6" fillId="0" borderId="16" xfId="1" applyFont="1" applyBorder="1" applyAlignment="1">
      <alignment horizontal="center" vertical="center" wrapText="1"/>
    </xf>
    <xf numFmtId="44" fontId="3" fillId="0" borderId="16" xfId="1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44" fontId="17" fillId="0" borderId="9" xfId="1" applyFont="1" applyBorder="1" applyAlignment="1">
      <alignment horizontal="center" vertical="center"/>
    </xf>
    <xf numFmtId="0" fontId="22" fillId="21" borderId="0" xfId="0" applyFont="1" applyFill="1" applyBorder="1" applyAlignment="1">
      <alignment horizontal="center" vertical="center"/>
    </xf>
    <xf numFmtId="0" fontId="22" fillId="21" borderId="0" xfId="0" applyFont="1" applyFill="1" applyBorder="1" applyAlignment="1">
      <alignment horizontal="center" vertical="center" wrapText="1"/>
    </xf>
    <xf numFmtId="2" fontId="19" fillId="21" borderId="0" xfId="0" applyNumberFormat="1" applyFont="1" applyFill="1" applyBorder="1" applyAlignment="1">
      <alignment horizontal="right" vertical="center" wrapText="1"/>
    </xf>
    <xf numFmtId="0" fontId="20" fillId="21" borderId="0" xfId="0" applyFont="1" applyFill="1" applyBorder="1" applyAlignment="1">
      <alignment horizontal="center" vertical="center"/>
    </xf>
    <xf numFmtId="0" fontId="23" fillId="21" borderId="0" xfId="0" applyFont="1" applyFill="1" applyBorder="1" applyAlignment="1">
      <alignment horizontal="center" vertical="center"/>
    </xf>
    <xf numFmtId="0" fontId="20" fillId="0" borderId="0" xfId="0" applyFont="1" applyBorder="1"/>
    <xf numFmtId="2" fontId="19" fillId="0" borderId="0" xfId="0" applyNumberFormat="1" applyFont="1" applyBorder="1" applyAlignment="1">
      <alignment vertical="center"/>
    </xf>
    <xf numFmtId="0" fontId="19" fillId="0" borderId="0" xfId="0" applyFont="1" applyBorder="1" applyAlignment="1">
      <alignment horizontal="center" vertical="center"/>
    </xf>
    <xf numFmtId="44" fontId="24" fillId="21" borderId="0" xfId="1" applyFont="1" applyFill="1" applyBorder="1" applyAlignment="1">
      <alignment horizontal="center" vertical="center"/>
    </xf>
    <xf numFmtId="49" fontId="5" fillId="8" borderId="11" xfId="0" applyNumberFormat="1" applyFont="1" applyFill="1" applyBorder="1" applyAlignment="1">
      <alignment horizontal="center" vertical="center" wrapText="1"/>
    </xf>
    <xf numFmtId="0" fontId="4" fillId="10" borderId="11" xfId="0" applyFont="1" applyFill="1" applyBorder="1" applyAlignment="1">
      <alignment horizontal="center" vertical="center" wrapText="1"/>
    </xf>
    <xf numFmtId="164" fontId="4" fillId="10" borderId="11" xfId="0" applyNumberFormat="1" applyFont="1" applyFill="1" applyBorder="1" applyAlignment="1">
      <alignment horizontal="center" vertical="center" wrapText="1"/>
    </xf>
    <xf numFmtId="0" fontId="4" fillId="10" borderId="12" xfId="0" applyFont="1" applyFill="1" applyBorder="1" applyAlignment="1">
      <alignment horizontal="center" vertical="center" wrapText="1"/>
    </xf>
    <xf numFmtId="44" fontId="5" fillId="8" borderId="26" xfId="1" applyFont="1" applyFill="1" applyBorder="1" applyAlignment="1">
      <alignment horizontal="center" vertical="center" wrapText="1"/>
    </xf>
    <xf numFmtId="44" fontId="3" fillId="9" borderId="26" xfId="1" applyFont="1" applyFill="1" applyBorder="1" applyAlignment="1">
      <alignment horizontal="center" vertical="center"/>
    </xf>
    <xf numFmtId="49" fontId="4" fillId="2" borderId="27" xfId="0" applyNumberFormat="1" applyFont="1" applyFill="1" applyBorder="1" applyAlignment="1">
      <alignment horizontal="center" vertical="center" wrapText="1"/>
    </xf>
    <xf numFmtId="44" fontId="4" fillId="2" borderId="28" xfId="1" applyFont="1" applyFill="1" applyBorder="1" applyAlignment="1">
      <alignment horizontal="center" vertical="center" wrapText="1"/>
    </xf>
    <xf numFmtId="49" fontId="4" fillId="8" borderId="29" xfId="0" applyNumberFormat="1" applyFont="1" applyFill="1" applyBorder="1" applyAlignment="1">
      <alignment horizontal="center" vertical="center" wrapText="1"/>
    </xf>
    <xf numFmtId="0" fontId="4" fillId="8" borderId="30" xfId="0" applyFont="1" applyFill="1" applyBorder="1" applyAlignment="1">
      <alignment horizontal="center" vertical="center" wrapText="1"/>
    </xf>
    <xf numFmtId="0" fontId="4" fillId="8" borderId="31" xfId="0" applyFont="1" applyFill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/>
    </xf>
    <xf numFmtId="2" fontId="19" fillId="0" borderId="0" xfId="0" applyNumberFormat="1" applyFont="1" applyBorder="1" applyAlignment="1">
      <alignment horizontal="right" vertical="center"/>
    </xf>
    <xf numFmtId="0" fontId="20" fillId="0" borderId="9" xfId="0" applyFont="1" applyBorder="1" applyAlignment="1">
      <alignment horizontal="center" vertical="center"/>
    </xf>
    <xf numFmtId="9" fontId="20" fillId="0" borderId="9" xfId="0" applyNumberFormat="1" applyFont="1" applyBorder="1" applyAlignment="1">
      <alignment horizontal="center" vertical="center"/>
    </xf>
    <xf numFmtId="49" fontId="19" fillId="21" borderId="14" xfId="0" applyNumberFormat="1" applyFont="1" applyFill="1" applyBorder="1" applyAlignment="1">
      <alignment horizontal="center" vertical="center" wrapText="1"/>
    </xf>
    <xf numFmtId="49" fontId="19" fillId="21" borderId="0" xfId="0" applyNumberFormat="1" applyFont="1" applyFill="1" applyBorder="1" applyAlignment="1">
      <alignment horizontal="center" vertical="center" wrapText="1"/>
    </xf>
    <xf numFmtId="49" fontId="19" fillId="21" borderId="22" xfId="0" applyNumberFormat="1" applyFont="1" applyFill="1" applyBorder="1" applyAlignment="1">
      <alignment horizontal="center" vertical="center" wrapText="1"/>
    </xf>
    <xf numFmtId="2" fontId="19" fillId="22" borderId="17" xfId="0" applyNumberFormat="1" applyFont="1" applyFill="1" applyBorder="1" applyAlignment="1">
      <alignment horizontal="right" vertical="center" wrapText="1"/>
    </xf>
    <xf numFmtId="2" fontId="19" fillId="22" borderId="18" xfId="0" applyNumberFormat="1" applyFont="1" applyFill="1" applyBorder="1" applyAlignment="1">
      <alignment horizontal="right" vertical="center" wrapText="1"/>
    </xf>
    <xf numFmtId="2" fontId="19" fillId="22" borderId="19" xfId="0" applyNumberFormat="1" applyFont="1" applyFill="1" applyBorder="1" applyAlignment="1">
      <alignment horizontal="right" vertical="center" wrapText="1"/>
    </xf>
    <xf numFmtId="49" fontId="19" fillId="21" borderId="23" xfId="0" applyNumberFormat="1" applyFont="1" applyFill="1" applyBorder="1" applyAlignment="1">
      <alignment horizontal="center" vertical="center" wrapText="1"/>
    </xf>
    <xf numFmtId="49" fontId="19" fillId="21" borderId="24" xfId="0" applyNumberFormat="1" applyFont="1" applyFill="1" applyBorder="1" applyAlignment="1">
      <alignment horizontal="center" vertical="center" wrapText="1"/>
    </xf>
    <xf numFmtId="49" fontId="19" fillId="21" borderId="25" xfId="0" applyNumberFormat="1" applyFont="1" applyFill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49" fontId="19" fillId="21" borderId="20" xfId="0" applyNumberFormat="1" applyFont="1" applyFill="1" applyBorder="1" applyAlignment="1">
      <alignment horizontal="center" vertical="center" wrapText="1"/>
    </xf>
    <xf numFmtId="49" fontId="19" fillId="21" borderId="13" xfId="0" applyNumberFormat="1" applyFont="1" applyFill="1" applyBorder="1" applyAlignment="1">
      <alignment horizontal="center" vertical="center" wrapText="1"/>
    </xf>
    <xf numFmtId="49" fontId="19" fillId="21" borderId="21" xfId="0" applyNumberFormat="1" applyFont="1" applyFill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colors>
    <mruColors>
      <color rgb="FF99FFCC"/>
      <color rgb="FFFF99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J321"/>
  <sheetViews>
    <sheetView showGridLines="0" tabSelected="1" topLeftCell="C1" zoomScale="80" zoomScaleNormal="80" workbookViewId="0">
      <selection sqref="A1:J1"/>
    </sheetView>
  </sheetViews>
  <sheetFormatPr defaultColWidth="12.7109375" defaultRowHeight="15.75" customHeight="1" x14ac:dyDescent="0.2"/>
  <cols>
    <col min="1" max="1" width="9.7109375" style="153" customWidth="1"/>
    <col min="2" max="2" width="40.42578125" style="153" customWidth="1"/>
    <col min="3" max="3" width="10" style="153" customWidth="1"/>
    <col min="4" max="4" width="12.42578125" style="153" customWidth="1"/>
    <col min="5" max="5" width="40.140625" style="153" customWidth="1"/>
    <col min="6" max="6" width="18.28515625" style="154" customWidth="1"/>
    <col min="7" max="7" width="22.85546875" style="154" customWidth="1"/>
    <col min="8" max="8" width="14.5703125" style="110" bestFit="1" customWidth="1"/>
    <col min="9" max="9" width="25.7109375" style="110" customWidth="1"/>
    <col min="10" max="10" width="26.5703125" style="110" customWidth="1"/>
    <col min="11" max="16384" width="12.7109375" style="1"/>
  </cols>
  <sheetData>
    <row r="1" spans="1:10" ht="217.5" customHeight="1" x14ac:dyDescent="0.2">
      <c r="A1" s="198" t="s">
        <v>657</v>
      </c>
      <c r="B1" s="198"/>
      <c r="C1" s="198"/>
      <c r="D1" s="198"/>
      <c r="E1" s="198"/>
      <c r="F1" s="198"/>
      <c r="G1" s="198"/>
      <c r="H1" s="198"/>
      <c r="I1" s="198"/>
      <c r="J1" s="198"/>
    </row>
    <row r="2" spans="1:10" ht="50.25" customHeight="1" x14ac:dyDescent="0.2">
      <c r="A2" s="198" t="s">
        <v>660</v>
      </c>
      <c r="B2" s="198"/>
      <c r="C2" s="198"/>
      <c r="D2" s="198"/>
      <c r="E2" s="198"/>
      <c r="F2" s="198"/>
      <c r="G2" s="198"/>
      <c r="H2" s="198"/>
      <c r="I2" s="198"/>
      <c r="J2" s="198"/>
    </row>
    <row r="3" spans="1:10" ht="42.75" x14ac:dyDescent="0.2">
      <c r="A3" s="179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2" t="s">
        <v>5</v>
      </c>
      <c r="G3" s="2" t="s">
        <v>6</v>
      </c>
      <c r="H3" s="2" t="s">
        <v>652</v>
      </c>
      <c r="I3" s="2" t="s">
        <v>653</v>
      </c>
      <c r="J3" s="180" t="s">
        <v>654</v>
      </c>
    </row>
    <row r="4" spans="1:10" ht="37.5" customHeight="1" x14ac:dyDescent="0.2">
      <c r="A4" s="181" t="s">
        <v>7</v>
      </c>
      <c r="B4" s="182" t="s">
        <v>655</v>
      </c>
      <c r="C4" s="182" t="s">
        <v>8</v>
      </c>
      <c r="D4" s="182">
        <v>25443</v>
      </c>
      <c r="E4" s="183" t="s">
        <v>658</v>
      </c>
      <c r="F4" s="111">
        <f>(0.019*115000)+990+150+500</f>
        <v>3825</v>
      </c>
      <c r="G4" s="111">
        <f>F4*4004</f>
        <v>15315300</v>
      </c>
      <c r="H4" s="112">
        <v>4278</v>
      </c>
      <c r="I4" s="112">
        <f>D4*H4</f>
        <v>108845154</v>
      </c>
      <c r="J4" s="112">
        <f>G4+I4</f>
        <v>124160454</v>
      </c>
    </row>
    <row r="5" spans="1:10" ht="57" x14ac:dyDescent="0.2">
      <c r="A5" s="173" t="s">
        <v>9</v>
      </c>
      <c r="B5" s="174" t="s">
        <v>10</v>
      </c>
      <c r="C5" s="174" t="s">
        <v>11</v>
      </c>
      <c r="D5" s="175">
        <v>36.423999999999999</v>
      </c>
      <c r="E5" s="176" t="s">
        <v>12</v>
      </c>
      <c r="F5" s="177"/>
      <c r="G5" s="177"/>
      <c r="H5" s="178">
        <f>(1/0.00405)*350</f>
        <v>86419.753086419762</v>
      </c>
      <c r="I5" s="178">
        <f>D5*H5</f>
        <v>3147753.0864197533</v>
      </c>
      <c r="J5" s="178">
        <f>G5+I5</f>
        <v>3147753.0864197533</v>
      </c>
    </row>
    <row r="6" spans="1:10" ht="57" x14ac:dyDescent="0.2">
      <c r="A6" s="13" t="s">
        <v>13</v>
      </c>
      <c r="B6" s="14" t="s">
        <v>14</v>
      </c>
      <c r="C6" s="14" t="s">
        <v>15</v>
      </c>
      <c r="D6" s="14">
        <v>8992</v>
      </c>
      <c r="E6" s="113"/>
      <c r="F6" s="114"/>
      <c r="G6" s="114"/>
      <c r="H6" s="112">
        <v>1798</v>
      </c>
      <c r="I6" s="112">
        <f>D6*H6</f>
        <v>16167616</v>
      </c>
      <c r="J6" s="112">
        <f>G6+I6</f>
        <v>16167616</v>
      </c>
    </row>
    <row r="7" spans="1:10" ht="30" x14ac:dyDescent="0.2">
      <c r="A7" s="15" t="s">
        <v>16</v>
      </c>
      <c r="B7" s="16" t="s">
        <v>17</v>
      </c>
      <c r="C7" s="16" t="s">
        <v>8</v>
      </c>
      <c r="D7" s="16">
        <v>899.2</v>
      </c>
      <c r="E7" s="74"/>
      <c r="F7" s="115"/>
      <c r="G7" s="115"/>
      <c r="H7" s="116"/>
      <c r="I7" s="116"/>
      <c r="J7" s="116"/>
    </row>
    <row r="8" spans="1:10" ht="45" x14ac:dyDescent="0.2">
      <c r="A8" s="15" t="s">
        <v>18</v>
      </c>
      <c r="B8" s="16" t="s">
        <v>19</v>
      </c>
      <c r="C8" s="16" t="s">
        <v>8</v>
      </c>
      <c r="D8" s="16">
        <v>899.2</v>
      </c>
      <c r="E8" s="74" t="s">
        <v>20</v>
      </c>
      <c r="F8" s="115"/>
      <c r="G8" s="115"/>
      <c r="H8" s="116"/>
      <c r="I8" s="116"/>
      <c r="J8" s="116"/>
    </row>
    <row r="9" spans="1:10" ht="15" x14ac:dyDescent="0.2">
      <c r="A9" s="15" t="s">
        <v>21</v>
      </c>
      <c r="B9" s="16" t="s">
        <v>22</v>
      </c>
      <c r="C9" s="16" t="s">
        <v>8</v>
      </c>
      <c r="D9" s="17">
        <v>719.36</v>
      </c>
      <c r="E9" s="74"/>
      <c r="F9" s="115"/>
      <c r="G9" s="115"/>
      <c r="H9" s="116"/>
      <c r="I9" s="116"/>
      <c r="J9" s="116"/>
    </row>
    <row r="10" spans="1:10" ht="30" x14ac:dyDescent="0.2">
      <c r="A10" s="15" t="s">
        <v>23</v>
      </c>
      <c r="B10" s="16" t="s">
        <v>24</v>
      </c>
      <c r="C10" s="16" t="s">
        <v>25</v>
      </c>
      <c r="D10" s="16">
        <v>2643.65</v>
      </c>
      <c r="E10" s="74" t="s">
        <v>26</v>
      </c>
      <c r="F10" s="115">
        <f>35000/19</f>
        <v>1842.1052631578948</v>
      </c>
      <c r="G10" s="115">
        <f>D10*F10</f>
        <v>4869881.578947369</v>
      </c>
      <c r="H10" s="116"/>
      <c r="I10" s="116"/>
      <c r="J10" s="116">
        <f>G10</f>
        <v>4869881.578947369</v>
      </c>
    </row>
    <row r="11" spans="1:10" ht="30" x14ac:dyDescent="0.2">
      <c r="A11" s="15" t="s">
        <v>27</v>
      </c>
      <c r="B11" s="16" t="s">
        <v>28</v>
      </c>
      <c r="C11" s="16" t="s">
        <v>8</v>
      </c>
      <c r="D11" s="16">
        <v>899.2</v>
      </c>
      <c r="E11" s="117" t="s">
        <v>29</v>
      </c>
      <c r="F11" s="115"/>
      <c r="G11" s="115"/>
      <c r="H11" s="116"/>
      <c r="I11" s="116"/>
      <c r="J11" s="116"/>
    </row>
    <row r="12" spans="1:10" ht="30" x14ac:dyDescent="0.2">
      <c r="A12" s="15" t="s">
        <v>30</v>
      </c>
      <c r="B12" s="16" t="s">
        <v>31</v>
      </c>
      <c r="C12" s="16" t="s">
        <v>32</v>
      </c>
      <c r="D12" s="18">
        <v>66540.800000000003</v>
      </c>
      <c r="E12" s="117" t="s">
        <v>33</v>
      </c>
      <c r="F12" s="115">
        <f>5100/30</f>
        <v>170</v>
      </c>
      <c r="G12" s="115">
        <f>D12*F12</f>
        <v>11311936</v>
      </c>
      <c r="H12" s="116"/>
      <c r="I12" s="116"/>
      <c r="J12" s="116">
        <f>G12</f>
        <v>11311936</v>
      </c>
    </row>
    <row r="13" spans="1:10" ht="15" x14ac:dyDescent="0.2">
      <c r="A13" s="15" t="s">
        <v>34</v>
      </c>
      <c r="B13" s="16" t="s">
        <v>35</v>
      </c>
      <c r="C13" s="16" t="s">
        <v>8</v>
      </c>
      <c r="D13" s="16">
        <v>1798.4</v>
      </c>
      <c r="E13" s="74" t="s">
        <v>36</v>
      </c>
      <c r="F13" s="115"/>
      <c r="G13" s="115"/>
      <c r="H13" s="116"/>
      <c r="I13" s="116"/>
      <c r="J13" s="116"/>
    </row>
    <row r="14" spans="1:10" ht="45" x14ac:dyDescent="0.2">
      <c r="A14" s="15" t="s">
        <v>37</v>
      </c>
      <c r="B14" s="16" t="s">
        <v>38</v>
      </c>
      <c r="C14" s="16" t="s">
        <v>32</v>
      </c>
      <c r="D14" s="103">
        <f>0.2*8992*0.9*4</f>
        <v>6474.2400000000007</v>
      </c>
      <c r="E14" s="125" t="s">
        <v>659</v>
      </c>
      <c r="F14" s="115">
        <f>700/30</f>
        <v>23.333333333333332</v>
      </c>
      <c r="G14" s="115">
        <f>D14*F14</f>
        <v>151065.60000000001</v>
      </c>
      <c r="H14" s="116"/>
      <c r="I14" s="116"/>
      <c r="J14" s="116">
        <f>G14</f>
        <v>151065.60000000001</v>
      </c>
    </row>
    <row r="15" spans="1:10" ht="57" x14ac:dyDescent="0.2">
      <c r="A15" s="13" t="s">
        <v>39</v>
      </c>
      <c r="B15" s="14" t="s">
        <v>40</v>
      </c>
      <c r="C15" s="14" t="s">
        <v>11</v>
      </c>
      <c r="D15" s="14">
        <v>6.8640000000000007E-2</v>
      </c>
      <c r="E15" s="113" t="s">
        <v>41</v>
      </c>
      <c r="F15" s="114"/>
      <c r="G15" s="114"/>
      <c r="H15" s="112">
        <f>1/0.00107*350</f>
        <v>327102.80373831774</v>
      </c>
      <c r="I15" s="112">
        <f>D15*H15</f>
        <v>22452.336448598133</v>
      </c>
      <c r="J15" s="112">
        <f>I15</f>
        <v>22452.336448598133</v>
      </c>
    </row>
    <row r="16" spans="1:10" ht="57" x14ac:dyDescent="0.2">
      <c r="A16" s="13" t="s">
        <v>42</v>
      </c>
      <c r="B16" s="14" t="s">
        <v>43</v>
      </c>
      <c r="C16" s="14" t="s">
        <v>15</v>
      </c>
      <c r="D16" s="14">
        <v>64.14</v>
      </c>
      <c r="E16" s="113"/>
      <c r="F16" s="114"/>
      <c r="G16" s="114"/>
      <c r="H16" s="112">
        <v>1798</v>
      </c>
      <c r="I16" s="112">
        <f>D16*H16</f>
        <v>115323.72</v>
      </c>
      <c r="J16" s="112">
        <f>I16</f>
        <v>115323.72</v>
      </c>
    </row>
    <row r="17" spans="1:10" ht="30" x14ac:dyDescent="0.2">
      <c r="A17" s="15" t="s">
        <v>44</v>
      </c>
      <c r="B17" s="16" t="s">
        <v>17</v>
      </c>
      <c r="C17" s="16" t="s">
        <v>8</v>
      </c>
      <c r="D17" s="16">
        <v>3.85</v>
      </c>
      <c r="E17" s="74"/>
      <c r="F17" s="115"/>
      <c r="G17" s="115"/>
      <c r="H17" s="116"/>
      <c r="I17" s="116"/>
      <c r="J17" s="116"/>
    </row>
    <row r="18" spans="1:10" ht="45" x14ac:dyDescent="0.2">
      <c r="A18" s="15" t="s">
        <v>45</v>
      </c>
      <c r="B18" s="16" t="s">
        <v>19</v>
      </c>
      <c r="C18" s="16" t="s">
        <v>8</v>
      </c>
      <c r="D18" s="16">
        <v>3.85</v>
      </c>
      <c r="E18" s="74" t="s">
        <v>46</v>
      </c>
      <c r="F18" s="115"/>
      <c r="G18" s="115"/>
      <c r="H18" s="116"/>
      <c r="I18" s="116"/>
      <c r="J18" s="116"/>
    </row>
    <row r="19" spans="1:10" ht="30" x14ac:dyDescent="0.2">
      <c r="A19" s="15" t="s">
        <v>47</v>
      </c>
      <c r="B19" s="16" t="s">
        <v>22</v>
      </c>
      <c r="C19" s="16" t="s">
        <v>8</v>
      </c>
      <c r="D19" s="16">
        <v>1.28</v>
      </c>
      <c r="E19" s="74" t="s">
        <v>48</v>
      </c>
      <c r="F19" s="115"/>
      <c r="G19" s="115"/>
      <c r="H19" s="116"/>
      <c r="I19" s="116"/>
      <c r="J19" s="116"/>
    </row>
    <row r="20" spans="1:10" ht="15" x14ac:dyDescent="0.2">
      <c r="A20" s="15" t="s">
        <v>49</v>
      </c>
      <c r="B20" s="16" t="s">
        <v>24</v>
      </c>
      <c r="C20" s="16" t="s">
        <v>25</v>
      </c>
      <c r="D20" s="16">
        <v>4.71</v>
      </c>
      <c r="E20" s="74"/>
      <c r="F20" s="115">
        <f>35000/19</f>
        <v>1842.1052631578948</v>
      </c>
      <c r="G20" s="115">
        <f>D20*F20</f>
        <v>8676.3157894736851</v>
      </c>
      <c r="H20" s="116"/>
      <c r="I20" s="116"/>
      <c r="J20" s="116">
        <f>G20</f>
        <v>8676.3157894736851</v>
      </c>
    </row>
    <row r="21" spans="1:10" ht="15" x14ac:dyDescent="0.2">
      <c r="A21" s="15" t="s">
        <v>50</v>
      </c>
      <c r="B21" s="16" t="s">
        <v>51</v>
      </c>
      <c r="C21" s="16" t="s">
        <v>8</v>
      </c>
      <c r="D21" s="16">
        <v>3.85</v>
      </c>
      <c r="E21" s="117" t="s">
        <v>52</v>
      </c>
      <c r="F21" s="115"/>
      <c r="G21" s="115"/>
      <c r="H21" s="116"/>
      <c r="I21" s="116"/>
      <c r="J21" s="116"/>
    </row>
    <row r="22" spans="1:10" ht="30" x14ac:dyDescent="0.2">
      <c r="A22" s="15" t="s">
        <v>53</v>
      </c>
      <c r="B22" s="16" t="s">
        <v>31</v>
      </c>
      <c r="C22" s="16" t="s">
        <v>32</v>
      </c>
      <c r="D22" s="19">
        <v>111</v>
      </c>
      <c r="E22" s="117" t="s">
        <v>54</v>
      </c>
      <c r="F22" s="115">
        <f>5100/30</f>
        <v>170</v>
      </c>
      <c r="G22" s="115">
        <f>D22*F22</f>
        <v>18870</v>
      </c>
      <c r="H22" s="116"/>
      <c r="I22" s="116"/>
      <c r="J22" s="116">
        <f>G22</f>
        <v>18870</v>
      </c>
    </row>
    <row r="23" spans="1:10" ht="15" x14ac:dyDescent="0.2">
      <c r="A23" s="15" t="s">
        <v>55</v>
      </c>
      <c r="B23" s="16" t="s">
        <v>35</v>
      </c>
      <c r="C23" s="16" t="s">
        <v>8</v>
      </c>
      <c r="D23" s="17">
        <v>7.6999999999999993</v>
      </c>
      <c r="E23" s="74" t="s">
        <v>56</v>
      </c>
      <c r="F23" s="115"/>
      <c r="G23" s="115"/>
      <c r="H23" s="116"/>
      <c r="I23" s="116"/>
      <c r="J23" s="116"/>
    </row>
    <row r="24" spans="1:10" ht="15" x14ac:dyDescent="0.2">
      <c r="A24" s="15" t="s">
        <v>57</v>
      </c>
      <c r="B24" s="16" t="s">
        <v>38</v>
      </c>
      <c r="C24" s="16" t="s">
        <v>32</v>
      </c>
      <c r="D24" s="103">
        <f>6.93*4</f>
        <v>27.72</v>
      </c>
      <c r="E24" s="117" t="s">
        <v>58</v>
      </c>
      <c r="F24" s="115">
        <f>700/30</f>
        <v>23.333333333333332</v>
      </c>
      <c r="G24" s="115">
        <f>D24*F24</f>
        <v>646.79999999999995</v>
      </c>
      <c r="H24" s="116"/>
      <c r="I24" s="116"/>
      <c r="J24" s="116">
        <f>G24</f>
        <v>646.79999999999995</v>
      </c>
    </row>
    <row r="25" spans="1:10" ht="57" x14ac:dyDescent="0.2">
      <c r="A25" s="13" t="s">
        <v>59</v>
      </c>
      <c r="B25" s="14" t="s">
        <v>60</v>
      </c>
      <c r="C25" s="14" t="s">
        <v>61</v>
      </c>
      <c r="D25" s="14">
        <v>0.185</v>
      </c>
      <c r="E25" s="113"/>
      <c r="F25" s="114"/>
      <c r="G25" s="114"/>
      <c r="H25" s="112">
        <f>I25/D25</f>
        <v>200000</v>
      </c>
      <c r="I25" s="112">
        <f>D26*1000</f>
        <v>37000</v>
      </c>
      <c r="J25" s="112">
        <f>I25</f>
        <v>37000</v>
      </c>
    </row>
    <row r="26" spans="1:10" ht="57" x14ac:dyDescent="0.2">
      <c r="A26" s="13" t="s">
        <v>62</v>
      </c>
      <c r="B26" s="14" t="s">
        <v>63</v>
      </c>
      <c r="C26" s="14" t="s">
        <v>64</v>
      </c>
      <c r="D26" s="20">
        <v>37</v>
      </c>
      <c r="E26" s="113"/>
      <c r="F26" s="114"/>
      <c r="G26" s="114"/>
      <c r="H26" s="112">
        <f>I26/D26</f>
        <v>7580</v>
      </c>
      <c r="I26" s="112">
        <f>D26*7580</f>
        <v>280460</v>
      </c>
      <c r="J26" s="112">
        <f>I26</f>
        <v>280460</v>
      </c>
    </row>
    <row r="27" spans="1:10" ht="30" x14ac:dyDescent="0.2">
      <c r="A27" s="15" t="s">
        <v>65</v>
      </c>
      <c r="B27" s="16" t="s">
        <v>17</v>
      </c>
      <c r="C27" s="16" t="s">
        <v>8</v>
      </c>
      <c r="D27" s="16">
        <v>2.2200000000000002</v>
      </c>
      <c r="E27" s="74"/>
      <c r="F27" s="115"/>
      <c r="G27" s="115"/>
      <c r="H27" s="116"/>
      <c r="I27" s="116"/>
      <c r="J27" s="116"/>
    </row>
    <row r="28" spans="1:10" ht="45" x14ac:dyDescent="0.2">
      <c r="A28" s="15" t="s">
        <v>66</v>
      </c>
      <c r="B28" s="16" t="s">
        <v>19</v>
      </c>
      <c r="C28" s="16" t="s">
        <v>8</v>
      </c>
      <c r="D28" s="16">
        <v>2.2200000000000002</v>
      </c>
      <c r="E28" s="74" t="s">
        <v>67</v>
      </c>
      <c r="F28" s="115"/>
      <c r="G28" s="115"/>
      <c r="H28" s="116"/>
      <c r="I28" s="116"/>
      <c r="J28" s="116"/>
    </row>
    <row r="29" spans="1:10" ht="45" x14ac:dyDescent="0.2">
      <c r="A29" s="15" t="s">
        <v>68</v>
      </c>
      <c r="B29" s="16" t="s">
        <v>69</v>
      </c>
      <c r="C29" s="16" t="s">
        <v>8</v>
      </c>
      <c r="D29" s="16">
        <v>11.84</v>
      </c>
      <c r="E29" s="74" t="s">
        <v>70</v>
      </c>
      <c r="F29" s="115"/>
      <c r="G29" s="115"/>
      <c r="H29" s="116"/>
      <c r="I29" s="116"/>
      <c r="J29" s="116"/>
    </row>
    <row r="30" spans="1:10" ht="15" x14ac:dyDescent="0.2">
      <c r="A30" s="15" t="s">
        <v>71</v>
      </c>
      <c r="B30" s="16" t="s">
        <v>72</v>
      </c>
      <c r="C30" s="16" t="s">
        <v>32</v>
      </c>
      <c r="D30" s="21">
        <v>49.7</v>
      </c>
      <c r="E30" s="117" t="s">
        <v>73</v>
      </c>
      <c r="F30" s="115">
        <f>400*4.2</f>
        <v>1680</v>
      </c>
      <c r="G30" s="115">
        <f>D30*F30</f>
        <v>83496</v>
      </c>
      <c r="H30" s="116"/>
      <c r="I30" s="116"/>
      <c r="J30" s="116">
        <f>G30</f>
        <v>83496</v>
      </c>
    </row>
    <row r="31" spans="1:10" ht="15" x14ac:dyDescent="0.2">
      <c r="A31" s="15" t="s">
        <v>74</v>
      </c>
      <c r="B31" s="16" t="s">
        <v>51</v>
      </c>
      <c r="C31" s="16" t="s">
        <v>8</v>
      </c>
      <c r="D31" s="16">
        <v>37</v>
      </c>
      <c r="E31" s="117" t="s">
        <v>75</v>
      </c>
      <c r="F31" s="115"/>
      <c r="G31" s="115"/>
      <c r="H31" s="116"/>
      <c r="I31" s="116"/>
      <c r="J31" s="116"/>
    </row>
    <row r="32" spans="1:10" ht="30" x14ac:dyDescent="0.2">
      <c r="A32" s="15" t="s">
        <v>76</v>
      </c>
      <c r="B32" s="16" t="s">
        <v>31</v>
      </c>
      <c r="C32" s="16" t="s">
        <v>32</v>
      </c>
      <c r="D32" s="19">
        <f>0.37*1850</f>
        <v>684.5</v>
      </c>
      <c r="E32" s="117" t="s">
        <v>77</v>
      </c>
      <c r="F32" s="115">
        <f>5100/30</f>
        <v>170</v>
      </c>
      <c r="G32" s="115">
        <f>D32*F32</f>
        <v>116365</v>
      </c>
      <c r="H32" s="116"/>
      <c r="I32" s="116"/>
      <c r="J32" s="116">
        <f>G32</f>
        <v>116365</v>
      </c>
    </row>
    <row r="33" spans="1:10" ht="15" x14ac:dyDescent="0.2">
      <c r="A33" s="15" t="s">
        <v>78</v>
      </c>
      <c r="B33" s="16" t="s">
        <v>79</v>
      </c>
      <c r="C33" s="16" t="s">
        <v>8</v>
      </c>
      <c r="D33" s="16">
        <v>11.84</v>
      </c>
      <c r="E33" s="74" t="s">
        <v>80</v>
      </c>
      <c r="F33" s="115"/>
      <c r="G33" s="115"/>
      <c r="H33" s="116"/>
      <c r="I33" s="116"/>
      <c r="J33" s="116"/>
    </row>
    <row r="34" spans="1:10" ht="15" x14ac:dyDescent="0.2">
      <c r="A34" s="15" t="s">
        <v>81</v>
      </c>
      <c r="B34" s="16" t="s">
        <v>38</v>
      </c>
      <c r="C34" s="16" t="s">
        <v>32</v>
      </c>
      <c r="D34" s="103">
        <f>10.66*4</f>
        <v>42.64</v>
      </c>
      <c r="E34" s="117" t="s">
        <v>58</v>
      </c>
      <c r="F34" s="115">
        <f>700/30</f>
        <v>23.333333333333332</v>
      </c>
      <c r="G34" s="115">
        <f>D34*F34</f>
        <v>994.93333333333328</v>
      </c>
      <c r="H34" s="116"/>
      <c r="I34" s="116"/>
      <c r="J34" s="116">
        <f>G34</f>
        <v>994.93333333333328</v>
      </c>
    </row>
    <row r="35" spans="1:10" ht="57" x14ac:dyDescent="0.2">
      <c r="A35" s="13" t="s">
        <v>82</v>
      </c>
      <c r="B35" s="14" t="s">
        <v>83</v>
      </c>
      <c r="C35" s="14" t="s">
        <v>11</v>
      </c>
      <c r="D35" s="14">
        <v>0</v>
      </c>
      <c r="E35" s="118"/>
      <c r="F35" s="114"/>
      <c r="G35" s="114"/>
      <c r="H35" s="112"/>
      <c r="I35" s="112"/>
      <c r="J35" s="112"/>
    </row>
    <row r="36" spans="1:10" ht="57" x14ac:dyDescent="0.2">
      <c r="A36" s="13" t="s">
        <v>84</v>
      </c>
      <c r="B36" s="14" t="s">
        <v>85</v>
      </c>
      <c r="C36" s="14" t="s">
        <v>8</v>
      </c>
      <c r="D36" s="14">
        <v>319.2</v>
      </c>
      <c r="E36" s="113"/>
      <c r="F36" s="114"/>
      <c r="G36" s="114"/>
      <c r="H36" s="112">
        <v>7850</v>
      </c>
      <c r="I36" s="112">
        <f>D36*H36</f>
        <v>2505720</v>
      </c>
      <c r="J36" s="112">
        <f>I36</f>
        <v>2505720</v>
      </c>
    </row>
    <row r="37" spans="1:10" ht="30" x14ac:dyDescent="0.2">
      <c r="A37" s="15" t="s">
        <v>86</v>
      </c>
      <c r="B37" s="16" t="s">
        <v>17</v>
      </c>
      <c r="C37" s="16" t="s">
        <v>8</v>
      </c>
      <c r="D37" s="16">
        <v>319.2</v>
      </c>
      <c r="E37" s="74"/>
      <c r="F37" s="115"/>
      <c r="G37" s="115"/>
      <c r="H37" s="116"/>
      <c r="I37" s="116"/>
      <c r="J37" s="116"/>
    </row>
    <row r="38" spans="1:10" ht="45" x14ac:dyDescent="0.2">
      <c r="A38" s="15" t="s">
        <v>87</v>
      </c>
      <c r="B38" s="16" t="s">
        <v>19</v>
      </c>
      <c r="C38" s="16" t="s">
        <v>8</v>
      </c>
      <c r="D38" s="16">
        <v>319.2</v>
      </c>
      <c r="E38" s="74" t="s">
        <v>46</v>
      </c>
      <c r="F38" s="115"/>
      <c r="G38" s="115"/>
      <c r="H38" s="116"/>
      <c r="I38" s="116"/>
      <c r="J38" s="116"/>
    </row>
    <row r="39" spans="1:10" ht="15" x14ac:dyDescent="0.2">
      <c r="A39" s="15" t="s">
        <v>88</v>
      </c>
      <c r="B39" s="16" t="s">
        <v>51</v>
      </c>
      <c r="C39" s="16" t="s">
        <v>8</v>
      </c>
      <c r="D39" s="16">
        <v>319.2</v>
      </c>
      <c r="E39" s="117" t="s">
        <v>89</v>
      </c>
      <c r="F39" s="115"/>
      <c r="G39" s="115"/>
      <c r="H39" s="116"/>
      <c r="I39" s="116"/>
      <c r="J39" s="116"/>
    </row>
    <row r="40" spans="1:10" ht="30" x14ac:dyDescent="0.2">
      <c r="A40" s="15" t="s">
        <v>90</v>
      </c>
      <c r="B40" s="16" t="s">
        <v>31</v>
      </c>
      <c r="C40" s="16" t="s">
        <v>32</v>
      </c>
      <c r="D40" s="19">
        <f>319.2*0.01*1850</f>
        <v>5905.2000000000007</v>
      </c>
      <c r="E40" s="117" t="s">
        <v>91</v>
      </c>
      <c r="F40" s="115">
        <f>5100/30</f>
        <v>170</v>
      </c>
      <c r="G40" s="115">
        <f>D40*F40</f>
        <v>1003884.0000000001</v>
      </c>
      <c r="H40" s="116"/>
      <c r="I40" s="116"/>
      <c r="J40" s="116">
        <f>G40</f>
        <v>1003884.0000000001</v>
      </c>
    </row>
    <row r="41" spans="1:10" ht="15" x14ac:dyDescent="0.2">
      <c r="A41" s="15" t="s">
        <v>92</v>
      </c>
      <c r="B41" s="16" t="s">
        <v>93</v>
      </c>
      <c r="C41" s="16" t="s">
        <v>8</v>
      </c>
      <c r="D41" s="16">
        <v>319.2</v>
      </c>
      <c r="E41" s="74"/>
      <c r="F41" s="115"/>
      <c r="G41" s="115"/>
      <c r="H41" s="116"/>
      <c r="I41" s="116"/>
      <c r="J41" s="116"/>
    </row>
    <row r="42" spans="1:10" ht="15" x14ac:dyDescent="0.2">
      <c r="A42" s="15" t="s">
        <v>94</v>
      </c>
      <c r="B42" s="16" t="s">
        <v>38</v>
      </c>
      <c r="C42" s="16" t="s">
        <v>32</v>
      </c>
      <c r="D42" s="16">
        <f>287.28*4</f>
        <v>1149.1199999999999</v>
      </c>
      <c r="E42" s="117" t="s">
        <v>58</v>
      </c>
      <c r="F42" s="115">
        <f>700/30</f>
        <v>23.333333333333332</v>
      </c>
      <c r="G42" s="115">
        <f>D42*F42</f>
        <v>26812.799999999996</v>
      </c>
      <c r="H42" s="116"/>
      <c r="I42" s="116"/>
      <c r="J42" s="116">
        <f>G42</f>
        <v>26812.799999999996</v>
      </c>
    </row>
    <row r="43" spans="1:10" ht="34.5" customHeight="1" x14ac:dyDescent="0.2">
      <c r="A43" s="3" t="s">
        <v>95</v>
      </c>
      <c r="B43" s="22" t="s">
        <v>96</v>
      </c>
      <c r="C43" s="22"/>
      <c r="D43" s="22"/>
      <c r="E43" s="23"/>
      <c r="F43" s="119"/>
      <c r="G43" s="119"/>
      <c r="H43" s="120"/>
      <c r="I43" s="120"/>
      <c r="J43" s="120"/>
    </row>
    <row r="44" spans="1:10" ht="15" x14ac:dyDescent="0.2">
      <c r="A44" s="15" t="s">
        <v>97</v>
      </c>
      <c r="B44" s="121" t="s">
        <v>98</v>
      </c>
      <c r="C44" s="24"/>
      <c r="D44" s="25"/>
      <c r="E44" s="117" t="s">
        <v>99</v>
      </c>
      <c r="F44" s="115"/>
      <c r="G44" s="115"/>
      <c r="H44" s="116"/>
      <c r="I44" s="116"/>
      <c r="J44" s="116"/>
    </row>
    <row r="45" spans="1:10" ht="24" customHeight="1" x14ac:dyDescent="0.2">
      <c r="A45" s="15" t="s">
        <v>100</v>
      </c>
      <c r="B45" s="90" t="s">
        <v>101</v>
      </c>
      <c r="C45" s="16" t="s">
        <v>8</v>
      </c>
      <c r="D45" s="21">
        <v>919.04</v>
      </c>
      <c r="E45" s="117" t="s">
        <v>99</v>
      </c>
      <c r="F45" s="115"/>
      <c r="G45" s="115"/>
      <c r="H45" s="116">
        <v>680</v>
      </c>
      <c r="I45" s="116">
        <f>D45*H45</f>
        <v>624947.19999999995</v>
      </c>
      <c r="J45" s="116">
        <f>I45</f>
        <v>624947.19999999995</v>
      </c>
    </row>
    <row r="46" spans="1:10" ht="24.75" customHeight="1" x14ac:dyDescent="0.2">
      <c r="A46" s="15" t="s">
        <v>102</v>
      </c>
      <c r="B46" s="90" t="s">
        <v>103</v>
      </c>
      <c r="C46" s="16" t="s">
        <v>8</v>
      </c>
      <c r="D46" s="21">
        <v>1436</v>
      </c>
      <c r="E46" s="117" t="s">
        <v>99</v>
      </c>
      <c r="F46" s="115"/>
      <c r="G46" s="115"/>
      <c r="H46" s="116">
        <v>355</v>
      </c>
      <c r="I46" s="116">
        <f>D46*H46</f>
        <v>509780</v>
      </c>
      <c r="J46" s="116">
        <f t="shared" ref="J46:J48" si="0">I46</f>
        <v>509780</v>
      </c>
    </row>
    <row r="47" spans="1:10" ht="15" x14ac:dyDescent="0.2">
      <c r="A47" s="15" t="s">
        <v>104</v>
      </c>
      <c r="B47" s="90" t="s">
        <v>105</v>
      </c>
      <c r="C47" s="16" t="s">
        <v>106</v>
      </c>
      <c r="D47" s="26">
        <v>10344.700000000001</v>
      </c>
      <c r="E47" s="117" t="s">
        <v>99</v>
      </c>
      <c r="F47" s="115"/>
      <c r="G47" s="115"/>
      <c r="H47" s="116">
        <v>310</v>
      </c>
      <c r="I47" s="116">
        <f>D47*H47</f>
        <v>3206857</v>
      </c>
      <c r="J47" s="116">
        <f t="shared" si="0"/>
        <v>3206857</v>
      </c>
    </row>
    <row r="48" spans="1:10" ht="28.5" x14ac:dyDescent="0.2">
      <c r="A48" s="8" t="s">
        <v>107</v>
      </c>
      <c r="B48" s="9" t="s">
        <v>108</v>
      </c>
      <c r="C48" s="9" t="s">
        <v>109</v>
      </c>
      <c r="D48" s="27">
        <f>96782.26/1000</f>
        <v>96.782259999999994</v>
      </c>
      <c r="E48" s="122" t="s">
        <v>110</v>
      </c>
      <c r="F48" s="119"/>
      <c r="G48" s="119"/>
      <c r="H48" s="120">
        <v>124980</v>
      </c>
      <c r="I48" s="120">
        <f>D48*H48</f>
        <v>12095846.854799999</v>
      </c>
      <c r="J48" s="120">
        <f t="shared" si="0"/>
        <v>12095846.854799999</v>
      </c>
    </row>
    <row r="49" spans="1:10" ht="42.75" x14ac:dyDescent="0.2">
      <c r="A49" s="15" t="s">
        <v>111</v>
      </c>
      <c r="B49" s="123" t="s">
        <v>112</v>
      </c>
      <c r="C49" s="24" t="s">
        <v>109</v>
      </c>
      <c r="D49" s="28">
        <f>1100.59*43/1000</f>
        <v>47.325369999999992</v>
      </c>
      <c r="E49" s="117" t="s">
        <v>113</v>
      </c>
      <c r="F49" s="115"/>
      <c r="G49" s="115"/>
      <c r="H49" s="116"/>
      <c r="I49" s="116"/>
      <c r="J49" s="116"/>
    </row>
    <row r="50" spans="1:10" ht="29.25" customHeight="1" x14ac:dyDescent="0.2">
      <c r="A50" s="15" t="s">
        <v>114</v>
      </c>
      <c r="B50" s="44" t="s">
        <v>115</v>
      </c>
      <c r="C50" s="16" t="s">
        <v>109</v>
      </c>
      <c r="D50" s="17">
        <f>6*7.16*2*43/1000</f>
        <v>3.6945600000000001</v>
      </c>
      <c r="E50" s="117" t="s">
        <v>116</v>
      </c>
      <c r="F50" s="115">
        <v>59000</v>
      </c>
      <c r="G50" s="115">
        <f>D50*F50</f>
        <v>217979.04</v>
      </c>
      <c r="H50" s="116"/>
      <c r="I50" s="116"/>
      <c r="J50" s="116">
        <f>G50</f>
        <v>217979.04</v>
      </c>
    </row>
    <row r="51" spans="1:10" ht="18" customHeight="1" x14ac:dyDescent="0.2">
      <c r="A51" s="15" t="s">
        <v>117</v>
      </c>
      <c r="B51" s="90" t="s">
        <v>118</v>
      </c>
      <c r="C51" s="16" t="s">
        <v>109</v>
      </c>
      <c r="D51" s="17">
        <f>6*9.31*2*43/1000</f>
        <v>4.80396</v>
      </c>
      <c r="E51" s="117" t="s">
        <v>119</v>
      </c>
      <c r="F51" s="115">
        <v>59000</v>
      </c>
      <c r="G51" s="115">
        <f t="shared" ref="G51:G53" si="1">D51*F51</f>
        <v>283433.64</v>
      </c>
      <c r="H51" s="116"/>
      <c r="I51" s="116"/>
      <c r="J51" s="116">
        <f t="shared" ref="J51:J58" si="2">G51</f>
        <v>283433.64</v>
      </c>
    </row>
    <row r="52" spans="1:10" ht="35.25" customHeight="1" x14ac:dyDescent="0.2">
      <c r="A52" s="15" t="s">
        <v>120</v>
      </c>
      <c r="B52" s="90" t="s">
        <v>121</v>
      </c>
      <c r="C52" s="16" t="s">
        <v>109</v>
      </c>
      <c r="D52" s="17">
        <f>12*25.4*2*43/1000</f>
        <v>26.212799999999994</v>
      </c>
      <c r="E52" s="117" t="s">
        <v>122</v>
      </c>
      <c r="F52" s="115">
        <v>315246.65999999997</v>
      </c>
      <c r="G52" s="115">
        <f t="shared" si="1"/>
        <v>8263497.6492479974</v>
      </c>
      <c r="H52" s="116"/>
      <c r="I52" s="116"/>
      <c r="J52" s="116">
        <f t="shared" si="2"/>
        <v>8263497.6492479974</v>
      </c>
    </row>
    <row r="53" spans="1:10" ht="19.5" customHeight="1" x14ac:dyDescent="0.2">
      <c r="A53" s="15" t="s">
        <v>123</v>
      </c>
      <c r="B53" s="90" t="s">
        <v>124</v>
      </c>
      <c r="C53" s="16" t="s">
        <v>109</v>
      </c>
      <c r="D53" s="29">
        <f>2*73.35*2*43/1000</f>
        <v>12.616199999999999</v>
      </c>
      <c r="E53" s="117" t="s">
        <v>125</v>
      </c>
      <c r="F53" s="115">
        <v>68000</v>
      </c>
      <c r="G53" s="115">
        <f t="shared" si="1"/>
        <v>857901.6</v>
      </c>
      <c r="H53" s="116"/>
      <c r="I53" s="116"/>
      <c r="J53" s="116">
        <f t="shared" si="2"/>
        <v>857901.6</v>
      </c>
    </row>
    <row r="54" spans="1:10" ht="28.5" x14ac:dyDescent="0.2">
      <c r="A54" s="15" t="s">
        <v>126</v>
      </c>
      <c r="B54" s="123" t="s">
        <v>127</v>
      </c>
      <c r="C54" s="24" t="s">
        <v>109</v>
      </c>
      <c r="D54" s="28">
        <f>1116.89*43/1000</f>
        <v>48.026270000000004</v>
      </c>
      <c r="E54" s="117" t="s">
        <v>113</v>
      </c>
      <c r="F54" s="115"/>
      <c r="G54" s="115"/>
      <c r="H54" s="116"/>
      <c r="I54" s="116"/>
      <c r="J54" s="116"/>
    </row>
    <row r="55" spans="1:10" ht="15" x14ac:dyDescent="0.2">
      <c r="A55" s="15" t="s">
        <v>114</v>
      </c>
      <c r="B55" s="90" t="s">
        <v>115</v>
      </c>
      <c r="C55" s="16" t="s">
        <v>109</v>
      </c>
      <c r="D55" s="17">
        <f>6*7.16*2*43/1000</f>
        <v>3.6945600000000001</v>
      </c>
      <c r="E55" s="117" t="s">
        <v>116</v>
      </c>
      <c r="F55" s="115">
        <v>59000</v>
      </c>
      <c r="G55" s="115">
        <f>D55*F55</f>
        <v>217979.04</v>
      </c>
      <c r="H55" s="116"/>
      <c r="I55" s="116"/>
      <c r="J55" s="116">
        <f t="shared" si="2"/>
        <v>217979.04</v>
      </c>
    </row>
    <row r="56" spans="1:10" ht="15" x14ac:dyDescent="0.2">
      <c r="A56" s="15" t="s">
        <v>117</v>
      </c>
      <c r="B56" s="90" t="s">
        <v>118</v>
      </c>
      <c r="C56" s="16" t="s">
        <v>109</v>
      </c>
      <c r="D56" s="17">
        <f>6*9.31*2*43/1000</f>
        <v>4.80396</v>
      </c>
      <c r="E56" s="117" t="s">
        <v>119</v>
      </c>
      <c r="F56" s="115">
        <v>59000</v>
      </c>
      <c r="G56" s="115">
        <f t="shared" ref="G56:G58" si="3">D56*F56</f>
        <v>283433.64</v>
      </c>
      <c r="H56" s="116"/>
      <c r="I56" s="116"/>
      <c r="J56" s="116">
        <f t="shared" si="2"/>
        <v>283433.64</v>
      </c>
    </row>
    <row r="57" spans="1:10" ht="30" x14ac:dyDescent="0.2">
      <c r="A57" s="15" t="s">
        <v>120</v>
      </c>
      <c r="B57" s="90" t="s">
        <v>121</v>
      </c>
      <c r="C57" s="16" t="s">
        <v>109</v>
      </c>
      <c r="D57" s="17">
        <f>12*25.4*2*43/1000</f>
        <v>26.212799999999994</v>
      </c>
      <c r="E57" s="117" t="s">
        <v>122</v>
      </c>
      <c r="F57" s="115">
        <v>315246.65999999997</v>
      </c>
      <c r="G57" s="115">
        <f t="shared" si="3"/>
        <v>8263497.6492479974</v>
      </c>
      <c r="H57" s="116"/>
      <c r="I57" s="116"/>
      <c r="J57" s="116">
        <f t="shared" si="2"/>
        <v>8263497.6492479974</v>
      </c>
    </row>
    <row r="58" spans="1:10" ht="15" x14ac:dyDescent="0.2">
      <c r="A58" s="15" t="s">
        <v>123</v>
      </c>
      <c r="B58" s="90" t="s">
        <v>128</v>
      </c>
      <c r="C58" s="16" t="s">
        <v>109</v>
      </c>
      <c r="D58" s="29">
        <f>2*77.43*2*43/1000</f>
        <v>13.317960000000001</v>
      </c>
      <c r="E58" s="117" t="s">
        <v>129</v>
      </c>
      <c r="F58" s="115">
        <v>68000</v>
      </c>
      <c r="G58" s="115">
        <f t="shared" si="3"/>
        <v>905621.28</v>
      </c>
      <c r="H58" s="116"/>
      <c r="I58" s="116"/>
      <c r="J58" s="116">
        <f t="shared" si="2"/>
        <v>905621.28</v>
      </c>
    </row>
    <row r="59" spans="1:10" ht="15" x14ac:dyDescent="0.2">
      <c r="A59" s="15" t="s">
        <v>130</v>
      </c>
      <c r="B59" s="16" t="s">
        <v>131</v>
      </c>
      <c r="C59" s="16" t="s">
        <v>109</v>
      </c>
      <c r="D59" s="30">
        <f>33.26*43/1000</f>
        <v>1.4301799999999998</v>
      </c>
      <c r="E59" s="117" t="s">
        <v>132</v>
      </c>
      <c r="F59" s="115"/>
      <c r="G59" s="115"/>
      <c r="H59" s="116"/>
      <c r="I59" s="116"/>
      <c r="J59" s="116"/>
    </row>
    <row r="60" spans="1:10" ht="42.75" x14ac:dyDescent="0.2">
      <c r="A60" s="8" t="s">
        <v>133</v>
      </c>
      <c r="B60" s="9" t="s">
        <v>134</v>
      </c>
      <c r="C60" s="10" t="s">
        <v>109</v>
      </c>
      <c r="D60" s="31">
        <f>28615.44/1000</f>
        <v>28.61544</v>
      </c>
      <c r="E60" s="122" t="s">
        <v>135</v>
      </c>
      <c r="F60" s="119"/>
      <c r="G60" s="119"/>
      <c r="H60" s="120">
        <v>124980</v>
      </c>
      <c r="I60" s="120">
        <f>D60*H60</f>
        <v>3576357.6911999998</v>
      </c>
      <c r="J60" s="120">
        <f>I60</f>
        <v>3576357.6911999998</v>
      </c>
    </row>
    <row r="61" spans="1:10" ht="15" x14ac:dyDescent="0.2">
      <c r="A61" s="15" t="s">
        <v>136</v>
      </c>
      <c r="B61" s="123" t="s">
        <v>137</v>
      </c>
      <c r="C61" s="24" t="s">
        <v>109</v>
      </c>
      <c r="D61" s="30">
        <f>1100.59384615385*26/1000</f>
        <v>28.615440000000103</v>
      </c>
      <c r="E61" s="117" t="s">
        <v>113</v>
      </c>
      <c r="F61" s="115"/>
      <c r="G61" s="115"/>
      <c r="H61" s="116"/>
      <c r="I61" s="116"/>
      <c r="J61" s="116"/>
    </row>
    <row r="62" spans="1:10" ht="15" x14ac:dyDescent="0.2">
      <c r="A62" s="15" t="s">
        <v>138</v>
      </c>
      <c r="B62" s="90" t="s">
        <v>115</v>
      </c>
      <c r="C62" s="16" t="s">
        <v>109</v>
      </c>
      <c r="D62" s="17">
        <f>6*7.16*2*26/1000</f>
        <v>2.2339199999999999</v>
      </c>
      <c r="E62" s="117" t="s">
        <v>139</v>
      </c>
      <c r="F62" s="115">
        <v>59000</v>
      </c>
      <c r="G62" s="115">
        <f>D62*F62</f>
        <v>131801.28</v>
      </c>
      <c r="H62" s="116"/>
      <c r="I62" s="116"/>
      <c r="J62" s="116">
        <f>G62</f>
        <v>131801.28</v>
      </c>
    </row>
    <row r="63" spans="1:10" ht="15" x14ac:dyDescent="0.2">
      <c r="A63" s="15" t="s">
        <v>140</v>
      </c>
      <c r="B63" s="90" t="s">
        <v>118</v>
      </c>
      <c r="C63" s="16" t="s">
        <v>109</v>
      </c>
      <c r="D63" s="17">
        <f>6*9.31*2*26/1000</f>
        <v>2.9047199999999997</v>
      </c>
      <c r="E63" s="117" t="s">
        <v>141</v>
      </c>
      <c r="F63" s="115">
        <v>59000</v>
      </c>
      <c r="G63" s="115">
        <f t="shared" ref="G63:G65" si="4">D63*F63</f>
        <v>171378.47999999998</v>
      </c>
      <c r="H63" s="116"/>
      <c r="I63" s="116"/>
      <c r="J63" s="116">
        <f t="shared" ref="J63:J65" si="5">G63</f>
        <v>171378.47999999998</v>
      </c>
    </row>
    <row r="64" spans="1:10" ht="30" x14ac:dyDescent="0.2">
      <c r="A64" s="15" t="s">
        <v>142</v>
      </c>
      <c r="B64" s="90" t="s">
        <v>121</v>
      </c>
      <c r="C64" s="16" t="s">
        <v>109</v>
      </c>
      <c r="D64" s="17">
        <f>12*25.4*2*26/1000</f>
        <v>15.849599999999999</v>
      </c>
      <c r="E64" s="117" t="s">
        <v>143</v>
      </c>
      <c r="F64" s="115">
        <v>315246.65999999997</v>
      </c>
      <c r="G64" s="115">
        <f t="shared" si="4"/>
        <v>4996533.4623359991</v>
      </c>
      <c r="H64" s="116"/>
      <c r="I64" s="116"/>
      <c r="J64" s="116">
        <f t="shared" si="5"/>
        <v>4996533.4623359991</v>
      </c>
    </row>
    <row r="65" spans="1:10" ht="15" x14ac:dyDescent="0.2">
      <c r="A65" s="15" t="s">
        <v>144</v>
      </c>
      <c r="B65" s="90" t="s">
        <v>124</v>
      </c>
      <c r="C65" s="16" t="s">
        <v>109</v>
      </c>
      <c r="D65" s="29">
        <f>2*73.35*2*26/1000</f>
        <v>7.6284000000000001</v>
      </c>
      <c r="E65" s="117" t="s">
        <v>145</v>
      </c>
      <c r="F65" s="115">
        <v>68000</v>
      </c>
      <c r="G65" s="115">
        <f t="shared" si="4"/>
        <v>518731.2</v>
      </c>
      <c r="H65" s="116"/>
      <c r="I65" s="116"/>
      <c r="J65" s="116">
        <f t="shared" si="5"/>
        <v>518731.2</v>
      </c>
    </row>
    <row r="66" spans="1:10" ht="15" x14ac:dyDescent="0.2">
      <c r="A66" s="15" t="s">
        <v>146</v>
      </c>
      <c r="B66" s="16" t="s">
        <v>131</v>
      </c>
      <c r="C66" s="16" t="s">
        <v>109</v>
      </c>
      <c r="D66" s="30">
        <f>16.63*26/1000</f>
        <v>0.43237999999999999</v>
      </c>
      <c r="E66" s="117" t="s">
        <v>147</v>
      </c>
      <c r="F66" s="115"/>
      <c r="G66" s="115"/>
      <c r="H66" s="116"/>
      <c r="I66" s="116"/>
      <c r="J66" s="116"/>
    </row>
    <row r="67" spans="1:10" ht="28.5" x14ac:dyDescent="0.2">
      <c r="A67" s="8" t="s">
        <v>148</v>
      </c>
      <c r="B67" s="9" t="s">
        <v>149</v>
      </c>
      <c r="C67" s="9" t="s">
        <v>109</v>
      </c>
      <c r="D67" s="32">
        <f>50407.01/1000</f>
        <v>50.40701</v>
      </c>
      <c r="E67" s="122" t="s">
        <v>150</v>
      </c>
      <c r="F67" s="119"/>
      <c r="G67" s="119"/>
      <c r="H67" s="120">
        <v>124980</v>
      </c>
      <c r="I67" s="120">
        <f>D67*H67</f>
        <v>6299868.1097999997</v>
      </c>
      <c r="J67" s="120">
        <f>I67</f>
        <v>6299868.1097999997</v>
      </c>
    </row>
    <row r="68" spans="1:10" ht="42.75" x14ac:dyDescent="0.2">
      <c r="A68" s="15" t="s">
        <v>151</v>
      </c>
      <c r="B68" s="123" t="s">
        <v>152</v>
      </c>
      <c r="C68" s="24" t="s">
        <v>109</v>
      </c>
      <c r="D68" s="33">
        <f>911.15*27/1000</f>
        <v>24.601050000000001</v>
      </c>
      <c r="E68" s="124" t="s">
        <v>113</v>
      </c>
      <c r="F68" s="115"/>
      <c r="G68" s="115"/>
      <c r="H68" s="116"/>
      <c r="I68" s="116"/>
      <c r="J68" s="116"/>
    </row>
    <row r="69" spans="1:10" ht="15" x14ac:dyDescent="0.2">
      <c r="A69" s="15" t="s">
        <v>153</v>
      </c>
      <c r="B69" s="90" t="s">
        <v>154</v>
      </c>
      <c r="C69" s="16" t="s">
        <v>109</v>
      </c>
      <c r="D69" s="34">
        <f>40.09*2*27/1000</f>
        <v>2.16486</v>
      </c>
      <c r="E69" s="117" t="s">
        <v>155</v>
      </c>
      <c r="F69" s="115">
        <v>59000</v>
      </c>
      <c r="G69" s="115">
        <f>D69*F69</f>
        <v>127726.74</v>
      </c>
      <c r="H69" s="116"/>
      <c r="I69" s="116"/>
      <c r="J69" s="116">
        <f>G69</f>
        <v>127726.74</v>
      </c>
    </row>
    <row r="70" spans="1:10" ht="15" x14ac:dyDescent="0.2">
      <c r="A70" s="15" t="s">
        <v>156</v>
      </c>
      <c r="B70" s="90" t="s">
        <v>157</v>
      </c>
      <c r="C70" s="16" t="s">
        <v>109</v>
      </c>
      <c r="D70" s="34">
        <f>48.68*2*27/1000</f>
        <v>2.6287199999999999</v>
      </c>
      <c r="E70" s="117" t="s">
        <v>158</v>
      </c>
      <c r="F70" s="115">
        <v>59000</v>
      </c>
      <c r="G70" s="115">
        <f t="shared" ref="G70:G72" si="6">D70*F70</f>
        <v>155094.48000000001</v>
      </c>
      <c r="H70" s="116"/>
      <c r="I70" s="116"/>
      <c r="J70" s="116">
        <f t="shared" ref="J70:J72" si="7">G70</f>
        <v>155094.48000000001</v>
      </c>
    </row>
    <row r="71" spans="1:10" ht="15" x14ac:dyDescent="0.2">
      <c r="A71" s="15" t="s">
        <v>159</v>
      </c>
      <c r="B71" s="90" t="s">
        <v>160</v>
      </c>
      <c r="C71" s="16" t="s">
        <v>109</v>
      </c>
      <c r="D71" s="34">
        <f>278.76*2*27/1000</f>
        <v>15.053039999999999</v>
      </c>
      <c r="E71" s="117" t="s">
        <v>161</v>
      </c>
      <c r="F71" s="115">
        <v>315246.65999999997</v>
      </c>
      <c r="G71" s="115">
        <f t="shared" si="6"/>
        <v>4745420.5828463994</v>
      </c>
      <c r="H71" s="116"/>
      <c r="I71" s="116"/>
      <c r="J71" s="116">
        <f t="shared" si="7"/>
        <v>4745420.5828463994</v>
      </c>
    </row>
    <row r="72" spans="1:10" ht="15" x14ac:dyDescent="0.2">
      <c r="A72" s="15" t="s">
        <v>162</v>
      </c>
      <c r="B72" s="90" t="s">
        <v>163</v>
      </c>
      <c r="C72" s="16" t="s">
        <v>109</v>
      </c>
      <c r="D72" s="34">
        <f>88*2*27/1000</f>
        <v>4.7519999999999998</v>
      </c>
      <c r="E72" s="117" t="s">
        <v>164</v>
      </c>
      <c r="F72" s="115">
        <v>68000</v>
      </c>
      <c r="G72" s="115">
        <f t="shared" si="6"/>
        <v>323136</v>
      </c>
      <c r="H72" s="116"/>
      <c r="I72" s="116"/>
      <c r="J72" s="116">
        <f t="shared" si="7"/>
        <v>323136</v>
      </c>
    </row>
    <row r="73" spans="1:10" ht="42.75" x14ac:dyDescent="0.2">
      <c r="A73" s="15" t="s">
        <v>165</v>
      </c>
      <c r="B73" s="123" t="s">
        <v>166</v>
      </c>
      <c r="C73" s="24" t="s">
        <v>109</v>
      </c>
      <c r="D73" s="33">
        <f>928.19*27/1000</f>
        <v>25.061130000000002</v>
      </c>
      <c r="E73" s="124" t="s">
        <v>113</v>
      </c>
      <c r="F73" s="115"/>
      <c r="G73" s="115"/>
      <c r="H73" s="116"/>
      <c r="I73" s="116"/>
      <c r="J73" s="116"/>
    </row>
    <row r="74" spans="1:10" ht="15" x14ac:dyDescent="0.2">
      <c r="A74" s="15" t="s">
        <v>167</v>
      </c>
      <c r="B74" s="90" t="s">
        <v>154</v>
      </c>
      <c r="C74" s="16" t="s">
        <v>109</v>
      </c>
      <c r="D74" s="34">
        <f>40.09*2*27/1000</f>
        <v>2.16486</v>
      </c>
      <c r="E74" s="117" t="s">
        <v>155</v>
      </c>
      <c r="F74" s="115">
        <v>59000</v>
      </c>
      <c r="G74" s="115">
        <f>D74*F74</f>
        <v>127726.74</v>
      </c>
      <c r="H74" s="116"/>
      <c r="I74" s="116"/>
      <c r="J74" s="116">
        <f>G74</f>
        <v>127726.74</v>
      </c>
    </row>
    <row r="75" spans="1:10" ht="15" x14ac:dyDescent="0.2">
      <c r="A75" s="15" t="s">
        <v>168</v>
      </c>
      <c r="B75" s="90" t="s">
        <v>157</v>
      </c>
      <c r="C75" s="16" t="s">
        <v>109</v>
      </c>
      <c r="D75" s="34">
        <f>48.68*2*27/1000</f>
        <v>2.6287199999999999</v>
      </c>
      <c r="E75" s="117" t="s">
        <v>158</v>
      </c>
      <c r="F75" s="115">
        <v>59000</v>
      </c>
      <c r="G75" s="115">
        <f t="shared" ref="G75:G77" si="8">D75*F75</f>
        <v>155094.48000000001</v>
      </c>
      <c r="H75" s="116"/>
      <c r="I75" s="116"/>
      <c r="J75" s="116">
        <f t="shared" ref="J75:J77" si="9">G75</f>
        <v>155094.48000000001</v>
      </c>
    </row>
    <row r="76" spans="1:10" ht="15" x14ac:dyDescent="0.2">
      <c r="A76" s="15" t="s">
        <v>169</v>
      </c>
      <c r="B76" s="90" t="s">
        <v>160</v>
      </c>
      <c r="C76" s="16" t="s">
        <v>109</v>
      </c>
      <c r="D76" s="34">
        <f>278.76*2*27/1000</f>
        <v>15.053039999999999</v>
      </c>
      <c r="E76" s="117" t="s">
        <v>161</v>
      </c>
      <c r="F76" s="115">
        <v>315246.65999999997</v>
      </c>
      <c r="G76" s="115">
        <f t="shared" si="8"/>
        <v>4745420.5828463994</v>
      </c>
      <c r="H76" s="116"/>
      <c r="I76" s="116"/>
      <c r="J76" s="116">
        <f t="shared" si="9"/>
        <v>4745420.5828463994</v>
      </c>
    </row>
    <row r="77" spans="1:10" ht="15" x14ac:dyDescent="0.2">
      <c r="A77" s="15" t="s">
        <v>170</v>
      </c>
      <c r="B77" s="90" t="s">
        <v>171</v>
      </c>
      <c r="C77" s="16" t="s">
        <v>109</v>
      </c>
      <c r="D77" s="34">
        <f>97*2*27/1000</f>
        <v>5.2380000000000004</v>
      </c>
      <c r="E77" s="117" t="s">
        <v>172</v>
      </c>
      <c r="F77" s="115">
        <v>68000</v>
      </c>
      <c r="G77" s="115">
        <f t="shared" si="8"/>
        <v>356184.00000000006</v>
      </c>
      <c r="H77" s="116"/>
      <c r="I77" s="116"/>
      <c r="J77" s="116">
        <f t="shared" si="9"/>
        <v>356184.00000000006</v>
      </c>
    </row>
    <row r="78" spans="1:10" ht="15" x14ac:dyDescent="0.2">
      <c r="A78" s="15" t="s">
        <v>173</v>
      </c>
      <c r="B78" s="16" t="s">
        <v>131</v>
      </c>
      <c r="C78" s="16" t="s">
        <v>109</v>
      </c>
      <c r="D78" s="35">
        <f>27.59*27/1000</f>
        <v>0.74492999999999998</v>
      </c>
      <c r="E78" s="117" t="s">
        <v>174</v>
      </c>
      <c r="F78" s="115"/>
      <c r="G78" s="115"/>
      <c r="H78" s="116"/>
      <c r="I78" s="116"/>
      <c r="J78" s="116"/>
    </row>
    <row r="79" spans="1:10" ht="28.5" x14ac:dyDescent="0.2">
      <c r="A79" s="8" t="s">
        <v>175</v>
      </c>
      <c r="B79" s="9" t="s">
        <v>176</v>
      </c>
      <c r="C79" s="9" t="s">
        <v>109</v>
      </c>
      <c r="D79" s="36">
        <f>100814.02/1000</f>
        <v>100.81402</v>
      </c>
      <c r="E79" s="122" t="s">
        <v>177</v>
      </c>
      <c r="F79" s="119"/>
      <c r="G79" s="119"/>
      <c r="H79" s="120">
        <v>124980</v>
      </c>
      <c r="I79" s="120">
        <f>D79*H79</f>
        <v>12599736.219599999</v>
      </c>
      <c r="J79" s="120">
        <f>I79</f>
        <v>12599736.219599999</v>
      </c>
    </row>
    <row r="80" spans="1:10" ht="15" x14ac:dyDescent="0.2">
      <c r="A80" s="15" t="s">
        <v>178</v>
      </c>
      <c r="B80" s="123" t="s">
        <v>179</v>
      </c>
      <c r="C80" s="24" t="s">
        <v>109</v>
      </c>
      <c r="D80" s="33">
        <f>911.15*54/1000</f>
        <v>49.202100000000002</v>
      </c>
      <c r="E80" s="124" t="s">
        <v>113</v>
      </c>
      <c r="F80" s="115"/>
      <c r="G80" s="115"/>
      <c r="H80" s="116"/>
      <c r="I80" s="116"/>
      <c r="J80" s="116"/>
    </row>
    <row r="81" spans="1:10" ht="15" x14ac:dyDescent="0.2">
      <c r="A81" s="15" t="s">
        <v>180</v>
      </c>
      <c r="B81" s="90" t="s">
        <v>181</v>
      </c>
      <c r="C81" s="16" t="s">
        <v>109</v>
      </c>
      <c r="D81" s="34">
        <f>40.09*2*54/1000</f>
        <v>4.32972</v>
      </c>
      <c r="E81" s="117" t="s">
        <v>182</v>
      </c>
      <c r="F81" s="115">
        <v>59000</v>
      </c>
      <c r="G81" s="115">
        <f>D81*F81</f>
        <v>255453.48</v>
      </c>
      <c r="H81" s="116"/>
      <c r="I81" s="116"/>
      <c r="J81" s="116">
        <f>G81</f>
        <v>255453.48</v>
      </c>
    </row>
    <row r="82" spans="1:10" ht="15" x14ac:dyDescent="0.2">
      <c r="A82" s="15" t="s">
        <v>183</v>
      </c>
      <c r="B82" s="90" t="s">
        <v>184</v>
      </c>
      <c r="C82" s="16" t="s">
        <v>109</v>
      </c>
      <c r="D82" s="34">
        <f>48.68*2*54/1000</f>
        <v>5.2574399999999999</v>
      </c>
      <c r="E82" s="117" t="s">
        <v>185</v>
      </c>
      <c r="F82" s="115">
        <v>59000</v>
      </c>
      <c r="G82" s="115">
        <f t="shared" ref="G82:G84" si="10">D82*F82</f>
        <v>310188.96000000002</v>
      </c>
      <c r="H82" s="116"/>
      <c r="I82" s="116"/>
      <c r="J82" s="116">
        <f t="shared" ref="J82:J84" si="11">G82</f>
        <v>310188.96000000002</v>
      </c>
    </row>
    <row r="83" spans="1:10" ht="15" x14ac:dyDescent="0.2">
      <c r="A83" s="15" t="s">
        <v>186</v>
      </c>
      <c r="B83" s="90" t="s">
        <v>160</v>
      </c>
      <c r="C83" s="16" t="s">
        <v>109</v>
      </c>
      <c r="D83" s="34">
        <f>278.76*2*54/1000</f>
        <v>30.106079999999999</v>
      </c>
      <c r="E83" s="125" t="s">
        <v>187</v>
      </c>
      <c r="F83" s="115">
        <v>315246.65999999997</v>
      </c>
      <c r="G83" s="115">
        <f t="shared" si="10"/>
        <v>9490841.1656927988</v>
      </c>
      <c r="H83" s="116"/>
      <c r="I83" s="116"/>
      <c r="J83" s="116">
        <f t="shared" si="11"/>
        <v>9490841.1656927988</v>
      </c>
    </row>
    <row r="84" spans="1:10" ht="15" x14ac:dyDescent="0.2">
      <c r="A84" s="15" t="s">
        <v>188</v>
      </c>
      <c r="B84" s="90" t="s">
        <v>163</v>
      </c>
      <c r="C84" s="16" t="s">
        <v>109</v>
      </c>
      <c r="D84" s="34">
        <f>88*2*54/1000</f>
        <v>9.5039999999999996</v>
      </c>
      <c r="E84" s="117" t="s">
        <v>189</v>
      </c>
      <c r="F84" s="115">
        <v>68000</v>
      </c>
      <c r="G84" s="115">
        <f t="shared" si="10"/>
        <v>646272</v>
      </c>
      <c r="H84" s="116"/>
      <c r="I84" s="116"/>
      <c r="J84" s="116">
        <f t="shared" si="11"/>
        <v>646272</v>
      </c>
    </row>
    <row r="85" spans="1:10" ht="15" x14ac:dyDescent="0.2">
      <c r="A85" s="15" t="s">
        <v>190</v>
      </c>
      <c r="B85" s="123" t="s">
        <v>191</v>
      </c>
      <c r="C85" s="24" t="s">
        <v>109</v>
      </c>
      <c r="D85" s="33">
        <f>928.19*54/1000</f>
        <v>50.122260000000004</v>
      </c>
      <c r="E85" s="124" t="s">
        <v>113</v>
      </c>
      <c r="F85" s="115"/>
      <c r="G85" s="115"/>
      <c r="H85" s="116"/>
      <c r="I85" s="116"/>
      <c r="J85" s="116"/>
    </row>
    <row r="86" spans="1:10" ht="15" x14ac:dyDescent="0.2">
      <c r="A86" s="15" t="s">
        <v>192</v>
      </c>
      <c r="B86" s="90" t="s">
        <v>181</v>
      </c>
      <c r="C86" s="16" t="s">
        <v>109</v>
      </c>
      <c r="D86" s="34">
        <f>40.09*2*54/1000</f>
        <v>4.32972</v>
      </c>
      <c r="E86" s="117" t="s">
        <v>182</v>
      </c>
      <c r="F86" s="115">
        <v>59000</v>
      </c>
      <c r="G86" s="115">
        <f>D86*F86</f>
        <v>255453.48</v>
      </c>
      <c r="H86" s="116"/>
      <c r="I86" s="116"/>
      <c r="J86" s="116">
        <f>G86</f>
        <v>255453.48</v>
      </c>
    </row>
    <row r="87" spans="1:10" ht="15" x14ac:dyDescent="0.2">
      <c r="A87" s="15" t="s">
        <v>193</v>
      </c>
      <c r="B87" s="90" t="s">
        <v>194</v>
      </c>
      <c r="C87" s="16" t="s">
        <v>109</v>
      </c>
      <c r="D87" s="34">
        <f>48.68*2*54/1000</f>
        <v>5.2574399999999999</v>
      </c>
      <c r="E87" s="117" t="s">
        <v>185</v>
      </c>
      <c r="F87" s="115">
        <v>59000</v>
      </c>
      <c r="G87" s="115">
        <f t="shared" ref="G87:G89" si="12">D87*F87</f>
        <v>310188.96000000002</v>
      </c>
      <c r="H87" s="116"/>
      <c r="I87" s="116"/>
      <c r="J87" s="116">
        <f t="shared" ref="J87:J89" si="13">G87</f>
        <v>310188.96000000002</v>
      </c>
    </row>
    <row r="88" spans="1:10" ht="15" x14ac:dyDescent="0.2">
      <c r="A88" s="15" t="s">
        <v>195</v>
      </c>
      <c r="B88" s="90" t="s">
        <v>160</v>
      </c>
      <c r="C88" s="16" t="s">
        <v>109</v>
      </c>
      <c r="D88" s="34">
        <f>278.76*2*54/1000</f>
        <v>30.106079999999999</v>
      </c>
      <c r="E88" s="125" t="s">
        <v>187</v>
      </c>
      <c r="F88" s="115">
        <v>315246.65999999997</v>
      </c>
      <c r="G88" s="115">
        <f t="shared" si="12"/>
        <v>9490841.1656927988</v>
      </c>
      <c r="H88" s="116"/>
      <c r="I88" s="116"/>
      <c r="J88" s="116">
        <f t="shared" si="13"/>
        <v>9490841.1656927988</v>
      </c>
    </row>
    <row r="89" spans="1:10" ht="15" x14ac:dyDescent="0.2">
      <c r="A89" s="15" t="s">
        <v>196</v>
      </c>
      <c r="B89" s="90" t="s">
        <v>171</v>
      </c>
      <c r="C89" s="16" t="s">
        <v>109</v>
      </c>
      <c r="D89" s="34">
        <f>97*2*54/1000</f>
        <v>10.476000000000001</v>
      </c>
      <c r="E89" s="117" t="s">
        <v>197</v>
      </c>
      <c r="F89" s="115">
        <v>68000</v>
      </c>
      <c r="G89" s="115">
        <f t="shared" si="12"/>
        <v>712368.00000000012</v>
      </c>
      <c r="H89" s="116"/>
      <c r="I89" s="116"/>
      <c r="J89" s="116">
        <f t="shared" si="13"/>
        <v>712368.00000000012</v>
      </c>
    </row>
    <row r="90" spans="1:10" ht="15" x14ac:dyDescent="0.2">
      <c r="A90" s="15" t="s">
        <v>198</v>
      </c>
      <c r="B90" s="126" t="s">
        <v>131</v>
      </c>
      <c r="C90" s="16" t="s">
        <v>109</v>
      </c>
      <c r="D90" s="37">
        <f>27.59*54/1000</f>
        <v>1.48986</v>
      </c>
      <c r="E90" s="117" t="s">
        <v>199</v>
      </c>
      <c r="F90" s="115"/>
      <c r="G90" s="115"/>
      <c r="H90" s="116"/>
      <c r="I90" s="116"/>
      <c r="J90" s="116"/>
    </row>
    <row r="91" spans="1:10" ht="28.5" x14ac:dyDescent="0.2">
      <c r="A91" s="8" t="s">
        <v>200</v>
      </c>
      <c r="B91" s="9" t="s">
        <v>201</v>
      </c>
      <c r="C91" s="9" t="s">
        <v>109</v>
      </c>
      <c r="D91" s="38">
        <f>48294.07/1000</f>
        <v>48.294069999999998</v>
      </c>
      <c r="E91" s="122" t="s">
        <v>202</v>
      </c>
      <c r="F91" s="119"/>
      <c r="G91" s="119"/>
      <c r="H91" s="120">
        <v>124980</v>
      </c>
      <c r="I91" s="120">
        <f>D91*H91</f>
        <v>6035792.8685999997</v>
      </c>
      <c r="J91" s="120">
        <f>I91</f>
        <v>6035792.8685999997</v>
      </c>
    </row>
    <row r="92" spans="1:10" ht="15" x14ac:dyDescent="0.2">
      <c r="A92" s="15" t="s">
        <v>203</v>
      </c>
      <c r="B92" s="24" t="s">
        <v>204</v>
      </c>
      <c r="C92" s="24" t="s">
        <v>109</v>
      </c>
      <c r="D92" s="39">
        <f>610.95*26/1000</f>
        <v>15.8847</v>
      </c>
      <c r="E92" s="124" t="s">
        <v>113</v>
      </c>
      <c r="F92" s="115"/>
      <c r="G92" s="115"/>
      <c r="H92" s="116"/>
      <c r="I92" s="116"/>
      <c r="J92" s="116"/>
    </row>
    <row r="93" spans="1:10" ht="15" x14ac:dyDescent="0.2">
      <c r="A93" s="15" t="s">
        <v>205</v>
      </c>
      <c r="B93" s="16" t="s">
        <v>206</v>
      </c>
      <c r="C93" s="16" t="s">
        <v>109</v>
      </c>
      <c r="D93" s="18">
        <f>40.09*2*26/1000</f>
        <v>2.0846800000000001</v>
      </c>
      <c r="E93" s="117" t="s">
        <v>182</v>
      </c>
      <c r="F93" s="115">
        <v>59000</v>
      </c>
      <c r="G93" s="115">
        <f>D93*F93</f>
        <v>122996.12000000001</v>
      </c>
      <c r="H93" s="116"/>
      <c r="I93" s="116"/>
      <c r="J93" s="116">
        <f>G93</f>
        <v>122996.12000000001</v>
      </c>
    </row>
    <row r="94" spans="1:10" ht="15" x14ac:dyDescent="0.2">
      <c r="A94" s="15" t="s">
        <v>207</v>
      </c>
      <c r="B94" s="16" t="s">
        <v>208</v>
      </c>
      <c r="C94" s="16" t="s">
        <v>109</v>
      </c>
      <c r="D94" s="18">
        <f>34.36*2*26/1000</f>
        <v>1.7867200000000001</v>
      </c>
      <c r="E94" s="117" t="s">
        <v>209</v>
      </c>
      <c r="F94" s="115">
        <v>59000</v>
      </c>
      <c r="G94" s="115">
        <f t="shared" ref="G94:G96" si="14">D94*F94</f>
        <v>105416.48000000001</v>
      </c>
      <c r="H94" s="116"/>
      <c r="I94" s="116"/>
      <c r="J94" s="116">
        <f t="shared" ref="J94:J96" si="15">G94</f>
        <v>105416.48000000001</v>
      </c>
    </row>
    <row r="95" spans="1:10" ht="15" x14ac:dyDescent="0.2">
      <c r="A95" s="15" t="s">
        <v>210</v>
      </c>
      <c r="B95" s="16" t="s">
        <v>211</v>
      </c>
      <c r="C95" s="16" t="s">
        <v>109</v>
      </c>
      <c r="D95" s="18">
        <f>181.32*2*26/1000</f>
        <v>9.4286399999999997</v>
      </c>
      <c r="E95" s="125" t="s">
        <v>212</v>
      </c>
      <c r="F95" s="115">
        <v>315246.65999999997</v>
      </c>
      <c r="G95" s="115">
        <f t="shared" si="14"/>
        <v>2972347.2683423995</v>
      </c>
      <c r="H95" s="116"/>
      <c r="I95" s="116"/>
      <c r="J95" s="116">
        <f t="shared" si="15"/>
        <v>2972347.2683423995</v>
      </c>
    </row>
    <row r="96" spans="1:10" ht="15" x14ac:dyDescent="0.2">
      <c r="A96" s="15" t="s">
        <v>213</v>
      </c>
      <c r="B96" s="16" t="s">
        <v>214</v>
      </c>
      <c r="C96" s="16" t="s">
        <v>109</v>
      </c>
      <c r="D96" s="18">
        <f>50*2*26/1000</f>
        <v>2.6</v>
      </c>
      <c r="E96" s="117" t="s">
        <v>215</v>
      </c>
      <c r="F96" s="115">
        <v>68000</v>
      </c>
      <c r="G96" s="115">
        <f t="shared" si="14"/>
        <v>176800</v>
      </c>
      <c r="H96" s="116"/>
      <c r="I96" s="116"/>
      <c r="J96" s="116">
        <f t="shared" si="15"/>
        <v>176800</v>
      </c>
    </row>
    <row r="97" spans="1:10" ht="15" x14ac:dyDescent="0.2">
      <c r="A97" s="15" t="s">
        <v>216</v>
      </c>
      <c r="B97" s="24" t="s">
        <v>217</v>
      </c>
      <c r="C97" s="24" t="s">
        <v>109</v>
      </c>
      <c r="D97" s="39">
        <f>596.75*26/1000</f>
        <v>15.515499999999999</v>
      </c>
      <c r="E97" s="124" t="s">
        <v>113</v>
      </c>
      <c r="F97" s="115"/>
      <c r="G97" s="115"/>
      <c r="H97" s="116"/>
      <c r="I97" s="116"/>
      <c r="J97" s="116"/>
    </row>
    <row r="98" spans="1:10" ht="15" x14ac:dyDescent="0.2">
      <c r="A98" s="15" t="s">
        <v>218</v>
      </c>
      <c r="B98" s="16" t="s">
        <v>206</v>
      </c>
      <c r="C98" s="16" t="s">
        <v>109</v>
      </c>
      <c r="D98" s="18">
        <f>40.09*2*26/1000</f>
        <v>2.0846800000000001</v>
      </c>
      <c r="E98" s="117" t="s">
        <v>182</v>
      </c>
      <c r="F98" s="115">
        <v>59000</v>
      </c>
      <c r="G98" s="115">
        <f>D98*F98</f>
        <v>122996.12000000001</v>
      </c>
      <c r="H98" s="116"/>
      <c r="I98" s="116"/>
      <c r="J98" s="116">
        <f>G98</f>
        <v>122996.12000000001</v>
      </c>
    </row>
    <row r="99" spans="1:10" ht="15" x14ac:dyDescent="0.2">
      <c r="A99" s="15" t="s">
        <v>219</v>
      </c>
      <c r="B99" s="16" t="s">
        <v>208</v>
      </c>
      <c r="C99" s="16" t="s">
        <v>109</v>
      </c>
      <c r="D99" s="18">
        <f>34.36*2*26/1000</f>
        <v>1.7867200000000001</v>
      </c>
      <c r="E99" s="117" t="s">
        <v>209</v>
      </c>
      <c r="F99" s="115">
        <v>59000</v>
      </c>
      <c r="G99" s="115">
        <f t="shared" ref="G99:G101" si="16">D99*F99</f>
        <v>105416.48000000001</v>
      </c>
      <c r="H99" s="116"/>
      <c r="I99" s="116"/>
      <c r="J99" s="116">
        <f t="shared" ref="J99:J101" si="17">G99</f>
        <v>105416.48000000001</v>
      </c>
    </row>
    <row r="100" spans="1:10" ht="15" x14ac:dyDescent="0.2">
      <c r="A100" s="15" t="s">
        <v>220</v>
      </c>
      <c r="B100" s="16" t="s">
        <v>221</v>
      </c>
      <c r="C100" s="16" t="s">
        <v>109</v>
      </c>
      <c r="D100" s="18">
        <f>181.32*2*26/1000</f>
        <v>9.4286399999999997</v>
      </c>
      <c r="E100" s="125" t="s">
        <v>212</v>
      </c>
      <c r="F100" s="115">
        <v>315246.65999999997</v>
      </c>
      <c r="G100" s="115">
        <f t="shared" si="16"/>
        <v>2972347.2683423995</v>
      </c>
      <c r="H100" s="116"/>
      <c r="I100" s="116"/>
      <c r="J100" s="116">
        <f t="shared" si="17"/>
        <v>2972347.2683423995</v>
      </c>
    </row>
    <row r="101" spans="1:10" ht="15" x14ac:dyDescent="0.2">
      <c r="A101" s="15" t="s">
        <v>222</v>
      </c>
      <c r="B101" s="16" t="s">
        <v>223</v>
      </c>
      <c r="C101" s="16" t="s">
        <v>109</v>
      </c>
      <c r="D101" s="18">
        <f>43*2*26/1000</f>
        <v>2.2360000000000002</v>
      </c>
      <c r="E101" s="117" t="s">
        <v>224</v>
      </c>
      <c r="F101" s="115">
        <v>68000</v>
      </c>
      <c r="G101" s="115">
        <f t="shared" si="16"/>
        <v>152048</v>
      </c>
      <c r="H101" s="116"/>
      <c r="I101" s="116"/>
      <c r="J101" s="116">
        <f t="shared" si="17"/>
        <v>152048</v>
      </c>
    </row>
    <row r="102" spans="1:10" ht="15" x14ac:dyDescent="0.2">
      <c r="A102" s="15" t="s">
        <v>225</v>
      </c>
      <c r="B102" s="24" t="s">
        <v>226</v>
      </c>
      <c r="C102" s="24" t="s">
        <v>109</v>
      </c>
      <c r="D102" s="39">
        <f>622.31*26/1000</f>
        <v>16.180059999999997</v>
      </c>
      <c r="E102" s="124" t="s">
        <v>113</v>
      </c>
      <c r="F102" s="115"/>
      <c r="G102" s="115"/>
      <c r="H102" s="116"/>
      <c r="I102" s="116"/>
      <c r="J102" s="116"/>
    </row>
    <row r="103" spans="1:10" ht="15" x14ac:dyDescent="0.2">
      <c r="A103" s="15" t="s">
        <v>227</v>
      </c>
      <c r="B103" s="16" t="s">
        <v>228</v>
      </c>
      <c r="C103" s="16" t="s">
        <v>109</v>
      </c>
      <c r="D103" s="18">
        <f>40.09*2*26/1000</f>
        <v>2.0846800000000001</v>
      </c>
      <c r="E103" s="117" t="s">
        <v>182</v>
      </c>
      <c r="F103" s="115">
        <v>59000</v>
      </c>
      <c r="G103" s="115">
        <f>D103*F103</f>
        <v>122996.12000000001</v>
      </c>
      <c r="H103" s="116"/>
      <c r="I103" s="116"/>
      <c r="J103" s="116">
        <f>G103</f>
        <v>122996.12000000001</v>
      </c>
    </row>
    <row r="104" spans="1:10" ht="15" x14ac:dyDescent="0.2">
      <c r="A104" s="15" t="s">
        <v>229</v>
      </c>
      <c r="B104" s="16" t="s">
        <v>230</v>
      </c>
      <c r="C104" s="16" t="s">
        <v>109</v>
      </c>
      <c r="D104" s="18">
        <f>34.36*2*26/1000</f>
        <v>1.7867200000000001</v>
      </c>
      <c r="E104" s="117" t="s">
        <v>209</v>
      </c>
      <c r="F104" s="115">
        <v>59000</v>
      </c>
      <c r="G104" s="115">
        <f t="shared" ref="G104:G106" si="18">D104*F104</f>
        <v>105416.48000000001</v>
      </c>
      <c r="H104" s="116"/>
      <c r="I104" s="116"/>
      <c r="J104" s="116">
        <f t="shared" ref="J104:J106" si="19">G104</f>
        <v>105416.48000000001</v>
      </c>
    </row>
    <row r="105" spans="1:10" ht="15" x14ac:dyDescent="0.2">
      <c r="A105" s="15" t="s">
        <v>231</v>
      </c>
      <c r="B105" s="16" t="s">
        <v>232</v>
      </c>
      <c r="C105" s="16" t="s">
        <v>109</v>
      </c>
      <c r="D105" s="18">
        <f>181.32*2*26/1000</f>
        <v>9.4286399999999997</v>
      </c>
      <c r="E105" s="125" t="s">
        <v>212</v>
      </c>
      <c r="F105" s="115">
        <v>315246.65999999997</v>
      </c>
      <c r="G105" s="115">
        <f t="shared" si="18"/>
        <v>2972347.2683423995</v>
      </c>
      <c r="H105" s="116"/>
      <c r="I105" s="116"/>
      <c r="J105" s="116">
        <f t="shared" si="19"/>
        <v>2972347.2683423995</v>
      </c>
    </row>
    <row r="106" spans="1:10" ht="15" x14ac:dyDescent="0.2">
      <c r="A106" s="15" t="s">
        <v>233</v>
      </c>
      <c r="B106" s="16" t="s">
        <v>234</v>
      </c>
      <c r="C106" s="16" t="s">
        <v>109</v>
      </c>
      <c r="D106" s="18">
        <f>55*2*26/1000</f>
        <v>2.86</v>
      </c>
      <c r="E106" s="117" t="s">
        <v>235</v>
      </c>
      <c r="F106" s="115">
        <v>68000</v>
      </c>
      <c r="G106" s="115">
        <f t="shared" si="18"/>
        <v>194480</v>
      </c>
      <c r="H106" s="116"/>
      <c r="I106" s="116"/>
      <c r="J106" s="116">
        <f t="shared" si="19"/>
        <v>194480</v>
      </c>
    </row>
    <row r="107" spans="1:10" ht="15" x14ac:dyDescent="0.2">
      <c r="A107" s="15" t="s">
        <v>236</v>
      </c>
      <c r="B107" s="126" t="s">
        <v>131</v>
      </c>
      <c r="C107" s="40" t="s">
        <v>109</v>
      </c>
      <c r="D107" s="37">
        <f>27.45*26/1000</f>
        <v>0.71369999999999989</v>
      </c>
      <c r="E107" s="117" t="s">
        <v>237</v>
      </c>
      <c r="F107" s="115"/>
      <c r="G107" s="115"/>
      <c r="H107" s="116"/>
      <c r="I107" s="116"/>
      <c r="J107" s="116"/>
    </row>
    <row r="108" spans="1:10" ht="15" x14ac:dyDescent="0.2">
      <c r="A108" s="15" t="s">
        <v>238</v>
      </c>
      <c r="B108" s="41" t="s">
        <v>239</v>
      </c>
      <c r="C108" s="41"/>
      <c r="D108" s="41"/>
      <c r="E108" s="127"/>
      <c r="F108" s="115"/>
      <c r="G108" s="115"/>
      <c r="H108" s="116"/>
      <c r="I108" s="116"/>
      <c r="J108" s="116"/>
    </row>
    <row r="109" spans="1:10" ht="15" x14ac:dyDescent="0.2">
      <c r="A109" s="15" t="s">
        <v>240</v>
      </c>
      <c r="B109" s="90" t="s">
        <v>241</v>
      </c>
      <c r="C109" s="21" t="s">
        <v>8</v>
      </c>
      <c r="D109" s="21">
        <v>4788.97</v>
      </c>
      <c r="E109" s="117" t="s">
        <v>99</v>
      </c>
      <c r="F109" s="115"/>
      <c r="G109" s="115"/>
      <c r="H109" s="116">
        <v>300</v>
      </c>
      <c r="I109" s="116">
        <f>D109*H109</f>
        <v>1436691</v>
      </c>
      <c r="J109" s="116">
        <f>I109</f>
        <v>1436691</v>
      </c>
    </row>
    <row r="110" spans="1:10" ht="30" x14ac:dyDescent="0.2">
      <c r="A110" s="15" t="s">
        <v>242</v>
      </c>
      <c r="B110" s="90" t="s">
        <v>243</v>
      </c>
      <c r="C110" s="21" t="s">
        <v>8</v>
      </c>
      <c r="D110" s="21">
        <v>4788.97</v>
      </c>
      <c r="E110" s="117" t="s">
        <v>244</v>
      </c>
      <c r="F110" s="128"/>
      <c r="G110" s="128"/>
      <c r="H110" s="116">
        <v>300</v>
      </c>
      <c r="I110" s="116">
        <f>D110*H110</f>
        <v>1436691</v>
      </c>
      <c r="J110" s="116">
        <f>I110</f>
        <v>1436691</v>
      </c>
    </row>
    <row r="111" spans="1:10" ht="15" x14ac:dyDescent="0.2">
      <c r="A111" s="15" t="s">
        <v>245</v>
      </c>
      <c r="B111" s="90" t="s">
        <v>246</v>
      </c>
      <c r="C111" s="16" t="s">
        <v>32</v>
      </c>
      <c r="D111" s="42">
        <f>D110*0.115</f>
        <v>550.73155000000008</v>
      </c>
      <c r="E111" s="129" t="s">
        <v>247</v>
      </c>
      <c r="F111" s="115">
        <f>250*0.2</f>
        <v>50</v>
      </c>
      <c r="G111" s="115">
        <f>D110*F111</f>
        <v>239448.5</v>
      </c>
      <c r="H111" s="116"/>
      <c r="I111" s="116"/>
      <c r="J111" s="116">
        <f>G111</f>
        <v>239448.5</v>
      </c>
    </row>
    <row r="112" spans="1:10" ht="15" x14ac:dyDescent="0.2">
      <c r="A112" s="15" t="s">
        <v>248</v>
      </c>
      <c r="B112" s="90" t="s">
        <v>249</v>
      </c>
      <c r="C112" s="16" t="s">
        <v>8</v>
      </c>
      <c r="D112" s="21">
        <v>9577.9500000000007</v>
      </c>
      <c r="E112" s="117" t="s">
        <v>99</v>
      </c>
      <c r="F112" s="115"/>
      <c r="G112" s="115"/>
      <c r="H112" s="116">
        <v>350</v>
      </c>
      <c r="I112" s="116">
        <f>D112*H112</f>
        <v>3352282.5000000005</v>
      </c>
      <c r="J112" s="116">
        <f t="shared" ref="J112:J114" si="20">I112</f>
        <v>3352282.5000000005</v>
      </c>
    </row>
    <row r="113" spans="1:10" ht="15" x14ac:dyDescent="0.2">
      <c r="A113" s="15" t="s">
        <v>250</v>
      </c>
      <c r="B113" s="90" t="s">
        <v>251</v>
      </c>
      <c r="C113" s="16" t="s">
        <v>32</v>
      </c>
      <c r="D113" s="21">
        <f>9577.95*0.1</f>
        <v>957.79500000000007</v>
      </c>
      <c r="E113" s="117" t="s">
        <v>252</v>
      </c>
      <c r="F113" s="115">
        <f>3000/20</f>
        <v>150</v>
      </c>
      <c r="G113" s="115">
        <f>D113*F113</f>
        <v>143669.25</v>
      </c>
      <c r="H113" s="116"/>
      <c r="I113" s="116"/>
      <c r="J113" s="116">
        <f>G113</f>
        <v>143669.25</v>
      </c>
    </row>
    <row r="114" spans="1:10" ht="30" x14ac:dyDescent="0.2">
      <c r="A114" s="15" t="s">
        <v>253</v>
      </c>
      <c r="B114" s="90" t="s">
        <v>254</v>
      </c>
      <c r="C114" s="16" t="s">
        <v>8</v>
      </c>
      <c r="D114" s="21">
        <v>4788.97</v>
      </c>
      <c r="E114" s="117" t="s">
        <v>99</v>
      </c>
      <c r="F114" s="115"/>
      <c r="G114" s="115"/>
      <c r="H114" s="116">
        <v>550</v>
      </c>
      <c r="I114" s="116">
        <f>D114*H114</f>
        <v>2633933.5</v>
      </c>
      <c r="J114" s="116">
        <f t="shared" si="20"/>
        <v>2633933.5</v>
      </c>
    </row>
    <row r="115" spans="1:10" ht="15" x14ac:dyDescent="0.2">
      <c r="A115" s="15" t="s">
        <v>255</v>
      </c>
      <c r="B115" s="90" t="s">
        <v>256</v>
      </c>
      <c r="C115" s="16" t="s">
        <v>32</v>
      </c>
      <c r="D115" s="43">
        <f>D114*1.5</f>
        <v>7183.4549999999999</v>
      </c>
      <c r="E115" s="117" t="s">
        <v>257</v>
      </c>
      <c r="F115" s="115">
        <v>980</v>
      </c>
      <c r="G115" s="115">
        <f>D115*F115</f>
        <v>7039785.9000000004</v>
      </c>
      <c r="H115" s="116"/>
      <c r="I115" s="116"/>
      <c r="J115" s="116">
        <f>G115</f>
        <v>7039785.9000000004</v>
      </c>
    </row>
    <row r="116" spans="1:10" s="7" customFormat="1" ht="46.5" customHeight="1" x14ac:dyDescent="0.2">
      <c r="A116" s="3" t="s">
        <v>258</v>
      </c>
      <c r="B116" s="4" t="s">
        <v>259</v>
      </c>
      <c r="C116" s="5"/>
      <c r="D116" s="6"/>
      <c r="E116" s="130"/>
      <c r="F116" s="119"/>
      <c r="G116" s="119"/>
      <c r="H116" s="120"/>
      <c r="I116" s="120"/>
      <c r="J116" s="120"/>
    </row>
    <row r="117" spans="1:10" ht="15" x14ac:dyDescent="0.2">
      <c r="A117" s="15" t="s">
        <v>260</v>
      </c>
      <c r="B117" s="25" t="s">
        <v>98</v>
      </c>
      <c r="C117" s="25"/>
      <c r="D117" s="25"/>
      <c r="E117" s="131"/>
      <c r="F117" s="115"/>
      <c r="G117" s="115"/>
      <c r="H117" s="116"/>
      <c r="I117" s="116"/>
      <c r="J117" s="116"/>
    </row>
    <row r="118" spans="1:10" ht="30" x14ac:dyDescent="0.2">
      <c r="A118" s="15" t="s">
        <v>261</v>
      </c>
      <c r="B118" s="16" t="s">
        <v>262</v>
      </c>
      <c r="C118" s="21" t="s">
        <v>8</v>
      </c>
      <c r="D118" s="44">
        <v>37.304000000000002</v>
      </c>
      <c r="E118" s="117" t="s">
        <v>263</v>
      </c>
      <c r="F118" s="115"/>
      <c r="G118" s="115"/>
      <c r="H118" s="116">
        <v>300</v>
      </c>
      <c r="I118" s="116">
        <f>D118*H118</f>
        <v>11191.2</v>
      </c>
      <c r="J118" s="116">
        <f>I118</f>
        <v>11191.2</v>
      </c>
    </row>
    <row r="119" spans="1:10" ht="15" x14ac:dyDescent="0.2">
      <c r="A119" s="15" t="s">
        <v>264</v>
      </c>
      <c r="B119" s="90" t="s">
        <v>265</v>
      </c>
      <c r="C119" s="16" t="s">
        <v>106</v>
      </c>
      <c r="D119" s="21">
        <v>6000</v>
      </c>
      <c r="E119" s="117"/>
      <c r="F119" s="115"/>
      <c r="G119" s="115"/>
      <c r="H119" s="116">
        <v>250</v>
      </c>
      <c r="I119" s="116">
        <f>D119*H119</f>
        <v>1500000</v>
      </c>
      <c r="J119" s="116">
        <f t="shared" ref="J119:J120" si="21">I119</f>
        <v>1500000</v>
      </c>
    </row>
    <row r="120" spans="1:10" ht="15" x14ac:dyDescent="0.2">
      <c r="A120" s="8" t="s">
        <v>266</v>
      </c>
      <c r="B120" s="45" t="s">
        <v>267</v>
      </c>
      <c r="C120" s="45" t="s">
        <v>109</v>
      </c>
      <c r="D120" s="46">
        <f>161.33*18/1000</f>
        <v>2.90394</v>
      </c>
      <c r="E120" s="132" t="s">
        <v>268</v>
      </c>
      <c r="F120" s="119"/>
      <c r="G120" s="119"/>
      <c r="H120" s="120">
        <v>124980</v>
      </c>
      <c r="I120" s="120">
        <f t="shared" ref="I120" si="22">D120*H120</f>
        <v>362934.42119999998</v>
      </c>
      <c r="J120" s="120">
        <f t="shared" si="21"/>
        <v>362934.42119999998</v>
      </c>
    </row>
    <row r="121" spans="1:10" ht="28.5" x14ac:dyDescent="0.2">
      <c r="A121" s="15" t="s">
        <v>269</v>
      </c>
      <c r="B121" s="25" t="s">
        <v>270</v>
      </c>
      <c r="C121" s="25" t="s">
        <v>109</v>
      </c>
      <c r="D121" s="30">
        <f>D122+D123+D124+D125</f>
        <v>1.3712214600000001</v>
      </c>
      <c r="E121" s="131" t="s">
        <v>271</v>
      </c>
      <c r="F121" s="115"/>
      <c r="G121" s="115"/>
      <c r="H121" s="116"/>
      <c r="I121" s="116"/>
      <c r="J121" s="116"/>
    </row>
    <row r="122" spans="1:10" ht="15" x14ac:dyDescent="0.2">
      <c r="A122" s="15" t="s">
        <v>272</v>
      </c>
      <c r="B122" s="16" t="s">
        <v>273</v>
      </c>
      <c r="C122" s="16" t="s">
        <v>109</v>
      </c>
      <c r="D122" s="29">
        <f>73.30799*18/1000</f>
        <v>1.31954382</v>
      </c>
      <c r="E122" s="117" t="s">
        <v>274</v>
      </c>
      <c r="F122" s="115">
        <v>67000</v>
      </c>
      <c r="G122" s="115">
        <f>D122*F122</f>
        <v>88409.435939999996</v>
      </c>
      <c r="H122" s="116"/>
      <c r="I122" s="116"/>
      <c r="J122" s="116">
        <f>G122</f>
        <v>88409.435939999996</v>
      </c>
    </row>
    <row r="123" spans="1:10" ht="15" x14ac:dyDescent="0.2">
      <c r="A123" s="15" t="s">
        <v>275</v>
      </c>
      <c r="B123" s="16" t="s">
        <v>276</v>
      </c>
      <c r="C123" s="16" t="s">
        <v>109</v>
      </c>
      <c r="D123" s="17">
        <f>1.13098*18/1000</f>
        <v>2.0357640000000003E-2</v>
      </c>
      <c r="E123" s="117" t="s">
        <v>277</v>
      </c>
      <c r="F123" s="115">
        <v>59000</v>
      </c>
      <c r="G123" s="115">
        <f t="shared" ref="G123:G126" si="23">D123*F123</f>
        <v>1201.1007600000003</v>
      </c>
      <c r="H123" s="116"/>
      <c r="I123" s="116"/>
      <c r="J123" s="116">
        <f t="shared" ref="J123:J126" si="24">G123</f>
        <v>1201.1007600000003</v>
      </c>
    </row>
    <row r="124" spans="1:10" ht="15" x14ac:dyDescent="0.2">
      <c r="A124" s="15" t="s">
        <v>278</v>
      </c>
      <c r="B124" s="16" t="s">
        <v>279</v>
      </c>
      <c r="C124" s="16" t="s">
        <v>109</v>
      </c>
      <c r="D124" s="18">
        <f>1.28*18/1000</f>
        <v>2.3039999999999998E-2</v>
      </c>
      <c r="E124" s="117" t="s">
        <v>280</v>
      </c>
      <c r="F124" s="115">
        <v>59000</v>
      </c>
      <c r="G124" s="115">
        <f t="shared" si="23"/>
        <v>1359.36</v>
      </c>
      <c r="H124" s="116"/>
      <c r="I124" s="116"/>
      <c r="J124" s="116">
        <f t="shared" si="24"/>
        <v>1359.36</v>
      </c>
    </row>
    <row r="125" spans="1:10" ht="15" x14ac:dyDescent="0.2">
      <c r="A125" s="15" t="s">
        <v>281</v>
      </c>
      <c r="B125" s="16" t="s">
        <v>282</v>
      </c>
      <c r="C125" s="16" t="s">
        <v>109</v>
      </c>
      <c r="D125" s="18">
        <f>0.46*18/1000</f>
        <v>8.2800000000000009E-3</v>
      </c>
      <c r="E125" s="117" t="s">
        <v>283</v>
      </c>
      <c r="F125" s="115">
        <v>59000</v>
      </c>
      <c r="G125" s="115">
        <f t="shared" si="23"/>
        <v>488.52000000000004</v>
      </c>
      <c r="H125" s="116"/>
      <c r="I125" s="116"/>
      <c r="J125" s="116">
        <f t="shared" si="24"/>
        <v>488.52000000000004</v>
      </c>
    </row>
    <row r="126" spans="1:10" ht="15" x14ac:dyDescent="0.2">
      <c r="A126" s="15" t="s">
        <v>284</v>
      </c>
      <c r="B126" s="16" t="s">
        <v>285</v>
      </c>
      <c r="C126" s="16" t="s">
        <v>109</v>
      </c>
      <c r="D126" s="47">
        <f>0.0731210191082803*39.25*18/1000</f>
        <v>5.1660000000000025E-2</v>
      </c>
      <c r="E126" s="117" t="s">
        <v>286</v>
      </c>
      <c r="F126" s="115">
        <v>59000</v>
      </c>
      <c r="G126" s="115">
        <f t="shared" si="23"/>
        <v>3047.9400000000014</v>
      </c>
      <c r="H126" s="116"/>
      <c r="I126" s="116"/>
      <c r="J126" s="116">
        <f t="shared" si="24"/>
        <v>3047.9400000000014</v>
      </c>
    </row>
    <row r="127" spans="1:10" ht="15" x14ac:dyDescent="0.2">
      <c r="A127" s="15" t="s">
        <v>287</v>
      </c>
      <c r="B127" s="16" t="s">
        <v>288</v>
      </c>
      <c r="C127" s="16" t="s">
        <v>109</v>
      </c>
      <c r="D127" s="48">
        <f>0.37*18/1000</f>
        <v>6.6600000000000001E-3</v>
      </c>
      <c r="E127" s="117" t="s">
        <v>289</v>
      </c>
      <c r="F127" s="115"/>
      <c r="G127" s="115"/>
      <c r="H127" s="116"/>
      <c r="I127" s="116"/>
      <c r="J127" s="116"/>
    </row>
    <row r="128" spans="1:10" ht="28.5" x14ac:dyDescent="0.2">
      <c r="A128" s="15" t="s">
        <v>290</v>
      </c>
      <c r="B128" s="25" t="s">
        <v>291</v>
      </c>
      <c r="C128" s="25" t="s">
        <v>109</v>
      </c>
      <c r="D128" s="30">
        <f>D129+D130+D131+D132</f>
        <v>1.3712214600000001</v>
      </c>
      <c r="E128" s="131" t="s">
        <v>292</v>
      </c>
      <c r="F128" s="115"/>
      <c r="G128" s="115"/>
      <c r="H128" s="116"/>
      <c r="I128" s="116"/>
      <c r="J128" s="116"/>
    </row>
    <row r="129" spans="1:10" ht="15" x14ac:dyDescent="0.2">
      <c r="A129" s="15" t="s">
        <v>293</v>
      </c>
      <c r="B129" s="16" t="s">
        <v>273</v>
      </c>
      <c r="C129" s="16" t="s">
        <v>109</v>
      </c>
      <c r="D129" s="29">
        <f>73.30799*18/1000</f>
        <v>1.31954382</v>
      </c>
      <c r="E129" s="117" t="s">
        <v>274</v>
      </c>
      <c r="F129" s="115">
        <v>67000</v>
      </c>
      <c r="G129" s="115">
        <f>D129*F129</f>
        <v>88409.435939999996</v>
      </c>
      <c r="H129" s="116"/>
      <c r="I129" s="116"/>
      <c r="J129" s="116">
        <f>G129</f>
        <v>88409.435939999996</v>
      </c>
    </row>
    <row r="130" spans="1:10" ht="15" x14ac:dyDescent="0.2">
      <c r="A130" s="15" t="s">
        <v>294</v>
      </c>
      <c r="B130" s="16" t="s">
        <v>276</v>
      </c>
      <c r="C130" s="16" t="s">
        <v>109</v>
      </c>
      <c r="D130" s="17">
        <f>1.13098*18/1000</f>
        <v>2.0357640000000003E-2</v>
      </c>
      <c r="E130" s="117" t="s">
        <v>295</v>
      </c>
      <c r="F130" s="115">
        <v>59000</v>
      </c>
      <c r="G130" s="115">
        <f t="shared" ref="G130:G133" si="25">D130*F130</f>
        <v>1201.1007600000003</v>
      </c>
      <c r="H130" s="116"/>
      <c r="I130" s="116"/>
      <c r="J130" s="116">
        <f t="shared" ref="J130:J133" si="26">G130</f>
        <v>1201.1007600000003</v>
      </c>
    </row>
    <row r="131" spans="1:10" ht="15" x14ac:dyDescent="0.2">
      <c r="A131" s="15" t="s">
        <v>296</v>
      </c>
      <c r="B131" s="16" t="s">
        <v>279</v>
      </c>
      <c r="C131" s="16" t="s">
        <v>109</v>
      </c>
      <c r="D131" s="18">
        <f>1.28*18/1000</f>
        <v>2.3039999999999998E-2</v>
      </c>
      <c r="E131" s="117" t="s">
        <v>280</v>
      </c>
      <c r="F131" s="115">
        <v>59000</v>
      </c>
      <c r="G131" s="115">
        <f t="shared" si="25"/>
        <v>1359.36</v>
      </c>
      <c r="H131" s="116"/>
      <c r="I131" s="116"/>
      <c r="J131" s="116">
        <f t="shared" si="26"/>
        <v>1359.36</v>
      </c>
    </row>
    <row r="132" spans="1:10" ht="15" x14ac:dyDescent="0.2">
      <c r="A132" s="15" t="s">
        <v>297</v>
      </c>
      <c r="B132" s="16" t="s">
        <v>282</v>
      </c>
      <c r="C132" s="16" t="s">
        <v>109</v>
      </c>
      <c r="D132" s="18">
        <f>0.46*18/1000</f>
        <v>8.2800000000000009E-3</v>
      </c>
      <c r="E132" s="117" t="s">
        <v>283</v>
      </c>
      <c r="F132" s="115">
        <v>59000</v>
      </c>
      <c r="G132" s="115">
        <f t="shared" si="25"/>
        <v>488.52000000000004</v>
      </c>
      <c r="H132" s="116"/>
      <c r="I132" s="116"/>
      <c r="J132" s="116">
        <f t="shared" si="26"/>
        <v>488.52000000000004</v>
      </c>
    </row>
    <row r="133" spans="1:10" ht="15" x14ac:dyDescent="0.2">
      <c r="A133" s="15" t="s">
        <v>298</v>
      </c>
      <c r="B133" s="16" t="s">
        <v>285</v>
      </c>
      <c r="C133" s="16" t="s">
        <v>109</v>
      </c>
      <c r="D133" s="47">
        <f>2.87*18/1000</f>
        <v>5.1660000000000005E-2</v>
      </c>
      <c r="E133" s="117" t="s">
        <v>299</v>
      </c>
      <c r="F133" s="115">
        <v>59000</v>
      </c>
      <c r="G133" s="115">
        <f t="shared" si="25"/>
        <v>3047.94</v>
      </c>
      <c r="H133" s="116"/>
      <c r="I133" s="116"/>
      <c r="J133" s="116">
        <f t="shared" si="26"/>
        <v>3047.94</v>
      </c>
    </row>
    <row r="134" spans="1:10" ht="15" x14ac:dyDescent="0.2">
      <c r="A134" s="15" t="s">
        <v>300</v>
      </c>
      <c r="B134" s="16" t="s">
        <v>288</v>
      </c>
      <c r="C134" s="16" t="s">
        <v>109</v>
      </c>
      <c r="D134" s="49">
        <f>0.37*18/1000</f>
        <v>6.6600000000000001E-3</v>
      </c>
      <c r="E134" s="117" t="s">
        <v>301</v>
      </c>
      <c r="F134" s="115"/>
      <c r="G134" s="115"/>
      <c r="H134" s="116"/>
      <c r="I134" s="116"/>
      <c r="J134" s="116"/>
    </row>
    <row r="135" spans="1:10" ht="28.5" x14ac:dyDescent="0.2">
      <c r="A135" s="15" t="s">
        <v>302</v>
      </c>
      <c r="B135" s="25" t="s">
        <v>303</v>
      </c>
      <c r="C135" s="25" t="s">
        <v>109</v>
      </c>
      <c r="D135" s="50">
        <f>D136+D137+D138</f>
        <v>0.10470599999999998</v>
      </c>
      <c r="E135" s="131" t="s">
        <v>304</v>
      </c>
      <c r="F135" s="115"/>
      <c r="G135" s="115"/>
      <c r="H135" s="116"/>
      <c r="I135" s="116"/>
      <c r="J135" s="116"/>
    </row>
    <row r="136" spans="1:10" ht="15" x14ac:dyDescent="0.2">
      <c r="A136" s="15" t="s">
        <v>305</v>
      </c>
      <c r="B136" s="16" t="s">
        <v>306</v>
      </c>
      <c r="C136" s="16" t="s">
        <v>109</v>
      </c>
      <c r="D136" s="18">
        <f>0.86*18*3/1000</f>
        <v>4.6439999999999995E-2</v>
      </c>
      <c r="E136" s="117" t="s">
        <v>307</v>
      </c>
      <c r="F136" s="115">
        <v>61000</v>
      </c>
      <c r="G136" s="115">
        <f>D136*F136</f>
        <v>2832.8399999999997</v>
      </c>
      <c r="H136" s="116"/>
      <c r="I136" s="116"/>
      <c r="J136" s="116">
        <f>G136</f>
        <v>2832.8399999999997</v>
      </c>
    </row>
    <row r="137" spans="1:10" ht="15" x14ac:dyDescent="0.2">
      <c r="A137" s="15" t="s">
        <v>308</v>
      </c>
      <c r="B137" s="16" t="s">
        <v>309</v>
      </c>
      <c r="C137" s="16" t="s">
        <v>109</v>
      </c>
      <c r="D137" s="18">
        <f>0.494*18*3/1000</f>
        <v>2.6675999999999998E-2</v>
      </c>
      <c r="E137" s="117" t="s">
        <v>310</v>
      </c>
      <c r="F137" s="115">
        <v>59000</v>
      </c>
      <c r="G137" s="115">
        <f t="shared" ref="G137:G138" si="27">D137*F137</f>
        <v>1573.884</v>
      </c>
      <c r="H137" s="116"/>
      <c r="I137" s="116"/>
      <c r="J137" s="116">
        <f t="shared" ref="J137:J138" si="28">G137</f>
        <v>1573.884</v>
      </c>
    </row>
    <row r="138" spans="1:10" ht="15" x14ac:dyDescent="0.2">
      <c r="A138" s="15" t="s">
        <v>311</v>
      </c>
      <c r="B138" s="16" t="s">
        <v>312</v>
      </c>
      <c r="C138" s="16" t="s">
        <v>109</v>
      </c>
      <c r="D138" s="18">
        <f>0.585*18*3/1000</f>
        <v>3.1589999999999993E-2</v>
      </c>
      <c r="E138" s="117" t="s">
        <v>313</v>
      </c>
      <c r="F138" s="115">
        <v>59000</v>
      </c>
      <c r="G138" s="115">
        <f t="shared" si="27"/>
        <v>1863.8099999999995</v>
      </c>
      <c r="H138" s="116"/>
      <c r="I138" s="116"/>
      <c r="J138" s="116">
        <f t="shared" si="28"/>
        <v>1863.8099999999995</v>
      </c>
    </row>
    <row r="139" spans="1:10" ht="15" x14ac:dyDescent="0.2">
      <c r="A139" s="15" t="s">
        <v>314</v>
      </c>
      <c r="B139" s="16" t="s">
        <v>285</v>
      </c>
      <c r="C139" s="19" t="s">
        <v>109</v>
      </c>
      <c r="D139" s="47">
        <f>1.08*18*3/1000</f>
        <v>5.8320000000000011E-2</v>
      </c>
      <c r="E139" s="117" t="s">
        <v>315</v>
      </c>
      <c r="F139" s="115">
        <v>59001</v>
      </c>
      <c r="G139" s="115">
        <f t="shared" ref="G139" si="29">D139*F139</f>
        <v>3440.9383200000007</v>
      </c>
      <c r="H139" s="116"/>
      <c r="I139" s="116"/>
      <c r="J139" s="116">
        <f t="shared" ref="J139" si="30">G139</f>
        <v>3440.9383200000007</v>
      </c>
    </row>
    <row r="140" spans="1:10" ht="15" x14ac:dyDescent="0.2">
      <c r="A140" s="15" t="s">
        <v>316</v>
      </c>
      <c r="B140" s="16" t="s">
        <v>317</v>
      </c>
      <c r="C140" s="19" t="s">
        <v>109</v>
      </c>
      <c r="D140" s="48">
        <f>0.1*18*3/1000</f>
        <v>5.4000000000000003E-3</v>
      </c>
      <c r="E140" s="117" t="s">
        <v>318</v>
      </c>
      <c r="F140" s="115"/>
      <c r="G140" s="115"/>
      <c r="H140" s="116"/>
      <c r="I140" s="116"/>
      <c r="J140" s="116"/>
    </row>
    <row r="141" spans="1:10" ht="28.5" x14ac:dyDescent="0.2">
      <c r="A141" s="15" t="s">
        <v>319</v>
      </c>
      <c r="B141" s="25" t="s">
        <v>320</v>
      </c>
      <c r="C141" s="51" t="s">
        <v>109</v>
      </c>
      <c r="D141" s="30">
        <f t="shared" ref="D141:D143" si="31">3.17*18/1000</f>
        <v>5.706E-2</v>
      </c>
      <c r="E141" s="131"/>
      <c r="F141" s="115"/>
      <c r="G141" s="115"/>
      <c r="H141" s="116"/>
      <c r="I141" s="116"/>
      <c r="J141" s="116"/>
    </row>
    <row r="142" spans="1:10" ht="15" x14ac:dyDescent="0.2">
      <c r="A142" s="15" t="s">
        <v>321</v>
      </c>
      <c r="B142" s="16" t="s">
        <v>322</v>
      </c>
      <c r="C142" s="19" t="s">
        <v>109</v>
      </c>
      <c r="D142" s="17">
        <f t="shared" si="31"/>
        <v>5.706E-2</v>
      </c>
      <c r="E142" s="117" t="s">
        <v>323</v>
      </c>
      <c r="F142" s="115">
        <v>59000</v>
      </c>
      <c r="G142" s="115">
        <f t="shared" ref="G142:G143" si="32">D142*F142</f>
        <v>3366.54</v>
      </c>
      <c r="H142" s="116"/>
      <c r="I142" s="116"/>
      <c r="J142" s="116">
        <f t="shared" ref="J142:J143" si="33">G142</f>
        <v>3366.54</v>
      </c>
    </row>
    <row r="143" spans="1:10" ht="15" x14ac:dyDescent="0.2">
      <c r="A143" s="15" t="s">
        <v>324</v>
      </c>
      <c r="B143" s="16" t="s">
        <v>285</v>
      </c>
      <c r="C143" s="19" t="s">
        <v>109</v>
      </c>
      <c r="D143" s="42">
        <f t="shared" si="31"/>
        <v>5.706E-2</v>
      </c>
      <c r="E143" s="117" t="s">
        <v>325</v>
      </c>
      <c r="F143" s="115">
        <v>59000</v>
      </c>
      <c r="G143" s="115">
        <f t="shared" si="32"/>
        <v>3366.54</v>
      </c>
      <c r="H143" s="116"/>
      <c r="I143" s="116"/>
      <c r="J143" s="116">
        <f t="shared" si="33"/>
        <v>3366.54</v>
      </c>
    </row>
    <row r="144" spans="1:10" ht="45.75" customHeight="1" x14ac:dyDescent="0.2">
      <c r="A144" s="8" t="s">
        <v>326</v>
      </c>
      <c r="B144" s="9" t="s">
        <v>327</v>
      </c>
      <c r="C144" s="10" t="s">
        <v>109</v>
      </c>
      <c r="D144" s="11">
        <f>76.52*9/1000</f>
        <v>0.68867999999999996</v>
      </c>
      <c r="E144" s="122" t="s">
        <v>328</v>
      </c>
      <c r="F144" s="119"/>
      <c r="G144" s="119"/>
      <c r="H144" s="120">
        <v>124980</v>
      </c>
      <c r="I144" s="120">
        <f t="shared" ref="I144" si="34">D144*H144</f>
        <v>86071.2264</v>
      </c>
      <c r="J144" s="120">
        <f>I144</f>
        <v>86071.2264</v>
      </c>
    </row>
    <row r="145" spans="1:10" ht="28.5" x14ac:dyDescent="0.2">
      <c r="A145" s="15" t="s">
        <v>329</v>
      </c>
      <c r="B145" s="25" t="s">
        <v>330</v>
      </c>
      <c r="C145" s="25" t="s">
        <v>109</v>
      </c>
      <c r="D145" s="52">
        <f>D146+D147</f>
        <v>0.67086000000000001</v>
      </c>
      <c r="E145" s="131"/>
      <c r="F145" s="115"/>
      <c r="G145" s="115"/>
      <c r="H145" s="116"/>
      <c r="I145" s="116"/>
      <c r="J145" s="116"/>
    </row>
    <row r="146" spans="1:10" ht="15" x14ac:dyDescent="0.2">
      <c r="A146" s="15" t="s">
        <v>331</v>
      </c>
      <c r="B146" s="16" t="s">
        <v>332</v>
      </c>
      <c r="C146" s="19" t="s">
        <v>109</v>
      </c>
      <c r="D146" s="18">
        <f>73.53*9/1000</f>
        <v>0.66176999999999997</v>
      </c>
      <c r="E146" s="117" t="s">
        <v>333</v>
      </c>
      <c r="F146" s="115">
        <v>115000</v>
      </c>
      <c r="G146" s="115">
        <f>D146*F146</f>
        <v>76103.55</v>
      </c>
      <c r="H146" s="116"/>
      <c r="I146" s="116"/>
      <c r="J146" s="116">
        <f>G146</f>
        <v>76103.55</v>
      </c>
    </row>
    <row r="147" spans="1:10" ht="15" x14ac:dyDescent="0.2">
      <c r="A147" s="15" t="s">
        <v>334</v>
      </c>
      <c r="B147" s="16" t="s">
        <v>335</v>
      </c>
      <c r="C147" s="19" t="s">
        <v>109</v>
      </c>
      <c r="D147" s="29">
        <f t="shared" ref="D147:D148" si="35">1.01*9/1000</f>
        <v>9.0899999999999991E-3</v>
      </c>
      <c r="E147" s="117" t="s">
        <v>336</v>
      </c>
      <c r="F147" s="115">
        <v>59000</v>
      </c>
      <c r="G147" s="115">
        <f t="shared" ref="G147:G148" si="36">D147*F147</f>
        <v>536.30999999999995</v>
      </c>
      <c r="H147" s="116"/>
      <c r="I147" s="116"/>
      <c r="J147" s="116">
        <f t="shared" ref="J147:J148" si="37">G147</f>
        <v>536.30999999999995</v>
      </c>
    </row>
    <row r="148" spans="1:10" ht="15" x14ac:dyDescent="0.2">
      <c r="A148" s="15" t="s">
        <v>337</v>
      </c>
      <c r="B148" s="16" t="s">
        <v>285</v>
      </c>
      <c r="C148" s="19" t="s">
        <v>109</v>
      </c>
      <c r="D148" s="29">
        <f t="shared" si="35"/>
        <v>9.0899999999999991E-3</v>
      </c>
      <c r="E148" s="117" t="s">
        <v>338</v>
      </c>
      <c r="F148" s="115">
        <v>59000</v>
      </c>
      <c r="G148" s="115">
        <f t="shared" si="36"/>
        <v>536.30999999999995</v>
      </c>
      <c r="H148" s="116"/>
      <c r="I148" s="116"/>
      <c r="J148" s="116">
        <f t="shared" si="37"/>
        <v>536.30999999999995</v>
      </c>
    </row>
    <row r="149" spans="1:10" ht="15" x14ac:dyDescent="0.2">
      <c r="A149" s="15" t="s">
        <v>339</v>
      </c>
      <c r="B149" s="16" t="s">
        <v>288</v>
      </c>
      <c r="C149" s="19" t="s">
        <v>109</v>
      </c>
      <c r="D149" s="18">
        <f>0.23*9/1000</f>
        <v>2.0700000000000002E-3</v>
      </c>
      <c r="E149" s="117" t="s">
        <v>340</v>
      </c>
      <c r="F149" s="115"/>
      <c r="G149" s="115"/>
      <c r="H149" s="116"/>
      <c r="I149" s="116"/>
      <c r="J149" s="116"/>
    </row>
    <row r="150" spans="1:10" ht="28.5" x14ac:dyDescent="0.2">
      <c r="A150" s="15" t="s">
        <v>341</v>
      </c>
      <c r="B150" s="25" t="s">
        <v>342</v>
      </c>
      <c r="C150" s="24" t="s">
        <v>109</v>
      </c>
      <c r="D150" s="53">
        <f t="shared" ref="D150:D151" si="38">0.927778*9/1000</f>
        <v>8.3500020000000005E-3</v>
      </c>
      <c r="E150" s="134"/>
      <c r="F150" s="115"/>
      <c r="G150" s="115"/>
      <c r="H150" s="116"/>
      <c r="I150" s="116"/>
      <c r="J150" s="116"/>
    </row>
    <row r="151" spans="1:10" ht="15" x14ac:dyDescent="0.2">
      <c r="A151" s="15" t="s">
        <v>343</v>
      </c>
      <c r="B151" s="16" t="s">
        <v>344</v>
      </c>
      <c r="C151" s="16" t="s">
        <v>109</v>
      </c>
      <c r="D151" s="54">
        <f t="shared" si="38"/>
        <v>8.3500020000000005E-3</v>
      </c>
      <c r="E151" s="117" t="s">
        <v>345</v>
      </c>
      <c r="F151" s="115">
        <v>61000</v>
      </c>
      <c r="G151" s="115">
        <f>D151*F151</f>
        <v>509.35012200000006</v>
      </c>
      <c r="H151" s="116"/>
      <c r="I151" s="116"/>
      <c r="J151" s="116">
        <f>G151</f>
        <v>509.35012200000006</v>
      </c>
    </row>
    <row r="152" spans="1:10" ht="28.5" x14ac:dyDescent="0.2">
      <c r="A152" s="15" t="s">
        <v>346</v>
      </c>
      <c r="B152" s="25" t="s">
        <v>347</v>
      </c>
      <c r="C152" s="24" t="s">
        <v>109</v>
      </c>
      <c r="D152" s="55">
        <f t="shared" ref="D152:D154" si="39">1.98*9/1000</f>
        <v>1.7819999999999999E-2</v>
      </c>
      <c r="E152" s="134"/>
      <c r="F152" s="115"/>
      <c r="G152" s="115"/>
      <c r="H152" s="116"/>
      <c r="I152" s="116"/>
      <c r="J152" s="116"/>
    </row>
    <row r="153" spans="1:10" ht="15" x14ac:dyDescent="0.2">
      <c r="A153" s="15" t="s">
        <v>348</v>
      </c>
      <c r="B153" s="16" t="s">
        <v>349</v>
      </c>
      <c r="C153" s="16" t="s">
        <v>109</v>
      </c>
      <c r="D153" s="56">
        <f t="shared" si="39"/>
        <v>1.7819999999999999E-2</v>
      </c>
      <c r="E153" s="117" t="s">
        <v>350</v>
      </c>
      <c r="F153" s="115">
        <v>59000</v>
      </c>
      <c r="G153" s="115">
        <f t="shared" ref="G153:G154" si="40">D153*F153</f>
        <v>1051.3799999999999</v>
      </c>
      <c r="H153" s="116"/>
      <c r="I153" s="116"/>
      <c r="J153" s="116">
        <f t="shared" ref="J153:J154" si="41">G153</f>
        <v>1051.3799999999999</v>
      </c>
    </row>
    <row r="154" spans="1:10" ht="15" x14ac:dyDescent="0.2">
      <c r="A154" s="15" t="s">
        <v>351</v>
      </c>
      <c r="B154" s="16" t="s">
        <v>285</v>
      </c>
      <c r="C154" s="16" t="s">
        <v>109</v>
      </c>
      <c r="D154" s="56">
        <f t="shared" si="39"/>
        <v>1.7819999999999999E-2</v>
      </c>
      <c r="E154" s="117" t="s">
        <v>352</v>
      </c>
      <c r="F154" s="115">
        <v>59000</v>
      </c>
      <c r="G154" s="115">
        <f t="shared" si="40"/>
        <v>1051.3799999999999</v>
      </c>
      <c r="H154" s="116"/>
      <c r="I154" s="116"/>
      <c r="J154" s="116">
        <f t="shared" si="41"/>
        <v>1051.3799999999999</v>
      </c>
    </row>
    <row r="155" spans="1:10" ht="28.5" x14ac:dyDescent="0.2">
      <c r="A155" s="8" t="s">
        <v>353</v>
      </c>
      <c r="B155" s="9" t="s">
        <v>354</v>
      </c>
      <c r="C155" s="9" t="s">
        <v>109</v>
      </c>
      <c r="D155" s="57">
        <f>D156+D163+D170+D176</f>
        <v>39.351881999999996</v>
      </c>
      <c r="E155" s="122" t="s">
        <v>355</v>
      </c>
      <c r="F155" s="119"/>
      <c r="G155" s="119"/>
      <c r="H155" s="120">
        <v>124980</v>
      </c>
      <c r="I155" s="120">
        <f t="shared" ref="I155" si="42">D155*H155</f>
        <v>4918198.2123599993</v>
      </c>
      <c r="J155" s="120">
        <f>I155</f>
        <v>4918198.2123599993</v>
      </c>
    </row>
    <row r="156" spans="1:10" ht="28.5" x14ac:dyDescent="0.2">
      <c r="A156" s="15" t="s">
        <v>356</v>
      </c>
      <c r="B156" s="25" t="s">
        <v>357</v>
      </c>
      <c r="C156" s="25" t="s">
        <v>109</v>
      </c>
      <c r="D156" s="58">
        <f>76.17*246/1000</f>
        <v>18.737819999999999</v>
      </c>
      <c r="E156" s="131"/>
      <c r="F156" s="115"/>
      <c r="G156" s="115"/>
      <c r="H156" s="116"/>
      <c r="I156" s="116"/>
      <c r="J156" s="116"/>
    </row>
    <row r="157" spans="1:10" ht="15" x14ac:dyDescent="0.2">
      <c r="A157" s="15" t="s">
        <v>358</v>
      </c>
      <c r="B157" s="16" t="s">
        <v>273</v>
      </c>
      <c r="C157" s="16" t="s">
        <v>109</v>
      </c>
      <c r="D157" s="17">
        <f>73.31*246/1000</f>
        <v>18.034260000000003</v>
      </c>
      <c r="E157" s="117" t="s">
        <v>359</v>
      </c>
      <c r="F157" s="115">
        <v>67000</v>
      </c>
      <c r="G157" s="115">
        <f>D157*F157</f>
        <v>1208295.4200000002</v>
      </c>
      <c r="H157" s="116"/>
      <c r="I157" s="116"/>
      <c r="J157" s="116">
        <f>G157</f>
        <v>1208295.4200000002</v>
      </c>
    </row>
    <row r="158" spans="1:10" ht="15" x14ac:dyDescent="0.2">
      <c r="A158" s="15" t="s">
        <v>360</v>
      </c>
      <c r="B158" s="16" t="s">
        <v>276</v>
      </c>
      <c r="C158" s="16" t="s">
        <v>109</v>
      </c>
      <c r="D158" s="56">
        <f>1.13*246/1000</f>
        <v>0.27797999999999995</v>
      </c>
      <c r="E158" s="117" t="s">
        <v>361</v>
      </c>
      <c r="F158" s="115">
        <v>59000</v>
      </c>
      <c r="G158" s="115">
        <f t="shared" ref="G158:G161" si="43">D158*F158</f>
        <v>16400.819999999996</v>
      </c>
      <c r="H158" s="116"/>
      <c r="I158" s="116"/>
      <c r="J158" s="116">
        <f t="shared" ref="J158:J161" si="44">G158</f>
        <v>16400.819999999996</v>
      </c>
    </row>
    <row r="159" spans="1:10" ht="15" x14ac:dyDescent="0.2">
      <c r="A159" s="15" t="s">
        <v>362</v>
      </c>
      <c r="B159" s="16" t="s">
        <v>279</v>
      </c>
      <c r="C159" s="16" t="s">
        <v>109</v>
      </c>
      <c r="D159" s="56">
        <f>1.28*246/1000</f>
        <v>0.31487999999999999</v>
      </c>
      <c r="E159" s="117" t="s">
        <v>363</v>
      </c>
      <c r="F159" s="115">
        <v>59000</v>
      </c>
      <c r="G159" s="115">
        <f t="shared" si="43"/>
        <v>18577.919999999998</v>
      </c>
      <c r="H159" s="116"/>
      <c r="I159" s="116"/>
      <c r="J159" s="116">
        <f t="shared" si="44"/>
        <v>18577.919999999998</v>
      </c>
    </row>
    <row r="160" spans="1:10" ht="15" x14ac:dyDescent="0.2">
      <c r="A160" s="15" t="s">
        <v>364</v>
      </c>
      <c r="B160" s="16" t="s">
        <v>282</v>
      </c>
      <c r="C160" s="16" t="s">
        <v>109</v>
      </c>
      <c r="D160" s="29">
        <f>0.46*246/1000</f>
        <v>0.11316000000000001</v>
      </c>
      <c r="E160" s="117" t="s">
        <v>365</v>
      </c>
      <c r="F160" s="115">
        <v>59000</v>
      </c>
      <c r="G160" s="115">
        <f t="shared" si="43"/>
        <v>6676.4400000000005</v>
      </c>
      <c r="H160" s="116"/>
      <c r="I160" s="116"/>
      <c r="J160" s="116">
        <f t="shared" si="44"/>
        <v>6676.4400000000005</v>
      </c>
    </row>
    <row r="161" spans="1:10" ht="15" x14ac:dyDescent="0.2">
      <c r="A161" s="15" t="s">
        <v>366</v>
      </c>
      <c r="B161" s="16" t="s">
        <v>285</v>
      </c>
      <c r="C161" s="16" t="s">
        <v>109</v>
      </c>
      <c r="D161" s="59">
        <f>2.87*246/1000</f>
        <v>0.70601999999999998</v>
      </c>
      <c r="E161" s="117" t="s">
        <v>367</v>
      </c>
      <c r="F161" s="115">
        <v>59000</v>
      </c>
      <c r="G161" s="115">
        <f t="shared" si="43"/>
        <v>41655.18</v>
      </c>
      <c r="H161" s="116"/>
      <c r="I161" s="116"/>
      <c r="J161" s="116">
        <f t="shared" si="44"/>
        <v>41655.18</v>
      </c>
    </row>
    <row r="162" spans="1:10" ht="15" x14ac:dyDescent="0.2">
      <c r="A162" s="15" t="s">
        <v>368</v>
      </c>
      <c r="B162" s="16" t="s">
        <v>288</v>
      </c>
      <c r="C162" s="16" t="s">
        <v>109</v>
      </c>
      <c r="D162" s="60">
        <f>0.37*246/1000</f>
        <v>9.101999999999999E-2</v>
      </c>
      <c r="E162" s="117" t="s">
        <v>369</v>
      </c>
      <c r="F162" s="115"/>
      <c r="G162" s="115"/>
      <c r="H162" s="116"/>
      <c r="I162" s="116"/>
      <c r="J162" s="116"/>
    </row>
    <row r="163" spans="1:10" ht="28.5" x14ac:dyDescent="0.2">
      <c r="A163" s="15" t="s">
        <v>370</v>
      </c>
      <c r="B163" s="25" t="s">
        <v>371</v>
      </c>
      <c r="C163" s="25" t="s">
        <v>109</v>
      </c>
      <c r="D163" s="58">
        <f>76.17*246/1000</f>
        <v>18.737819999999999</v>
      </c>
      <c r="E163" s="131"/>
      <c r="F163" s="115"/>
      <c r="G163" s="115"/>
      <c r="H163" s="116"/>
      <c r="I163" s="116"/>
      <c r="J163" s="116"/>
    </row>
    <row r="164" spans="1:10" ht="15" x14ac:dyDescent="0.2">
      <c r="A164" s="15" t="s">
        <v>372</v>
      </c>
      <c r="B164" s="16" t="s">
        <v>273</v>
      </c>
      <c r="C164" s="16" t="s">
        <v>109</v>
      </c>
      <c r="D164" s="17">
        <f>73.31*246/1000</f>
        <v>18.034260000000003</v>
      </c>
      <c r="E164" s="117" t="s">
        <v>359</v>
      </c>
      <c r="F164" s="115">
        <v>67000</v>
      </c>
      <c r="G164" s="115">
        <f>D164*F164</f>
        <v>1208295.4200000002</v>
      </c>
      <c r="H164" s="116"/>
      <c r="I164" s="116"/>
      <c r="J164" s="116">
        <f>G164</f>
        <v>1208295.4200000002</v>
      </c>
    </row>
    <row r="165" spans="1:10" ht="15" x14ac:dyDescent="0.2">
      <c r="A165" s="15" t="s">
        <v>373</v>
      </c>
      <c r="B165" s="16" t="s">
        <v>276</v>
      </c>
      <c r="C165" s="16" t="s">
        <v>109</v>
      </c>
      <c r="D165" s="56">
        <f>1.13*246/1000</f>
        <v>0.27797999999999995</v>
      </c>
      <c r="E165" s="117" t="s">
        <v>361</v>
      </c>
      <c r="F165" s="115">
        <v>59000</v>
      </c>
      <c r="G165" s="115">
        <f t="shared" ref="G165:G168" si="45">D165*F165</f>
        <v>16400.819999999996</v>
      </c>
      <c r="H165" s="116"/>
      <c r="I165" s="116"/>
      <c r="J165" s="116">
        <f t="shared" ref="J165:J168" si="46">G165</f>
        <v>16400.819999999996</v>
      </c>
    </row>
    <row r="166" spans="1:10" ht="15" x14ac:dyDescent="0.2">
      <c r="A166" s="15" t="s">
        <v>374</v>
      </c>
      <c r="B166" s="16" t="s">
        <v>279</v>
      </c>
      <c r="C166" s="16" t="s">
        <v>109</v>
      </c>
      <c r="D166" s="56">
        <f>1.28*246/1000</f>
        <v>0.31487999999999999</v>
      </c>
      <c r="E166" s="117" t="s">
        <v>363</v>
      </c>
      <c r="F166" s="115">
        <v>59000</v>
      </c>
      <c r="G166" s="115">
        <f t="shared" si="45"/>
        <v>18577.919999999998</v>
      </c>
      <c r="H166" s="116"/>
      <c r="I166" s="116"/>
      <c r="J166" s="116">
        <f t="shared" si="46"/>
        <v>18577.919999999998</v>
      </c>
    </row>
    <row r="167" spans="1:10" ht="15" x14ac:dyDescent="0.2">
      <c r="A167" s="15" t="s">
        <v>375</v>
      </c>
      <c r="B167" s="16" t="s">
        <v>282</v>
      </c>
      <c r="C167" s="16" t="s">
        <v>109</v>
      </c>
      <c r="D167" s="29">
        <f>0.46*246/1000</f>
        <v>0.11316000000000001</v>
      </c>
      <c r="E167" s="117" t="s">
        <v>365</v>
      </c>
      <c r="F167" s="115">
        <v>59000</v>
      </c>
      <c r="G167" s="115">
        <f t="shared" si="45"/>
        <v>6676.4400000000005</v>
      </c>
      <c r="H167" s="116"/>
      <c r="I167" s="116"/>
      <c r="J167" s="116">
        <f t="shared" si="46"/>
        <v>6676.4400000000005</v>
      </c>
    </row>
    <row r="168" spans="1:10" ht="15" x14ac:dyDescent="0.2">
      <c r="A168" s="15" t="s">
        <v>376</v>
      </c>
      <c r="B168" s="16" t="s">
        <v>285</v>
      </c>
      <c r="C168" s="16" t="s">
        <v>109</v>
      </c>
      <c r="D168" s="59">
        <f>2.87*246/1000</f>
        <v>0.70601999999999998</v>
      </c>
      <c r="E168" s="117" t="s">
        <v>367</v>
      </c>
      <c r="F168" s="115">
        <v>59000</v>
      </c>
      <c r="G168" s="115">
        <f t="shared" si="45"/>
        <v>41655.18</v>
      </c>
      <c r="H168" s="116"/>
      <c r="I168" s="116"/>
      <c r="J168" s="116">
        <f t="shared" si="46"/>
        <v>41655.18</v>
      </c>
    </row>
    <row r="169" spans="1:10" ht="15" x14ac:dyDescent="0.2">
      <c r="A169" s="15" t="s">
        <v>377</v>
      </c>
      <c r="B169" s="16" t="s">
        <v>288</v>
      </c>
      <c r="C169" s="16" t="s">
        <v>109</v>
      </c>
      <c r="D169" s="60">
        <f>0.37*246/1000</f>
        <v>9.101999999999999E-2</v>
      </c>
      <c r="E169" s="117" t="s">
        <v>369</v>
      </c>
      <c r="F169" s="115"/>
      <c r="G169" s="115"/>
      <c r="H169" s="116"/>
      <c r="I169" s="116"/>
      <c r="J169" s="116"/>
    </row>
    <row r="170" spans="1:10" ht="28.5" x14ac:dyDescent="0.2">
      <c r="A170" s="15" t="s">
        <v>378</v>
      </c>
      <c r="B170" s="25" t="s">
        <v>379</v>
      </c>
      <c r="C170" s="25" t="s">
        <v>109</v>
      </c>
      <c r="D170" s="61">
        <f>D171+D172+D173</f>
        <v>1.430982</v>
      </c>
      <c r="E170" s="131" t="s">
        <v>380</v>
      </c>
      <c r="F170" s="115"/>
      <c r="G170" s="115"/>
      <c r="H170" s="116"/>
      <c r="I170" s="116"/>
      <c r="J170" s="116"/>
    </row>
    <row r="171" spans="1:10" ht="15" x14ac:dyDescent="0.2">
      <c r="A171" s="15" t="s">
        <v>381</v>
      </c>
      <c r="B171" s="16" t="s">
        <v>306</v>
      </c>
      <c r="C171" s="16" t="s">
        <v>109</v>
      </c>
      <c r="D171" s="18">
        <f>0.86*246*3/1000</f>
        <v>0.63468000000000002</v>
      </c>
      <c r="E171" s="117" t="s">
        <v>382</v>
      </c>
      <c r="F171" s="115">
        <v>61000</v>
      </c>
      <c r="G171" s="115">
        <f>D171*F171</f>
        <v>38715.480000000003</v>
      </c>
      <c r="H171" s="116"/>
      <c r="I171" s="116"/>
      <c r="J171" s="116">
        <f>G171</f>
        <v>38715.480000000003</v>
      </c>
    </row>
    <row r="172" spans="1:10" ht="15" x14ac:dyDescent="0.2">
      <c r="A172" s="15" t="s">
        <v>383</v>
      </c>
      <c r="B172" s="16" t="s">
        <v>309</v>
      </c>
      <c r="C172" s="16" t="s">
        <v>109</v>
      </c>
      <c r="D172" s="29">
        <f>0.494*246*3/1000</f>
        <v>0.36457200000000001</v>
      </c>
      <c r="E172" s="117" t="s">
        <v>384</v>
      </c>
      <c r="F172" s="115">
        <v>59000</v>
      </c>
      <c r="G172" s="115">
        <f t="shared" ref="G172:G175" si="47">D172*F172</f>
        <v>21509.748</v>
      </c>
      <c r="H172" s="116"/>
      <c r="I172" s="116"/>
      <c r="J172" s="116">
        <f t="shared" ref="J172:J175" si="48">G172</f>
        <v>21509.748</v>
      </c>
    </row>
    <row r="173" spans="1:10" ht="15" x14ac:dyDescent="0.2">
      <c r="A173" s="15" t="s">
        <v>385</v>
      </c>
      <c r="B173" s="16" t="s">
        <v>312</v>
      </c>
      <c r="C173" s="16" t="s">
        <v>109</v>
      </c>
      <c r="D173" s="29">
        <f>0.585*246*3/1000</f>
        <v>0.43173</v>
      </c>
      <c r="E173" s="117" t="s">
        <v>386</v>
      </c>
      <c r="F173" s="115">
        <v>59000</v>
      </c>
      <c r="G173" s="115">
        <f t="shared" si="47"/>
        <v>25472.07</v>
      </c>
      <c r="H173" s="116"/>
      <c r="I173" s="116"/>
      <c r="J173" s="116">
        <f t="shared" si="48"/>
        <v>25472.07</v>
      </c>
    </row>
    <row r="174" spans="1:10" ht="15" x14ac:dyDescent="0.2">
      <c r="A174" s="15" t="s">
        <v>387</v>
      </c>
      <c r="B174" s="16" t="s">
        <v>285</v>
      </c>
      <c r="C174" s="19" t="s">
        <v>109</v>
      </c>
      <c r="D174" s="59">
        <f>0.03*39.25*246*3/1000</f>
        <v>0.86899500000000007</v>
      </c>
      <c r="E174" s="117" t="s">
        <v>338</v>
      </c>
      <c r="F174" s="115">
        <v>59000</v>
      </c>
      <c r="G174" s="115">
        <f t="shared" si="47"/>
        <v>51270.705000000002</v>
      </c>
      <c r="H174" s="116"/>
      <c r="I174" s="116"/>
      <c r="J174" s="116">
        <f t="shared" si="48"/>
        <v>51270.705000000002</v>
      </c>
    </row>
    <row r="175" spans="1:10" ht="15" x14ac:dyDescent="0.2">
      <c r="A175" s="15" t="s">
        <v>388</v>
      </c>
      <c r="B175" s="16" t="s">
        <v>288</v>
      </c>
      <c r="C175" s="19" t="s">
        <v>109</v>
      </c>
      <c r="D175" s="48">
        <f>0.1*246*3/1000</f>
        <v>7.3800000000000004E-2</v>
      </c>
      <c r="E175" s="117" t="s">
        <v>389</v>
      </c>
      <c r="F175" s="115">
        <v>59000</v>
      </c>
      <c r="G175" s="115">
        <f t="shared" si="47"/>
        <v>4354.2</v>
      </c>
      <c r="H175" s="116"/>
      <c r="I175" s="116"/>
      <c r="J175" s="116">
        <f t="shared" si="48"/>
        <v>4354.2</v>
      </c>
    </row>
    <row r="176" spans="1:10" ht="28.5" x14ac:dyDescent="0.2">
      <c r="A176" s="15" t="s">
        <v>390</v>
      </c>
      <c r="B176" s="25" t="s">
        <v>391</v>
      </c>
      <c r="C176" s="24" t="s">
        <v>109</v>
      </c>
      <c r="D176" s="55">
        <f t="shared" ref="D176:D177" si="49">1.81*246/1000</f>
        <v>0.44525999999999999</v>
      </c>
      <c r="E176" s="134"/>
      <c r="F176" s="115"/>
      <c r="G176" s="115"/>
      <c r="H176" s="116"/>
      <c r="I176" s="116"/>
      <c r="J176" s="116"/>
    </row>
    <row r="177" spans="1:10" ht="15" x14ac:dyDescent="0.2">
      <c r="A177" s="15" t="s">
        <v>392</v>
      </c>
      <c r="B177" s="16" t="s">
        <v>344</v>
      </c>
      <c r="C177" s="16" t="s">
        <v>109</v>
      </c>
      <c r="D177" s="62">
        <f t="shared" si="49"/>
        <v>0.44525999999999999</v>
      </c>
      <c r="E177" s="117" t="s">
        <v>393</v>
      </c>
      <c r="F177" s="115">
        <v>61000</v>
      </c>
      <c r="G177" s="115">
        <f>D177*F177</f>
        <v>27160.86</v>
      </c>
      <c r="H177" s="116"/>
      <c r="I177" s="116"/>
      <c r="J177" s="116">
        <f>G177</f>
        <v>27160.86</v>
      </c>
    </row>
    <row r="178" spans="1:10" ht="15" x14ac:dyDescent="0.2">
      <c r="A178" s="8" t="s">
        <v>394</v>
      </c>
      <c r="B178" s="9" t="s">
        <v>395</v>
      </c>
      <c r="C178" s="9" t="s">
        <v>109</v>
      </c>
      <c r="D178" s="63">
        <f>78.995*121/1000</f>
        <v>9.5583950000000009</v>
      </c>
      <c r="E178" s="122" t="s">
        <v>396</v>
      </c>
      <c r="F178" s="119"/>
      <c r="G178" s="119"/>
      <c r="H178" s="133">
        <v>169800</v>
      </c>
      <c r="I178" s="120">
        <f t="shared" ref="I178" si="50">D178*H178</f>
        <v>1623015.4710000001</v>
      </c>
      <c r="J178" s="120">
        <f>I178</f>
        <v>1623015.4710000001</v>
      </c>
    </row>
    <row r="179" spans="1:10" ht="30" x14ac:dyDescent="0.2">
      <c r="A179" s="15" t="s">
        <v>397</v>
      </c>
      <c r="B179" s="44" t="s">
        <v>398</v>
      </c>
      <c r="C179" s="21" t="s">
        <v>399</v>
      </c>
      <c r="D179" s="64">
        <f>121*2*4</f>
        <v>968</v>
      </c>
      <c r="E179" s="65" t="s">
        <v>656</v>
      </c>
      <c r="F179" s="115"/>
      <c r="G179" s="115"/>
      <c r="H179" s="116">
        <v>50</v>
      </c>
      <c r="I179" s="116">
        <f>D179*H179</f>
        <v>48400</v>
      </c>
      <c r="J179" s="116">
        <f>I179</f>
        <v>48400</v>
      </c>
    </row>
    <row r="180" spans="1:10" ht="28.5" x14ac:dyDescent="0.2">
      <c r="A180" s="15" t="s">
        <v>400</v>
      </c>
      <c r="B180" s="25" t="s">
        <v>401</v>
      </c>
      <c r="C180" s="25" t="s">
        <v>109</v>
      </c>
      <c r="D180" s="66">
        <f>D181+D182</f>
        <v>9.0193400000000015</v>
      </c>
      <c r="E180" s="131"/>
      <c r="F180" s="115"/>
      <c r="G180" s="115"/>
      <c r="H180" s="116"/>
      <c r="I180" s="116"/>
      <c r="J180" s="116"/>
    </row>
    <row r="181" spans="1:10" ht="15" x14ac:dyDescent="0.2">
      <c r="A181" s="15" t="s">
        <v>402</v>
      </c>
      <c r="B181" s="16" t="s">
        <v>332</v>
      </c>
      <c r="C181" s="19" t="s">
        <v>109</v>
      </c>
      <c r="D181" s="29">
        <f>73.53*121/1000</f>
        <v>8.8971300000000006</v>
      </c>
      <c r="E181" s="117" t="s">
        <v>333</v>
      </c>
      <c r="F181" s="115">
        <v>115000</v>
      </c>
      <c r="G181" s="115">
        <f>D181*F181</f>
        <v>1023169.9500000001</v>
      </c>
      <c r="H181" s="116"/>
      <c r="I181" s="116"/>
      <c r="J181" s="116">
        <f>G181</f>
        <v>1023169.9500000001</v>
      </c>
    </row>
    <row r="182" spans="1:10" ht="15" x14ac:dyDescent="0.2">
      <c r="A182" s="15" t="s">
        <v>403</v>
      </c>
      <c r="B182" s="16" t="s">
        <v>335</v>
      </c>
      <c r="C182" s="19" t="s">
        <v>109</v>
      </c>
      <c r="D182" s="67">
        <f>1.01*121/1000</f>
        <v>0.12221000000000001</v>
      </c>
      <c r="E182" s="117" t="s">
        <v>336</v>
      </c>
      <c r="F182" s="115">
        <v>59000</v>
      </c>
      <c r="G182" s="115">
        <f t="shared" ref="G182" si="51">D182*F182</f>
        <v>7210.39</v>
      </c>
      <c r="H182" s="116"/>
      <c r="I182" s="116"/>
      <c r="J182" s="116">
        <f t="shared" ref="J182" si="52">G182</f>
        <v>7210.39</v>
      </c>
    </row>
    <row r="183" spans="1:10" ht="15" x14ac:dyDescent="0.2">
      <c r="A183" s="15" t="s">
        <v>404</v>
      </c>
      <c r="B183" s="16" t="s">
        <v>288</v>
      </c>
      <c r="C183" s="19" t="s">
        <v>109</v>
      </c>
      <c r="D183" s="48">
        <f>0.23*121/1000</f>
        <v>2.7830000000000001E-2</v>
      </c>
      <c r="E183" s="117" t="s">
        <v>340</v>
      </c>
      <c r="F183" s="115"/>
      <c r="G183" s="115"/>
      <c r="H183" s="116"/>
      <c r="I183" s="116"/>
      <c r="J183" s="116"/>
    </row>
    <row r="184" spans="1:10" ht="15" x14ac:dyDescent="0.2">
      <c r="A184" s="15" t="s">
        <v>405</v>
      </c>
      <c r="B184" s="16" t="s">
        <v>285</v>
      </c>
      <c r="C184" s="19" t="s">
        <v>109</v>
      </c>
      <c r="D184" s="68">
        <f>1.01*121/1000</f>
        <v>0.12221000000000001</v>
      </c>
      <c r="E184" s="117" t="s">
        <v>338</v>
      </c>
      <c r="F184" s="115">
        <v>59000</v>
      </c>
      <c r="G184" s="115">
        <f t="shared" ref="G184" si="53">D184*F184</f>
        <v>7210.39</v>
      </c>
      <c r="H184" s="116"/>
      <c r="I184" s="116"/>
      <c r="J184" s="116">
        <f t="shared" ref="J184" si="54">G184</f>
        <v>7210.39</v>
      </c>
    </row>
    <row r="185" spans="1:10" ht="28.5" x14ac:dyDescent="0.2">
      <c r="A185" s="15" t="s">
        <v>406</v>
      </c>
      <c r="B185" s="25" t="s">
        <v>407</v>
      </c>
      <c r="C185" s="25" t="s">
        <v>109</v>
      </c>
      <c r="D185" s="52">
        <f>D186</f>
        <v>0.11229042</v>
      </c>
      <c r="E185" s="134"/>
      <c r="F185" s="115"/>
      <c r="G185" s="115"/>
      <c r="H185" s="116"/>
      <c r="I185" s="116"/>
      <c r="J185" s="116"/>
    </row>
    <row r="186" spans="1:10" ht="15" x14ac:dyDescent="0.2">
      <c r="A186" s="15" t="s">
        <v>408</v>
      </c>
      <c r="B186" s="16" t="s">
        <v>344</v>
      </c>
      <c r="C186" s="16" t="s">
        <v>109</v>
      </c>
      <c r="D186" s="56">
        <f>0.92802*121/1000</f>
        <v>0.11229042</v>
      </c>
      <c r="E186" s="117" t="s">
        <v>345</v>
      </c>
      <c r="F186" s="115">
        <v>61000</v>
      </c>
      <c r="G186" s="115">
        <f>D186*F186</f>
        <v>6849.7156199999999</v>
      </c>
      <c r="H186" s="116"/>
      <c r="I186" s="116"/>
      <c r="J186" s="116">
        <f>G186</f>
        <v>6849.7156199999999</v>
      </c>
    </row>
    <row r="187" spans="1:10" ht="28.5" x14ac:dyDescent="0.2">
      <c r="A187" s="15" t="s">
        <v>409</v>
      </c>
      <c r="B187" s="25" t="s">
        <v>410</v>
      </c>
      <c r="C187" s="25" t="s">
        <v>109</v>
      </c>
      <c r="D187" s="66">
        <f>D188</f>
        <v>0.53905500000000006</v>
      </c>
      <c r="E187" s="134"/>
      <c r="F187" s="115"/>
      <c r="G187" s="115"/>
      <c r="H187" s="116"/>
      <c r="I187" s="116"/>
      <c r="J187" s="116"/>
    </row>
    <row r="188" spans="1:10" ht="15" x14ac:dyDescent="0.2">
      <c r="A188" s="15" t="s">
        <v>411</v>
      </c>
      <c r="B188" s="16" t="s">
        <v>349</v>
      </c>
      <c r="C188" s="16" t="s">
        <v>109</v>
      </c>
      <c r="D188" s="69">
        <f>27*0.165*121/1000</f>
        <v>0.53905500000000006</v>
      </c>
      <c r="E188" s="117" t="s">
        <v>412</v>
      </c>
      <c r="F188" s="115">
        <v>59000</v>
      </c>
      <c r="G188" s="115">
        <f t="shared" ref="G188" si="55">D188*F188</f>
        <v>31804.245000000003</v>
      </c>
      <c r="H188" s="116"/>
      <c r="I188" s="116"/>
      <c r="J188" s="116">
        <f t="shared" ref="J188" si="56">G188</f>
        <v>31804.245000000003</v>
      </c>
    </row>
    <row r="189" spans="1:10" ht="28.5" x14ac:dyDescent="0.2">
      <c r="A189" s="15" t="s">
        <v>413</v>
      </c>
      <c r="B189" s="25" t="s">
        <v>414</v>
      </c>
      <c r="C189" s="51" t="s">
        <v>109</v>
      </c>
      <c r="D189" s="70">
        <f>D190</f>
        <v>0.19360000000000002</v>
      </c>
      <c r="E189" s="134"/>
      <c r="F189" s="115"/>
      <c r="G189" s="115"/>
      <c r="H189" s="116"/>
      <c r="I189" s="116"/>
      <c r="J189" s="116"/>
    </row>
    <row r="190" spans="1:10" ht="15" x14ac:dyDescent="0.2">
      <c r="A190" s="15" t="s">
        <v>415</v>
      </c>
      <c r="B190" s="44" t="s">
        <v>416</v>
      </c>
      <c r="C190" s="19" t="s">
        <v>109</v>
      </c>
      <c r="D190" s="71">
        <f>1.6*121/1000</f>
        <v>0.19360000000000002</v>
      </c>
      <c r="E190" s="117" t="s">
        <v>417</v>
      </c>
      <c r="F190" s="115">
        <f>G190/D190</f>
        <v>224999.99999999997</v>
      </c>
      <c r="G190" s="115">
        <f>180*2*121</f>
        <v>43560</v>
      </c>
      <c r="H190" s="116"/>
      <c r="I190" s="116"/>
      <c r="J190" s="116">
        <f>G190</f>
        <v>43560</v>
      </c>
    </row>
    <row r="191" spans="1:10" ht="30" x14ac:dyDescent="0.2">
      <c r="A191" s="15" t="s">
        <v>418</v>
      </c>
      <c r="B191" s="44" t="s">
        <v>419</v>
      </c>
      <c r="C191" s="19" t="s">
        <v>399</v>
      </c>
      <c r="D191" s="72">
        <v>242</v>
      </c>
      <c r="E191" s="117"/>
      <c r="F191" s="115"/>
      <c r="G191" s="115"/>
      <c r="H191" s="116">
        <f>55*4</f>
        <v>220</v>
      </c>
      <c r="I191" s="116">
        <f>D191*H191</f>
        <v>53240</v>
      </c>
      <c r="J191" s="116">
        <f>I191</f>
        <v>53240</v>
      </c>
    </row>
    <row r="192" spans="1:10" ht="28.5" x14ac:dyDescent="0.2">
      <c r="A192" s="15" t="s">
        <v>420</v>
      </c>
      <c r="B192" s="25" t="s">
        <v>421</v>
      </c>
      <c r="C192" s="51"/>
      <c r="D192" s="73"/>
      <c r="E192" s="135"/>
      <c r="F192" s="115"/>
      <c r="G192" s="115"/>
      <c r="H192" s="116"/>
      <c r="I192" s="116"/>
      <c r="J192" s="116"/>
    </row>
    <row r="193" spans="1:10" ht="23.25" customHeight="1" x14ac:dyDescent="0.2">
      <c r="A193" s="15" t="s">
        <v>422</v>
      </c>
      <c r="B193" s="44" t="s">
        <v>423</v>
      </c>
      <c r="C193" s="74" t="s">
        <v>424</v>
      </c>
      <c r="D193" s="75">
        <f>40*121</f>
        <v>4840</v>
      </c>
      <c r="E193" s="75"/>
      <c r="F193" s="115">
        <v>19.89</v>
      </c>
      <c r="G193" s="115">
        <f>D193*F193</f>
        <v>96267.6</v>
      </c>
      <c r="H193" s="116"/>
      <c r="I193" s="116"/>
      <c r="J193" s="116">
        <f>G193</f>
        <v>96267.6</v>
      </c>
    </row>
    <row r="194" spans="1:10" ht="15" x14ac:dyDescent="0.2">
      <c r="A194" s="15" t="s">
        <v>425</v>
      </c>
      <c r="B194" s="16" t="s">
        <v>285</v>
      </c>
      <c r="C194" s="19" t="s">
        <v>109</v>
      </c>
      <c r="D194" s="76">
        <f>4.46*121/1000</f>
        <v>0.53965999999999992</v>
      </c>
      <c r="E194" s="136" t="s">
        <v>426</v>
      </c>
      <c r="F194" s="115">
        <v>59000</v>
      </c>
      <c r="G194" s="115">
        <f t="shared" ref="G194" si="57">D194*F194</f>
        <v>31839.939999999995</v>
      </c>
      <c r="H194" s="116"/>
      <c r="I194" s="116"/>
      <c r="J194" s="116">
        <f t="shared" ref="J194" si="58">G194</f>
        <v>31839.939999999995</v>
      </c>
    </row>
    <row r="195" spans="1:10" ht="15" x14ac:dyDescent="0.2">
      <c r="A195" s="15" t="s">
        <v>427</v>
      </c>
      <c r="B195" s="121" t="s">
        <v>428</v>
      </c>
      <c r="C195" s="26"/>
      <c r="D195" s="44"/>
      <c r="E195" s="134" t="s">
        <v>263</v>
      </c>
      <c r="F195" s="115"/>
      <c r="G195" s="115"/>
      <c r="H195" s="116"/>
      <c r="I195" s="116"/>
      <c r="J195" s="116"/>
    </row>
    <row r="196" spans="1:10" ht="15" x14ac:dyDescent="0.2">
      <c r="A196" s="15" t="s">
        <v>429</v>
      </c>
      <c r="B196" s="90" t="s">
        <v>241</v>
      </c>
      <c r="C196" s="21" t="s">
        <v>8</v>
      </c>
      <c r="D196" s="44">
        <v>37.304000000000002</v>
      </c>
      <c r="E196" s="117"/>
      <c r="F196" s="115"/>
      <c r="G196" s="115"/>
      <c r="H196" s="116">
        <v>300</v>
      </c>
      <c r="I196" s="116">
        <f>D196*H196</f>
        <v>11191.2</v>
      </c>
      <c r="J196" s="116">
        <f>I196</f>
        <v>11191.2</v>
      </c>
    </row>
    <row r="197" spans="1:10" ht="45" x14ac:dyDescent="0.2">
      <c r="A197" s="15" t="s">
        <v>430</v>
      </c>
      <c r="B197" s="90" t="s">
        <v>431</v>
      </c>
      <c r="C197" s="21" t="s">
        <v>8</v>
      </c>
      <c r="D197" s="77">
        <v>2981.4679999999998</v>
      </c>
      <c r="E197" s="117" t="s">
        <v>432</v>
      </c>
      <c r="F197" s="115"/>
      <c r="G197" s="115"/>
      <c r="H197" s="116">
        <v>300</v>
      </c>
      <c r="I197" s="116">
        <f>D197*H197</f>
        <v>894440.39999999991</v>
      </c>
      <c r="J197" s="116">
        <f t="shared" ref="J197" si="59">I197</f>
        <v>894440.39999999991</v>
      </c>
    </row>
    <row r="198" spans="1:10" ht="15" x14ac:dyDescent="0.2">
      <c r="A198" s="15" t="s">
        <v>433</v>
      </c>
      <c r="B198" s="90" t="s">
        <v>246</v>
      </c>
      <c r="C198" s="16" t="s">
        <v>32</v>
      </c>
      <c r="D198" s="42">
        <f>D197*0.115</f>
        <v>342.86881999999997</v>
      </c>
      <c r="E198" s="129" t="s">
        <v>434</v>
      </c>
      <c r="F198" s="115">
        <f>250*0.2</f>
        <v>50</v>
      </c>
      <c r="G198" s="115">
        <f>D197*F198</f>
        <v>149073.4</v>
      </c>
      <c r="H198" s="116"/>
      <c r="I198" s="116"/>
      <c r="J198" s="116">
        <f>G198</f>
        <v>149073.4</v>
      </c>
    </row>
    <row r="199" spans="1:10" ht="15" x14ac:dyDescent="0.2">
      <c r="A199" s="15" t="s">
        <v>435</v>
      </c>
      <c r="B199" s="90" t="s">
        <v>249</v>
      </c>
      <c r="C199" s="16" t="s">
        <v>8</v>
      </c>
      <c r="D199" s="42">
        <f>2981.468*2</f>
        <v>5962.9359999999997</v>
      </c>
      <c r="E199" s="74"/>
      <c r="F199" s="115"/>
      <c r="G199" s="115"/>
      <c r="H199" s="116">
        <v>350</v>
      </c>
      <c r="I199" s="116">
        <f>D199*H199</f>
        <v>2087027.5999999999</v>
      </c>
      <c r="J199" s="116">
        <f t="shared" ref="J199:J201" si="60">I199</f>
        <v>2087027.5999999999</v>
      </c>
    </row>
    <row r="200" spans="1:10" ht="15" x14ac:dyDescent="0.2">
      <c r="A200" s="15" t="s">
        <v>436</v>
      </c>
      <c r="B200" s="90" t="s">
        <v>251</v>
      </c>
      <c r="C200" s="16" t="s">
        <v>32</v>
      </c>
      <c r="D200" s="42">
        <f>D199*0.1</f>
        <v>596.29359999999997</v>
      </c>
      <c r="E200" s="117" t="s">
        <v>252</v>
      </c>
      <c r="F200" s="115">
        <f>3000/20</f>
        <v>150</v>
      </c>
      <c r="G200" s="115">
        <f>D200*F200</f>
        <v>89444.04</v>
      </c>
      <c r="H200" s="116"/>
      <c r="I200" s="116"/>
      <c r="J200" s="116">
        <f>G200</f>
        <v>89444.04</v>
      </c>
    </row>
    <row r="201" spans="1:10" ht="30" x14ac:dyDescent="0.2">
      <c r="A201" s="15" t="s">
        <v>437</v>
      </c>
      <c r="B201" s="90" t="s">
        <v>254</v>
      </c>
      <c r="C201" s="16" t="s">
        <v>8</v>
      </c>
      <c r="D201" s="44">
        <f>2981.468</f>
        <v>2981.4679999999998</v>
      </c>
      <c r="E201" s="74"/>
      <c r="F201" s="115"/>
      <c r="G201" s="115"/>
      <c r="H201" s="116">
        <v>550</v>
      </c>
      <c r="I201" s="116">
        <f>D201*H201</f>
        <v>1639807.4</v>
      </c>
      <c r="J201" s="116">
        <f t="shared" si="60"/>
        <v>1639807.4</v>
      </c>
    </row>
    <row r="202" spans="1:10" ht="15" x14ac:dyDescent="0.2">
      <c r="A202" s="15" t="s">
        <v>438</v>
      </c>
      <c r="B202" s="90" t="s">
        <v>256</v>
      </c>
      <c r="C202" s="16" t="s">
        <v>32</v>
      </c>
      <c r="D202" s="43">
        <f>D201*1.5</f>
        <v>4472.2019999999993</v>
      </c>
      <c r="E202" s="117" t="s">
        <v>257</v>
      </c>
      <c r="F202" s="115">
        <v>980</v>
      </c>
      <c r="G202" s="115">
        <f>D202*F202</f>
        <v>4382757.959999999</v>
      </c>
      <c r="H202" s="116"/>
      <c r="I202" s="116"/>
      <c r="J202" s="116">
        <f>G202</f>
        <v>4382757.959999999</v>
      </c>
    </row>
    <row r="203" spans="1:10" ht="15" x14ac:dyDescent="0.2">
      <c r="A203" s="8" t="s">
        <v>439</v>
      </c>
      <c r="B203" s="22" t="s">
        <v>440</v>
      </c>
      <c r="C203" s="5"/>
      <c r="D203" s="22"/>
      <c r="E203" s="137"/>
      <c r="F203" s="119"/>
      <c r="G203" s="119"/>
      <c r="H203" s="120"/>
      <c r="I203" s="120"/>
      <c r="J203" s="120"/>
    </row>
    <row r="204" spans="1:10" ht="30" x14ac:dyDescent="0.2">
      <c r="A204" s="15" t="s">
        <v>441</v>
      </c>
      <c r="B204" s="16" t="s">
        <v>442</v>
      </c>
      <c r="C204" s="16" t="s">
        <v>8</v>
      </c>
      <c r="D204" s="16">
        <v>17.846</v>
      </c>
      <c r="E204" s="134" t="s">
        <v>443</v>
      </c>
      <c r="F204" s="115"/>
      <c r="G204" s="115"/>
      <c r="H204" s="116">
        <v>675</v>
      </c>
      <c r="I204" s="116">
        <f>D204*H204</f>
        <v>12046.05</v>
      </c>
      <c r="J204" s="116">
        <f>I204</f>
        <v>12046.05</v>
      </c>
    </row>
    <row r="205" spans="1:10" ht="15" x14ac:dyDescent="0.2">
      <c r="A205" s="8" t="s">
        <v>444</v>
      </c>
      <c r="B205" s="45" t="s">
        <v>445</v>
      </c>
      <c r="C205" s="78" t="s">
        <v>109</v>
      </c>
      <c r="D205" s="79">
        <f>D207+D209+D211</f>
        <v>7.8634451999999992</v>
      </c>
      <c r="E205" s="132" t="s">
        <v>446</v>
      </c>
      <c r="F205" s="119"/>
      <c r="G205" s="119"/>
      <c r="H205" s="120">
        <v>358660.48</v>
      </c>
      <c r="I205" s="120">
        <f t="shared" ref="I205" si="61">D205*H205</f>
        <v>2820307.0298856958</v>
      </c>
      <c r="J205" s="120">
        <f>I205</f>
        <v>2820307.0298856958</v>
      </c>
    </row>
    <row r="206" spans="1:10" ht="15" x14ac:dyDescent="0.2">
      <c r="A206" s="15" t="s">
        <v>447</v>
      </c>
      <c r="B206" s="25" t="s">
        <v>448</v>
      </c>
      <c r="C206" s="51"/>
      <c r="D206" s="80"/>
      <c r="E206" s="131"/>
      <c r="F206" s="115"/>
      <c r="G206" s="115"/>
      <c r="H206" s="116"/>
      <c r="I206" s="116"/>
      <c r="J206" s="116"/>
    </row>
    <row r="207" spans="1:10" ht="15" x14ac:dyDescent="0.2">
      <c r="A207" s="15" t="s">
        <v>449</v>
      </c>
      <c r="B207" s="21" t="s">
        <v>450</v>
      </c>
      <c r="C207" s="26" t="s">
        <v>109</v>
      </c>
      <c r="D207" s="81">
        <f>16*6.17*17/1000</f>
        <v>1.67824</v>
      </c>
      <c r="E207" s="134" t="s">
        <v>451</v>
      </c>
      <c r="F207" s="115">
        <v>59000</v>
      </c>
      <c r="G207" s="115">
        <f>D207*F207</f>
        <v>99016.16</v>
      </c>
      <c r="H207" s="116"/>
      <c r="I207" s="116"/>
      <c r="J207" s="116">
        <f>G207</f>
        <v>99016.16</v>
      </c>
    </row>
    <row r="208" spans="1:10" ht="15" x14ac:dyDescent="0.2">
      <c r="A208" s="15" t="s">
        <v>452</v>
      </c>
      <c r="B208" s="25" t="s">
        <v>453</v>
      </c>
      <c r="C208" s="26"/>
      <c r="D208" s="82"/>
      <c r="E208" s="134"/>
      <c r="F208" s="115"/>
      <c r="G208" s="115"/>
      <c r="H208" s="116"/>
      <c r="I208" s="116"/>
      <c r="J208" s="116"/>
    </row>
    <row r="209" spans="1:10" ht="15" x14ac:dyDescent="0.2">
      <c r="A209" s="15" t="s">
        <v>454</v>
      </c>
      <c r="B209" s="21" t="s">
        <v>455</v>
      </c>
      <c r="C209" s="26" t="s">
        <v>109</v>
      </c>
      <c r="D209" s="83">
        <f>10.28*3.77*17/1000</f>
        <v>0.65884520000000002</v>
      </c>
      <c r="E209" s="134" t="s">
        <v>456</v>
      </c>
      <c r="F209" s="115">
        <v>65000</v>
      </c>
      <c r="G209" s="115">
        <f>D209*F209</f>
        <v>42824.938000000002</v>
      </c>
      <c r="H209" s="116"/>
      <c r="I209" s="116"/>
      <c r="J209" s="116">
        <f>G209</f>
        <v>42824.938000000002</v>
      </c>
    </row>
    <row r="210" spans="1:10" ht="15" x14ac:dyDescent="0.2">
      <c r="A210" s="15" t="s">
        <v>457</v>
      </c>
      <c r="B210" s="25" t="s">
        <v>458</v>
      </c>
      <c r="C210" s="26"/>
      <c r="D210" s="51"/>
      <c r="E210" s="134"/>
      <c r="F210" s="115"/>
      <c r="G210" s="115"/>
      <c r="H210" s="116"/>
      <c r="I210" s="116"/>
      <c r="J210" s="116"/>
    </row>
    <row r="211" spans="1:10" ht="15" x14ac:dyDescent="0.2">
      <c r="A211" s="15" t="s">
        <v>459</v>
      </c>
      <c r="B211" s="21" t="s">
        <v>460</v>
      </c>
      <c r="C211" s="26" t="s">
        <v>109</v>
      </c>
      <c r="D211" s="83">
        <f>24.08*13.5*17/1000</f>
        <v>5.5263599999999995</v>
      </c>
      <c r="E211" s="134" t="s">
        <v>461</v>
      </c>
      <c r="F211" s="115">
        <v>65000</v>
      </c>
      <c r="G211" s="115">
        <f>D211*F211</f>
        <v>359213.39999999997</v>
      </c>
      <c r="H211" s="116"/>
      <c r="I211" s="116"/>
      <c r="J211" s="116">
        <f>G211</f>
        <v>359213.39999999997</v>
      </c>
    </row>
    <row r="212" spans="1:10" ht="15" x14ac:dyDescent="0.2">
      <c r="A212" s="8" t="s">
        <v>462</v>
      </c>
      <c r="B212" s="45" t="s">
        <v>463</v>
      </c>
      <c r="C212" s="78" t="s">
        <v>109</v>
      </c>
      <c r="D212" s="79">
        <f>D214+D216</f>
        <v>0.27495120000000001</v>
      </c>
      <c r="E212" s="132" t="s">
        <v>464</v>
      </c>
      <c r="F212" s="119"/>
      <c r="G212" s="119"/>
      <c r="H212" s="120">
        <v>358660.48</v>
      </c>
      <c r="I212" s="120">
        <f t="shared" ref="I212" si="62">D212*H212</f>
        <v>98614.129368576003</v>
      </c>
      <c r="J212" s="120">
        <f>I212</f>
        <v>98614.129368576003</v>
      </c>
    </row>
    <row r="213" spans="1:10" ht="15" x14ac:dyDescent="0.2">
      <c r="A213" s="15" t="s">
        <v>465</v>
      </c>
      <c r="B213" s="25" t="s">
        <v>448</v>
      </c>
      <c r="C213" s="51"/>
      <c r="D213" s="80"/>
      <c r="E213" s="131"/>
      <c r="F213" s="115"/>
      <c r="G213" s="115"/>
      <c r="H213" s="116"/>
      <c r="I213" s="116"/>
      <c r="J213" s="116"/>
    </row>
    <row r="214" spans="1:10" ht="15" x14ac:dyDescent="0.2">
      <c r="A214" s="15" t="s">
        <v>466</v>
      </c>
      <c r="B214" s="21" t="s">
        <v>450</v>
      </c>
      <c r="C214" s="26" t="s">
        <v>109</v>
      </c>
      <c r="D214" s="81">
        <f>16*6.17*2/1000</f>
        <v>0.19744</v>
      </c>
      <c r="E214" s="134" t="s">
        <v>451</v>
      </c>
      <c r="F214" s="115">
        <v>59000</v>
      </c>
      <c r="G214" s="115">
        <f>D214*F214</f>
        <v>11648.960000000001</v>
      </c>
      <c r="H214" s="116"/>
      <c r="I214" s="116"/>
      <c r="J214" s="116">
        <f>G214</f>
        <v>11648.960000000001</v>
      </c>
    </row>
    <row r="215" spans="1:10" ht="15" x14ac:dyDescent="0.2">
      <c r="A215" s="15" t="s">
        <v>467</v>
      </c>
      <c r="B215" s="25" t="s">
        <v>453</v>
      </c>
      <c r="C215" s="26"/>
      <c r="D215" s="82"/>
      <c r="E215" s="134"/>
      <c r="F215" s="115"/>
      <c r="G215" s="115"/>
      <c r="H215" s="116"/>
      <c r="I215" s="116"/>
      <c r="J215" s="116"/>
    </row>
    <row r="216" spans="1:10" ht="15" x14ac:dyDescent="0.2">
      <c r="A216" s="15" t="s">
        <v>468</v>
      </c>
      <c r="B216" s="21" t="s">
        <v>455</v>
      </c>
      <c r="C216" s="26" t="s">
        <v>109</v>
      </c>
      <c r="D216" s="83">
        <f>10.28*3.77*2/1000</f>
        <v>7.7511200000000002E-2</v>
      </c>
      <c r="E216" s="134" t="s">
        <v>456</v>
      </c>
      <c r="F216" s="115">
        <v>65000</v>
      </c>
      <c r="G216" s="115">
        <f>D216*F216</f>
        <v>5038.2280000000001</v>
      </c>
      <c r="H216" s="116"/>
      <c r="I216" s="116"/>
      <c r="J216" s="116">
        <f>G216</f>
        <v>5038.2280000000001</v>
      </c>
    </row>
    <row r="217" spans="1:10" ht="15" x14ac:dyDescent="0.2">
      <c r="A217" s="8" t="s">
        <v>469</v>
      </c>
      <c r="B217" s="45" t="s">
        <v>470</v>
      </c>
      <c r="C217" s="78" t="s">
        <v>109</v>
      </c>
      <c r="D217" s="79">
        <f>D219</f>
        <v>0.13203519999999999</v>
      </c>
      <c r="E217" s="132" t="s">
        <v>471</v>
      </c>
      <c r="F217" s="119"/>
      <c r="G217" s="119"/>
      <c r="H217" s="120">
        <v>358660.48</v>
      </c>
      <c r="I217" s="120">
        <f t="shared" ref="I217" si="63">D217*H217</f>
        <v>47355.808208895993</v>
      </c>
      <c r="J217" s="120">
        <f>I217</f>
        <v>47355.808208895993</v>
      </c>
    </row>
    <row r="218" spans="1:10" ht="15" x14ac:dyDescent="0.2">
      <c r="A218" s="15" t="s">
        <v>472</v>
      </c>
      <c r="B218" s="25" t="s">
        <v>473</v>
      </c>
      <c r="C218" s="51"/>
      <c r="D218" s="51"/>
      <c r="E218" s="131"/>
      <c r="F218" s="115"/>
      <c r="G218" s="115"/>
      <c r="H218" s="116"/>
      <c r="I218" s="116"/>
      <c r="J218" s="116"/>
    </row>
    <row r="219" spans="1:10" ht="15" x14ac:dyDescent="0.2">
      <c r="A219" s="15" t="s">
        <v>474</v>
      </c>
      <c r="B219" s="21" t="s">
        <v>475</v>
      </c>
      <c r="C219" s="26" t="s">
        <v>109</v>
      </c>
      <c r="D219" s="81">
        <f>6.82*2.42*8/1000</f>
        <v>0.13203519999999999</v>
      </c>
      <c r="E219" s="134" t="s">
        <v>476</v>
      </c>
      <c r="F219" s="115">
        <v>57000</v>
      </c>
      <c r="G219" s="115">
        <f>D219*F219</f>
        <v>7526.0063999999993</v>
      </c>
      <c r="H219" s="116"/>
      <c r="I219" s="116"/>
      <c r="J219" s="116">
        <f>G219</f>
        <v>7526.0063999999993</v>
      </c>
    </row>
    <row r="220" spans="1:10" ht="15" x14ac:dyDescent="0.2">
      <c r="A220" s="8" t="s">
        <v>477</v>
      </c>
      <c r="B220" s="45" t="s">
        <v>478</v>
      </c>
      <c r="C220" s="84"/>
      <c r="D220" s="84"/>
      <c r="E220" s="138"/>
      <c r="F220" s="119"/>
      <c r="G220" s="119"/>
      <c r="H220" s="120"/>
      <c r="I220" s="120"/>
      <c r="J220" s="120"/>
    </row>
    <row r="221" spans="1:10" ht="15" x14ac:dyDescent="0.2">
      <c r="A221" s="8" t="s">
        <v>479</v>
      </c>
      <c r="B221" s="139" t="s">
        <v>480</v>
      </c>
      <c r="C221" s="85" t="s">
        <v>109</v>
      </c>
      <c r="D221" s="86">
        <f>D222</f>
        <v>1.2779208</v>
      </c>
      <c r="E221" s="65" t="s">
        <v>481</v>
      </c>
      <c r="F221" s="119"/>
      <c r="G221" s="119"/>
      <c r="H221" s="120">
        <v>358660.48</v>
      </c>
      <c r="I221" s="120">
        <f t="shared" ref="I221" si="64">D221*H221</f>
        <v>458339.68752998399</v>
      </c>
      <c r="J221" s="120">
        <f>I221</f>
        <v>458339.68752998399</v>
      </c>
    </row>
    <row r="222" spans="1:10" ht="15" x14ac:dyDescent="0.2">
      <c r="A222" s="15" t="s">
        <v>482</v>
      </c>
      <c r="B222" s="16" t="s">
        <v>483</v>
      </c>
      <c r="C222" s="26" t="s">
        <v>109</v>
      </c>
      <c r="D222" s="62">
        <f>11.07*4.81*24/1000</f>
        <v>1.2779208</v>
      </c>
      <c r="E222" s="117" t="s">
        <v>484</v>
      </c>
      <c r="F222" s="115">
        <v>57000</v>
      </c>
      <c r="G222" s="115">
        <f>D222*F222</f>
        <v>72841.4856</v>
      </c>
      <c r="H222" s="116"/>
      <c r="I222" s="116"/>
      <c r="J222" s="116">
        <f>G222</f>
        <v>72841.4856</v>
      </c>
    </row>
    <row r="223" spans="1:10" ht="15" x14ac:dyDescent="0.2">
      <c r="A223" s="15" t="s">
        <v>485</v>
      </c>
      <c r="B223" s="121" t="s">
        <v>131</v>
      </c>
      <c r="C223" s="26" t="s">
        <v>109</v>
      </c>
      <c r="D223" s="87">
        <f>57.829/1000</f>
        <v>5.7828999999999998E-2</v>
      </c>
      <c r="E223" s="134" t="s">
        <v>486</v>
      </c>
      <c r="F223" s="115"/>
      <c r="G223" s="115"/>
      <c r="H223" s="116"/>
      <c r="I223" s="116"/>
      <c r="J223" s="116"/>
    </row>
    <row r="224" spans="1:10" ht="15" x14ac:dyDescent="0.2">
      <c r="A224" s="15" t="s">
        <v>487</v>
      </c>
      <c r="B224" s="121" t="s">
        <v>428</v>
      </c>
      <c r="C224" s="26"/>
      <c r="D224" s="44"/>
      <c r="E224" s="134" t="s">
        <v>443</v>
      </c>
      <c r="F224" s="115"/>
      <c r="G224" s="115"/>
      <c r="H224" s="116"/>
      <c r="I224" s="116"/>
      <c r="J224" s="116"/>
    </row>
    <row r="225" spans="1:10" ht="15" x14ac:dyDescent="0.2">
      <c r="A225" s="15" t="s">
        <v>488</v>
      </c>
      <c r="B225" s="90" t="s">
        <v>241</v>
      </c>
      <c r="C225" s="21" t="s">
        <v>8</v>
      </c>
      <c r="D225" s="16">
        <v>436.37</v>
      </c>
      <c r="E225" s="117"/>
      <c r="F225" s="115"/>
      <c r="G225" s="115"/>
      <c r="H225" s="116">
        <v>300</v>
      </c>
      <c r="I225" s="116">
        <f>D225*H225</f>
        <v>130911</v>
      </c>
      <c r="J225" s="116">
        <f>I225</f>
        <v>130911</v>
      </c>
    </row>
    <row r="226" spans="1:10" ht="45" x14ac:dyDescent="0.2">
      <c r="A226" s="15" t="s">
        <v>489</v>
      </c>
      <c r="B226" s="90" t="s">
        <v>431</v>
      </c>
      <c r="C226" s="21" t="s">
        <v>8</v>
      </c>
      <c r="D226" s="44">
        <v>436.37</v>
      </c>
      <c r="E226" s="117" t="s">
        <v>432</v>
      </c>
      <c r="F226" s="115"/>
      <c r="G226" s="115"/>
      <c r="H226" s="116">
        <v>300</v>
      </c>
      <c r="I226" s="116">
        <f>D226*H226</f>
        <v>130911</v>
      </c>
      <c r="J226" s="116">
        <f>I226</f>
        <v>130911</v>
      </c>
    </row>
    <row r="227" spans="1:10" ht="15" x14ac:dyDescent="0.2">
      <c r="A227" s="15" t="s">
        <v>490</v>
      </c>
      <c r="B227" s="90" t="s">
        <v>246</v>
      </c>
      <c r="C227" s="16" t="s">
        <v>32</v>
      </c>
      <c r="D227" s="42">
        <f>D226*0.115</f>
        <v>50.182550000000006</v>
      </c>
      <c r="E227" s="129" t="s">
        <v>434</v>
      </c>
      <c r="F227" s="115">
        <f>250*0.2</f>
        <v>50</v>
      </c>
      <c r="G227" s="115">
        <f>D226*F227</f>
        <v>21818.5</v>
      </c>
      <c r="H227" s="116"/>
      <c r="I227" s="116"/>
      <c r="J227" s="116">
        <f>G227</f>
        <v>21818.5</v>
      </c>
    </row>
    <row r="228" spans="1:10" ht="15" x14ac:dyDescent="0.2">
      <c r="A228" s="15" t="s">
        <v>491</v>
      </c>
      <c r="B228" s="90" t="s">
        <v>249</v>
      </c>
      <c r="C228" s="16" t="s">
        <v>8</v>
      </c>
      <c r="D228" s="42">
        <f>436.371*2</f>
        <v>872.74199999999996</v>
      </c>
      <c r="E228" s="74"/>
      <c r="F228" s="115"/>
      <c r="G228" s="115"/>
      <c r="H228" s="116">
        <v>350</v>
      </c>
      <c r="I228" s="116">
        <f>D228*H228</f>
        <v>305459.7</v>
      </c>
      <c r="J228" s="116">
        <f t="shared" ref="J228:J230" si="65">I228</f>
        <v>305459.7</v>
      </c>
    </row>
    <row r="229" spans="1:10" ht="15" x14ac:dyDescent="0.2">
      <c r="A229" s="15" t="s">
        <v>492</v>
      </c>
      <c r="B229" s="90" t="s">
        <v>251</v>
      </c>
      <c r="C229" s="16" t="s">
        <v>32</v>
      </c>
      <c r="D229" s="42">
        <f>D228*0.1</f>
        <v>87.274200000000008</v>
      </c>
      <c r="E229" s="117" t="s">
        <v>252</v>
      </c>
      <c r="F229" s="115">
        <f>3000/20</f>
        <v>150</v>
      </c>
      <c r="G229" s="115">
        <f>D229*F229</f>
        <v>13091.130000000001</v>
      </c>
      <c r="H229" s="116"/>
      <c r="I229" s="116"/>
      <c r="J229" s="116">
        <f>G229</f>
        <v>13091.130000000001</v>
      </c>
    </row>
    <row r="230" spans="1:10" ht="30" x14ac:dyDescent="0.2">
      <c r="A230" s="15" t="s">
        <v>493</v>
      </c>
      <c r="B230" s="90" t="s">
        <v>254</v>
      </c>
      <c r="C230" s="16" t="s">
        <v>8</v>
      </c>
      <c r="D230" s="77">
        <f>436.371</f>
        <v>436.37099999999998</v>
      </c>
      <c r="E230" s="74"/>
      <c r="F230" s="115"/>
      <c r="G230" s="115"/>
      <c r="H230" s="116">
        <v>550</v>
      </c>
      <c r="I230" s="116">
        <f>D230*H230</f>
        <v>240004.05</v>
      </c>
      <c r="J230" s="116">
        <f t="shared" si="65"/>
        <v>240004.05</v>
      </c>
    </row>
    <row r="231" spans="1:10" ht="15" x14ac:dyDescent="0.2">
      <c r="A231" s="88" t="s">
        <v>494</v>
      </c>
      <c r="B231" s="90" t="s">
        <v>256</v>
      </c>
      <c r="C231" s="16" t="s">
        <v>32</v>
      </c>
      <c r="D231" s="89">
        <f>D230*1.5</f>
        <v>654.55649999999991</v>
      </c>
      <c r="E231" s="117" t="s">
        <v>257</v>
      </c>
      <c r="F231" s="115">
        <v>980</v>
      </c>
      <c r="G231" s="115">
        <f>D231*F231</f>
        <v>641465.36999999988</v>
      </c>
      <c r="H231" s="116"/>
      <c r="I231" s="116"/>
      <c r="J231" s="116">
        <f>G231</f>
        <v>641465.36999999988</v>
      </c>
    </row>
    <row r="232" spans="1:10" ht="28.5" x14ac:dyDescent="0.2">
      <c r="A232" s="8" t="s">
        <v>495</v>
      </c>
      <c r="B232" s="22" t="s">
        <v>496</v>
      </c>
      <c r="C232" s="5"/>
      <c r="D232" s="22"/>
      <c r="E232" s="137"/>
      <c r="F232" s="119"/>
      <c r="G232" s="119"/>
      <c r="H232" s="120"/>
      <c r="I232" s="120"/>
      <c r="J232" s="120"/>
    </row>
    <row r="233" spans="1:10" ht="30" x14ac:dyDescent="0.2">
      <c r="A233" s="15" t="s">
        <v>497</v>
      </c>
      <c r="B233" s="21" t="s">
        <v>498</v>
      </c>
      <c r="C233" s="16" t="s">
        <v>109</v>
      </c>
      <c r="D233" s="16">
        <f>26.65/1000</f>
        <v>2.665E-2</v>
      </c>
      <c r="E233" s="134" t="s">
        <v>499</v>
      </c>
      <c r="F233" s="115"/>
      <c r="G233" s="115"/>
      <c r="H233" s="116">
        <v>85000</v>
      </c>
      <c r="I233" s="116">
        <f>D233*H233</f>
        <v>2265.25</v>
      </c>
      <c r="J233" s="116">
        <f>I233</f>
        <v>2265.25</v>
      </c>
    </row>
    <row r="234" spans="1:10" ht="30" x14ac:dyDescent="0.2">
      <c r="A234" s="15" t="s">
        <v>500</v>
      </c>
      <c r="B234" s="16" t="s">
        <v>501</v>
      </c>
      <c r="C234" s="16" t="s">
        <v>109</v>
      </c>
      <c r="D234" s="90">
        <v>2.2559999999999998</v>
      </c>
      <c r="E234" s="117" t="s">
        <v>502</v>
      </c>
      <c r="F234" s="115"/>
      <c r="G234" s="115"/>
      <c r="H234" s="116">
        <v>85000</v>
      </c>
      <c r="I234" s="116">
        <f>D234*H234</f>
        <v>191759.99999999997</v>
      </c>
      <c r="J234" s="116">
        <f>I234</f>
        <v>191759.99999999997</v>
      </c>
    </row>
    <row r="235" spans="1:10" ht="15" x14ac:dyDescent="0.2">
      <c r="A235" s="8" t="s">
        <v>503</v>
      </c>
      <c r="B235" s="9" t="s">
        <v>504</v>
      </c>
      <c r="C235" s="10"/>
      <c r="D235" s="9"/>
      <c r="E235" s="140"/>
      <c r="F235" s="119"/>
      <c r="G235" s="119"/>
      <c r="H235" s="120"/>
      <c r="I235" s="120"/>
      <c r="J235" s="120"/>
    </row>
    <row r="236" spans="1:10" ht="28.5" x14ac:dyDescent="0.2">
      <c r="A236" s="15" t="s">
        <v>505</v>
      </c>
      <c r="B236" s="25" t="s">
        <v>506</v>
      </c>
      <c r="C236" s="21"/>
      <c r="D236" s="25"/>
      <c r="E236" s="134"/>
      <c r="F236" s="115"/>
      <c r="G236" s="115"/>
      <c r="H236" s="116"/>
      <c r="I236" s="116"/>
      <c r="J236" s="116"/>
    </row>
    <row r="237" spans="1:10" ht="60" x14ac:dyDescent="0.2">
      <c r="A237" s="15" t="s">
        <v>507</v>
      </c>
      <c r="B237" s="21" t="s">
        <v>508</v>
      </c>
      <c r="C237" s="21" t="s">
        <v>8</v>
      </c>
      <c r="D237" s="21">
        <v>27.44</v>
      </c>
      <c r="E237" s="134"/>
      <c r="F237" s="115"/>
      <c r="G237" s="115"/>
      <c r="H237" s="116">
        <v>500</v>
      </c>
      <c r="I237" s="116">
        <f>D237*H237</f>
        <v>13720</v>
      </c>
      <c r="J237" s="116">
        <f>I237</f>
        <v>13720</v>
      </c>
    </row>
    <row r="238" spans="1:10" ht="15" x14ac:dyDescent="0.2">
      <c r="A238" s="15" t="s">
        <v>509</v>
      </c>
      <c r="B238" s="25" t="s">
        <v>510</v>
      </c>
      <c r="C238" s="25" t="s">
        <v>109</v>
      </c>
      <c r="D238" s="66">
        <f>D239</f>
        <v>7.9942199999999991E-2</v>
      </c>
      <c r="E238" s="131" t="s">
        <v>511</v>
      </c>
      <c r="F238" s="115"/>
      <c r="G238" s="115"/>
      <c r="H238" s="155">
        <v>358660.48</v>
      </c>
      <c r="I238" s="116">
        <f>D238*H238</f>
        <v>28672.107824255996</v>
      </c>
      <c r="J238" s="116">
        <f t="shared" ref="J238:J245" si="66">I238</f>
        <v>28672.107824255996</v>
      </c>
    </row>
    <row r="239" spans="1:10" ht="15" x14ac:dyDescent="0.2">
      <c r="A239" s="15" t="s">
        <v>512</v>
      </c>
      <c r="B239" s="21" t="s">
        <v>483</v>
      </c>
      <c r="C239" s="21" t="s">
        <v>32</v>
      </c>
      <c r="D239" s="83">
        <f>5.54*4.81*3/1000</f>
        <v>7.9942199999999991E-2</v>
      </c>
      <c r="E239" s="134" t="s">
        <v>513</v>
      </c>
      <c r="F239" s="115">
        <v>57000</v>
      </c>
      <c r="G239" s="115">
        <f>D239*F239</f>
        <v>4556.7053999999998</v>
      </c>
      <c r="H239" s="116"/>
      <c r="I239" s="116"/>
      <c r="J239" s="116">
        <f>G239</f>
        <v>4556.7053999999998</v>
      </c>
    </row>
    <row r="240" spans="1:10" ht="15" x14ac:dyDescent="0.2">
      <c r="A240" s="15" t="s">
        <v>514</v>
      </c>
      <c r="B240" s="21" t="s">
        <v>288</v>
      </c>
      <c r="C240" s="21" t="s">
        <v>32</v>
      </c>
      <c r="D240" s="21">
        <v>0.08</v>
      </c>
      <c r="E240" s="134" t="s">
        <v>515</v>
      </c>
      <c r="F240" s="115"/>
      <c r="G240" s="115"/>
      <c r="H240" s="116"/>
      <c r="I240" s="116"/>
      <c r="J240" s="116"/>
    </row>
    <row r="241" spans="1:10" ht="15" x14ac:dyDescent="0.2">
      <c r="A241" s="15" t="s">
        <v>516</v>
      </c>
      <c r="B241" s="25" t="s">
        <v>517</v>
      </c>
      <c r="C241" s="25" t="s">
        <v>109</v>
      </c>
      <c r="D241" s="91">
        <f>D242</f>
        <v>0.5174399999999999</v>
      </c>
      <c r="E241" s="134" t="s">
        <v>518</v>
      </c>
      <c r="F241" s="115"/>
      <c r="G241" s="115"/>
      <c r="H241" s="155">
        <v>358660.48</v>
      </c>
      <c r="I241" s="116">
        <f>D241*H241</f>
        <v>185585.27877119996</v>
      </c>
      <c r="J241" s="116">
        <f t="shared" si="66"/>
        <v>185585.27877119996</v>
      </c>
    </row>
    <row r="242" spans="1:10" ht="15" x14ac:dyDescent="0.2">
      <c r="A242" s="15" t="s">
        <v>519</v>
      </c>
      <c r="B242" s="21" t="s">
        <v>520</v>
      </c>
      <c r="C242" s="21" t="s">
        <v>109</v>
      </c>
      <c r="D242" s="42">
        <f>5.6*15.4*6/1000</f>
        <v>0.5174399999999999</v>
      </c>
      <c r="E242" s="134" t="s">
        <v>521</v>
      </c>
      <c r="F242" s="115">
        <v>118000</v>
      </c>
      <c r="G242" s="115">
        <f>D242*F242</f>
        <v>61057.919999999991</v>
      </c>
      <c r="H242" s="116"/>
      <c r="I242" s="116"/>
      <c r="J242" s="116">
        <f>G242</f>
        <v>61057.919999999991</v>
      </c>
    </row>
    <row r="243" spans="1:10" ht="15" x14ac:dyDescent="0.2">
      <c r="A243" s="15" t="s">
        <v>522</v>
      </c>
      <c r="B243" s="21" t="s">
        <v>288</v>
      </c>
      <c r="C243" s="21" t="s">
        <v>32</v>
      </c>
      <c r="D243" s="21">
        <v>0.27</v>
      </c>
      <c r="E243" s="134" t="s">
        <v>523</v>
      </c>
      <c r="F243" s="115"/>
      <c r="G243" s="115"/>
      <c r="H243" s="116"/>
      <c r="I243" s="116"/>
      <c r="J243" s="116"/>
    </row>
    <row r="244" spans="1:10" ht="28.5" x14ac:dyDescent="0.2">
      <c r="A244" s="15" t="s">
        <v>524</v>
      </c>
      <c r="B244" s="25" t="s">
        <v>525</v>
      </c>
      <c r="C244" s="26"/>
      <c r="D244" s="51"/>
      <c r="E244" s="141"/>
      <c r="F244" s="115"/>
      <c r="G244" s="115"/>
      <c r="H244" s="116"/>
      <c r="I244" s="116"/>
      <c r="J244" s="116"/>
    </row>
    <row r="245" spans="1:10" ht="15" x14ac:dyDescent="0.2">
      <c r="A245" s="15" t="s">
        <v>526</v>
      </c>
      <c r="B245" s="90" t="s">
        <v>249</v>
      </c>
      <c r="C245" s="16" t="s">
        <v>8</v>
      </c>
      <c r="D245" s="16">
        <f>27.44*2</f>
        <v>54.88</v>
      </c>
      <c r="E245" s="117"/>
      <c r="F245" s="115"/>
      <c r="G245" s="115"/>
      <c r="H245" s="116">
        <v>350</v>
      </c>
      <c r="I245" s="116">
        <f>D245*H245</f>
        <v>19208</v>
      </c>
      <c r="J245" s="116">
        <f t="shared" si="66"/>
        <v>19208</v>
      </c>
    </row>
    <row r="246" spans="1:10" ht="15" x14ac:dyDescent="0.2">
      <c r="A246" s="15" t="s">
        <v>527</v>
      </c>
      <c r="B246" s="90" t="s">
        <v>251</v>
      </c>
      <c r="C246" s="16" t="s">
        <v>32</v>
      </c>
      <c r="D246" s="21">
        <f>D245*0.1</f>
        <v>5.4880000000000004</v>
      </c>
      <c r="E246" s="117" t="s">
        <v>252</v>
      </c>
      <c r="F246" s="115">
        <f>3000/20</f>
        <v>150</v>
      </c>
      <c r="G246" s="115">
        <f>D246*F246</f>
        <v>823.2</v>
      </c>
      <c r="H246" s="116"/>
      <c r="I246" s="116"/>
      <c r="J246" s="116">
        <f>G246</f>
        <v>823.2</v>
      </c>
    </row>
    <row r="247" spans="1:10" ht="30" x14ac:dyDescent="0.2">
      <c r="A247" s="15" t="s">
        <v>528</v>
      </c>
      <c r="B247" s="16" t="s">
        <v>529</v>
      </c>
      <c r="C247" s="16" t="s">
        <v>8</v>
      </c>
      <c r="D247" s="16">
        <v>27.44</v>
      </c>
      <c r="E247" s="117"/>
      <c r="F247" s="115"/>
      <c r="G247" s="115"/>
      <c r="H247" s="116">
        <v>550</v>
      </c>
      <c r="I247" s="116">
        <f>D247*H247</f>
        <v>15092</v>
      </c>
      <c r="J247" s="116">
        <f t="shared" ref="J247" si="67">I247</f>
        <v>15092</v>
      </c>
    </row>
    <row r="248" spans="1:10" ht="15" x14ac:dyDescent="0.2">
      <c r="A248" s="15" t="s">
        <v>530</v>
      </c>
      <c r="B248" s="90" t="s">
        <v>256</v>
      </c>
      <c r="C248" s="16" t="s">
        <v>32</v>
      </c>
      <c r="D248" s="43">
        <v>41.2</v>
      </c>
      <c r="E248" s="117" t="s">
        <v>257</v>
      </c>
      <c r="F248" s="115">
        <v>980</v>
      </c>
      <c r="G248" s="115">
        <f>D248*F248</f>
        <v>40376</v>
      </c>
      <c r="H248" s="116"/>
      <c r="I248" s="116"/>
      <c r="J248" s="116">
        <f>G248</f>
        <v>40376</v>
      </c>
    </row>
    <row r="249" spans="1:10" ht="15" x14ac:dyDescent="0.2">
      <c r="A249" s="92" t="s">
        <v>531</v>
      </c>
      <c r="B249" s="93" t="s">
        <v>532</v>
      </c>
      <c r="C249" s="94"/>
      <c r="D249" s="94"/>
      <c r="E249" s="142"/>
      <c r="F249" s="143"/>
      <c r="G249" s="143"/>
      <c r="H249" s="144"/>
      <c r="I249" s="144"/>
      <c r="J249" s="144"/>
    </row>
    <row r="250" spans="1:10" ht="15" x14ac:dyDescent="0.2">
      <c r="A250" s="15" t="s">
        <v>533</v>
      </c>
      <c r="B250" s="25" t="s">
        <v>534</v>
      </c>
      <c r="C250" s="25"/>
      <c r="D250" s="25"/>
      <c r="E250" s="131" t="s">
        <v>535</v>
      </c>
      <c r="F250" s="115"/>
      <c r="G250" s="115"/>
      <c r="H250" s="116"/>
      <c r="I250" s="116"/>
      <c r="J250" s="116"/>
    </row>
    <row r="251" spans="1:10" ht="15" x14ac:dyDescent="0.2">
      <c r="A251" s="15" t="s">
        <v>536</v>
      </c>
      <c r="B251" s="21" t="s">
        <v>537</v>
      </c>
      <c r="C251" s="21" t="s">
        <v>109</v>
      </c>
      <c r="D251" s="21">
        <f>1.412*22</f>
        <v>31.064</v>
      </c>
      <c r="E251" s="134"/>
      <c r="F251" s="115"/>
      <c r="G251" s="115"/>
      <c r="H251" s="116">
        <f>I251/D251</f>
        <v>22946.175637393768</v>
      </c>
      <c r="I251" s="116">
        <f>594000*1.2</f>
        <v>712800</v>
      </c>
      <c r="J251" s="116">
        <f>I251</f>
        <v>712800</v>
      </c>
    </row>
    <row r="252" spans="1:10" ht="30" x14ac:dyDescent="0.2">
      <c r="A252" s="15" t="s">
        <v>538</v>
      </c>
      <c r="B252" s="21" t="s">
        <v>539</v>
      </c>
      <c r="C252" s="21" t="s">
        <v>8</v>
      </c>
      <c r="D252" s="21">
        <v>0.93700000000000006</v>
      </c>
      <c r="E252" s="134" t="s">
        <v>540</v>
      </c>
      <c r="F252" s="115"/>
      <c r="G252" s="115"/>
      <c r="H252" s="116">
        <f>I252/D252</f>
        <v>84525.080042689428</v>
      </c>
      <c r="I252" s="116">
        <f>44*6*300</f>
        <v>79200</v>
      </c>
      <c r="J252" s="116">
        <f t="shared" ref="J252:J305" si="68">I252</f>
        <v>79200</v>
      </c>
    </row>
    <row r="253" spans="1:10" ht="15" x14ac:dyDescent="0.2">
      <c r="A253" s="15" t="s">
        <v>541</v>
      </c>
      <c r="B253" s="25" t="s">
        <v>98</v>
      </c>
      <c r="C253" s="21"/>
      <c r="D253" s="21"/>
      <c r="E253" s="134"/>
      <c r="F253" s="115"/>
      <c r="G253" s="115"/>
      <c r="H253" s="116"/>
      <c r="I253" s="116"/>
      <c r="J253" s="116"/>
    </row>
    <row r="254" spans="1:10" ht="15" x14ac:dyDescent="0.2">
      <c r="A254" s="88" t="s">
        <v>536</v>
      </c>
      <c r="B254" s="26" t="s">
        <v>542</v>
      </c>
      <c r="C254" s="26" t="s">
        <v>8</v>
      </c>
      <c r="D254" s="26">
        <v>98.6</v>
      </c>
      <c r="E254" s="141"/>
      <c r="F254" s="115"/>
      <c r="G254" s="115"/>
      <c r="H254" s="116">
        <v>300</v>
      </c>
      <c r="I254" s="116">
        <f>D254*H254</f>
        <v>29580</v>
      </c>
      <c r="J254" s="116">
        <f t="shared" si="68"/>
        <v>29580</v>
      </c>
    </row>
    <row r="255" spans="1:10" ht="15" x14ac:dyDescent="0.2">
      <c r="A255" s="15" t="s">
        <v>538</v>
      </c>
      <c r="B255" s="21" t="s">
        <v>543</v>
      </c>
      <c r="C255" s="21" t="s">
        <v>8</v>
      </c>
      <c r="D255" s="21">
        <v>98.6</v>
      </c>
      <c r="E255" s="134"/>
      <c r="F255" s="115"/>
      <c r="G255" s="115"/>
      <c r="H255" s="116">
        <v>300</v>
      </c>
      <c r="I255" s="116">
        <f>D255*H255</f>
        <v>29580</v>
      </c>
      <c r="J255" s="116">
        <f t="shared" si="68"/>
        <v>29580</v>
      </c>
    </row>
    <row r="256" spans="1:10" ht="15" x14ac:dyDescent="0.2">
      <c r="A256" s="15" t="s">
        <v>544</v>
      </c>
      <c r="B256" s="90" t="s">
        <v>249</v>
      </c>
      <c r="C256" s="16" t="s">
        <v>8</v>
      </c>
      <c r="D256" s="21">
        <f>1191.52+86.504</f>
        <v>1278.0239999999999</v>
      </c>
      <c r="E256" s="74"/>
      <c r="F256" s="115"/>
      <c r="G256" s="115"/>
      <c r="H256" s="116">
        <v>350</v>
      </c>
      <c r="I256" s="116">
        <f>D256*H256</f>
        <v>447308.39999999997</v>
      </c>
      <c r="J256" s="116">
        <f t="shared" si="68"/>
        <v>447308.39999999997</v>
      </c>
    </row>
    <row r="257" spans="1:10" ht="15" x14ac:dyDescent="0.2">
      <c r="A257" s="15" t="s">
        <v>545</v>
      </c>
      <c r="B257" s="90" t="s">
        <v>251</v>
      </c>
      <c r="C257" s="16" t="s">
        <v>32</v>
      </c>
      <c r="D257" s="21">
        <f>D256*0.1</f>
        <v>127.80239999999999</v>
      </c>
      <c r="E257" s="117" t="s">
        <v>252</v>
      </c>
      <c r="F257" s="115">
        <f>3000/20</f>
        <v>150</v>
      </c>
      <c r="G257" s="115">
        <f>D257*F257</f>
        <v>19170.359999999997</v>
      </c>
      <c r="H257" s="116"/>
      <c r="I257" s="116"/>
      <c r="J257" s="116">
        <f>G257</f>
        <v>19170.359999999997</v>
      </c>
    </row>
    <row r="258" spans="1:10" ht="30" x14ac:dyDescent="0.2">
      <c r="A258" s="15" t="s">
        <v>546</v>
      </c>
      <c r="B258" s="16" t="s">
        <v>529</v>
      </c>
      <c r="C258" s="16" t="s">
        <v>8</v>
      </c>
      <c r="D258" s="16">
        <f>595.76+43.252</f>
        <v>639.01199999999994</v>
      </c>
      <c r="E258" s="117"/>
      <c r="F258" s="115"/>
      <c r="G258" s="115"/>
      <c r="H258" s="116">
        <v>550</v>
      </c>
      <c r="I258" s="116">
        <f>D258*H258</f>
        <v>351456.6</v>
      </c>
      <c r="J258" s="116">
        <f t="shared" si="68"/>
        <v>351456.6</v>
      </c>
    </row>
    <row r="259" spans="1:10" ht="15" x14ac:dyDescent="0.2">
      <c r="A259" s="15" t="s">
        <v>547</v>
      </c>
      <c r="B259" s="90" t="s">
        <v>256</v>
      </c>
      <c r="C259" s="16" t="s">
        <v>25</v>
      </c>
      <c r="D259" s="16">
        <f>D258*1.5</f>
        <v>958.51799999999992</v>
      </c>
      <c r="E259" s="117" t="s">
        <v>257</v>
      </c>
      <c r="F259" s="115">
        <v>980</v>
      </c>
      <c r="G259" s="115">
        <f>D259*F259</f>
        <v>939347.6399999999</v>
      </c>
      <c r="H259" s="116"/>
      <c r="I259" s="116"/>
      <c r="J259" s="116">
        <f>G259</f>
        <v>939347.6399999999</v>
      </c>
    </row>
    <row r="260" spans="1:10" ht="28.5" x14ac:dyDescent="0.2">
      <c r="A260" s="95" t="s">
        <v>541</v>
      </c>
      <c r="B260" s="96" t="s">
        <v>548</v>
      </c>
      <c r="C260" s="145"/>
      <c r="D260" s="145"/>
      <c r="E260" s="146"/>
      <c r="F260" s="143"/>
      <c r="G260" s="143"/>
      <c r="H260" s="144"/>
      <c r="I260" s="144"/>
      <c r="J260" s="144"/>
    </row>
    <row r="261" spans="1:10" ht="15" x14ac:dyDescent="0.2">
      <c r="A261" s="15" t="s">
        <v>549</v>
      </c>
      <c r="B261" s="147" t="s">
        <v>265</v>
      </c>
      <c r="C261" s="16" t="s">
        <v>106</v>
      </c>
      <c r="D261" s="21">
        <v>5579.87</v>
      </c>
      <c r="E261" s="117"/>
      <c r="F261" s="115"/>
      <c r="G261" s="115"/>
      <c r="H261" s="116">
        <v>310</v>
      </c>
      <c r="I261" s="116">
        <f>D261*H261</f>
        <v>1729759.7</v>
      </c>
      <c r="J261" s="116">
        <f t="shared" si="68"/>
        <v>1729759.7</v>
      </c>
    </row>
    <row r="262" spans="1:10" ht="15" x14ac:dyDescent="0.2">
      <c r="A262" s="15" t="s">
        <v>550</v>
      </c>
      <c r="B262" s="25" t="s">
        <v>551</v>
      </c>
      <c r="C262" s="51" t="s">
        <v>109</v>
      </c>
      <c r="D262" s="82">
        <f>D263+D264+D265+D266</f>
        <v>5.1220400000000001</v>
      </c>
      <c r="E262" s="148" t="s">
        <v>552</v>
      </c>
      <c r="F262" s="115"/>
      <c r="G262" s="115"/>
      <c r="H262" s="155">
        <v>124980</v>
      </c>
      <c r="I262" s="116">
        <f>D262*H262</f>
        <v>640152.55920000002</v>
      </c>
      <c r="J262" s="116">
        <f t="shared" si="68"/>
        <v>640152.55920000002</v>
      </c>
    </row>
    <row r="263" spans="1:10" ht="15" x14ac:dyDescent="0.2">
      <c r="A263" s="15" t="s">
        <v>553</v>
      </c>
      <c r="B263" s="90" t="s">
        <v>554</v>
      </c>
      <c r="C263" s="21" t="s">
        <v>109</v>
      </c>
      <c r="D263" s="97">
        <f>190.16*22/1000</f>
        <v>4.1835199999999997</v>
      </c>
      <c r="E263" s="117" t="s">
        <v>555</v>
      </c>
      <c r="F263" s="115">
        <v>132000</v>
      </c>
      <c r="G263" s="115">
        <f>D263*F263</f>
        <v>552224.64</v>
      </c>
      <c r="H263" s="116"/>
      <c r="I263" s="116"/>
      <c r="J263" s="116">
        <f>G263</f>
        <v>552224.64</v>
      </c>
    </row>
    <row r="264" spans="1:10" ht="15" x14ac:dyDescent="0.2">
      <c r="A264" s="15" t="s">
        <v>556</v>
      </c>
      <c r="B264" s="90" t="s">
        <v>557</v>
      </c>
      <c r="C264" s="21" t="s">
        <v>109</v>
      </c>
      <c r="D264" s="97">
        <f>4.92*22/1000</f>
        <v>0.10823999999999999</v>
      </c>
      <c r="E264" s="117" t="s">
        <v>558</v>
      </c>
      <c r="F264" s="115">
        <v>61000</v>
      </c>
      <c r="G264" s="115">
        <f t="shared" ref="G264:G267" si="69">D264*F264</f>
        <v>6602.6399999999994</v>
      </c>
      <c r="H264" s="116"/>
      <c r="I264" s="116"/>
      <c r="J264" s="116">
        <f t="shared" ref="J264:J267" si="70">G264</f>
        <v>6602.6399999999994</v>
      </c>
    </row>
    <row r="265" spans="1:10" ht="15" x14ac:dyDescent="0.2">
      <c r="A265" s="15" t="s">
        <v>559</v>
      </c>
      <c r="B265" s="90" t="s">
        <v>560</v>
      </c>
      <c r="C265" s="21" t="s">
        <v>109</v>
      </c>
      <c r="D265" s="97">
        <f>18*22/1000</f>
        <v>0.39600000000000002</v>
      </c>
      <c r="E265" s="117" t="s">
        <v>561</v>
      </c>
      <c r="F265" s="115">
        <v>61000</v>
      </c>
      <c r="G265" s="115">
        <f t="shared" si="69"/>
        <v>24156</v>
      </c>
      <c r="H265" s="116"/>
      <c r="I265" s="116"/>
      <c r="J265" s="116">
        <f t="shared" si="70"/>
        <v>24156</v>
      </c>
    </row>
    <row r="266" spans="1:10" ht="15" x14ac:dyDescent="0.2">
      <c r="A266" s="15" t="s">
        <v>562</v>
      </c>
      <c r="B266" s="90" t="s">
        <v>563</v>
      </c>
      <c r="C266" s="21" t="s">
        <v>109</v>
      </c>
      <c r="D266" s="97">
        <f>19.74*22/1000</f>
        <v>0.43428</v>
      </c>
      <c r="E266" s="117" t="s">
        <v>564</v>
      </c>
      <c r="F266" s="115">
        <v>61000</v>
      </c>
      <c r="G266" s="115">
        <f t="shared" si="69"/>
        <v>26491.08</v>
      </c>
      <c r="H266" s="116"/>
      <c r="I266" s="116"/>
      <c r="J266" s="116">
        <f t="shared" si="70"/>
        <v>26491.08</v>
      </c>
    </row>
    <row r="267" spans="1:10" ht="15" x14ac:dyDescent="0.2">
      <c r="A267" s="15" t="s">
        <v>550</v>
      </c>
      <c r="B267" s="90" t="s">
        <v>565</v>
      </c>
      <c r="C267" s="21" t="s">
        <v>109</v>
      </c>
      <c r="D267" s="62">
        <f>42.66*22/1000</f>
        <v>0.93852000000000002</v>
      </c>
      <c r="E267" s="117" t="s">
        <v>566</v>
      </c>
      <c r="F267" s="115">
        <v>61000</v>
      </c>
      <c r="G267" s="115">
        <f t="shared" si="69"/>
        <v>57249.72</v>
      </c>
      <c r="H267" s="116"/>
      <c r="I267" s="116"/>
      <c r="J267" s="116">
        <f t="shared" si="70"/>
        <v>57249.72</v>
      </c>
    </row>
    <row r="268" spans="1:10" ht="15" x14ac:dyDescent="0.2">
      <c r="A268" s="15" t="s">
        <v>567</v>
      </c>
      <c r="B268" s="90" t="s">
        <v>568</v>
      </c>
      <c r="C268" s="21" t="s">
        <v>109</v>
      </c>
      <c r="D268" s="62">
        <f>4.16*22/1000</f>
        <v>9.1520000000000004E-2</v>
      </c>
      <c r="E268" s="117" t="s">
        <v>569</v>
      </c>
      <c r="F268" s="115"/>
      <c r="G268" s="115"/>
      <c r="H268" s="116"/>
      <c r="I268" s="116"/>
      <c r="J268" s="116"/>
    </row>
    <row r="269" spans="1:10" ht="15" x14ac:dyDescent="0.2">
      <c r="A269" s="15" t="s">
        <v>570</v>
      </c>
      <c r="B269" s="25" t="s">
        <v>571</v>
      </c>
      <c r="C269" s="51" t="s">
        <v>109</v>
      </c>
      <c r="D269" s="82">
        <f>D270+D271+D272+D273</f>
        <v>5.1220400000000001</v>
      </c>
      <c r="E269" s="148" t="s">
        <v>552</v>
      </c>
      <c r="F269" s="115"/>
      <c r="G269" s="115"/>
      <c r="H269" s="155">
        <v>124980</v>
      </c>
      <c r="I269" s="116">
        <f>D269*H269</f>
        <v>640152.55920000002</v>
      </c>
      <c r="J269" s="116">
        <f t="shared" si="68"/>
        <v>640152.55920000002</v>
      </c>
    </row>
    <row r="270" spans="1:10" ht="15" x14ac:dyDescent="0.2">
      <c r="A270" s="15" t="s">
        <v>572</v>
      </c>
      <c r="B270" s="44" t="s">
        <v>554</v>
      </c>
      <c r="C270" s="21" t="s">
        <v>109</v>
      </c>
      <c r="D270" s="97">
        <f>190.16*22/1000</f>
        <v>4.1835199999999997</v>
      </c>
      <c r="E270" s="134" t="s">
        <v>555</v>
      </c>
      <c r="F270" s="115">
        <v>132000</v>
      </c>
      <c r="G270" s="115">
        <f>D270*F270</f>
        <v>552224.64</v>
      </c>
      <c r="H270" s="116"/>
      <c r="I270" s="116"/>
      <c r="J270" s="116">
        <f>G270</f>
        <v>552224.64</v>
      </c>
    </row>
    <row r="271" spans="1:10" ht="15" x14ac:dyDescent="0.2">
      <c r="A271" s="15" t="s">
        <v>573</v>
      </c>
      <c r="B271" s="44" t="s">
        <v>557</v>
      </c>
      <c r="C271" s="21" t="s">
        <v>109</v>
      </c>
      <c r="D271" s="97">
        <f>4.92*22/1000</f>
        <v>0.10823999999999999</v>
      </c>
      <c r="E271" s="134" t="s">
        <v>558</v>
      </c>
      <c r="F271" s="115">
        <v>61000</v>
      </c>
      <c r="G271" s="115">
        <f t="shared" ref="G271:G274" si="71">D271*F271</f>
        <v>6602.6399999999994</v>
      </c>
      <c r="H271" s="116"/>
      <c r="I271" s="116"/>
      <c r="J271" s="116">
        <f t="shared" ref="J271:J274" si="72">G271</f>
        <v>6602.6399999999994</v>
      </c>
    </row>
    <row r="272" spans="1:10" ht="15" x14ac:dyDescent="0.2">
      <c r="A272" s="15" t="s">
        <v>574</v>
      </c>
      <c r="B272" s="44" t="s">
        <v>560</v>
      </c>
      <c r="C272" s="21" t="s">
        <v>109</v>
      </c>
      <c r="D272" s="97">
        <f>18*22/1000</f>
        <v>0.39600000000000002</v>
      </c>
      <c r="E272" s="134" t="s">
        <v>561</v>
      </c>
      <c r="F272" s="115">
        <v>61000</v>
      </c>
      <c r="G272" s="115">
        <f t="shared" si="71"/>
        <v>24156</v>
      </c>
      <c r="H272" s="116"/>
      <c r="I272" s="116"/>
      <c r="J272" s="116">
        <f t="shared" si="72"/>
        <v>24156</v>
      </c>
    </row>
    <row r="273" spans="1:10" ht="15" x14ac:dyDescent="0.2">
      <c r="A273" s="15" t="s">
        <v>575</v>
      </c>
      <c r="B273" s="44" t="s">
        <v>563</v>
      </c>
      <c r="C273" s="21" t="s">
        <v>109</v>
      </c>
      <c r="D273" s="97">
        <f>19.74*22/1000</f>
        <v>0.43428</v>
      </c>
      <c r="E273" s="134" t="s">
        <v>564</v>
      </c>
      <c r="F273" s="115">
        <v>61000</v>
      </c>
      <c r="G273" s="115">
        <f t="shared" si="71"/>
        <v>26491.08</v>
      </c>
      <c r="H273" s="116"/>
      <c r="I273" s="116"/>
      <c r="J273" s="116">
        <f t="shared" si="72"/>
        <v>26491.08</v>
      </c>
    </row>
    <row r="274" spans="1:10" ht="15" x14ac:dyDescent="0.2">
      <c r="A274" s="15" t="s">
        <v>576</v>
      </c>
      <c r="B274" s="44" t="s">
        <v>565</v>
      </c>
      <c r="C274" s="21" t="s">
        <v>109</v>
      </c>
      <c r="D274" s="62">
        <f>42.66*22/1000</f>
        <v>0.93852000000000002</v>
      </c>
      <c r="E274" s="134" t="s">
        <v>566</v>
      </c>
      <c r="F274" s="115">
        <v>61000</v>
      </c>
      <c r="G274" s="115">
        <f t="shared" si="71"/>
        <v>57249.72</v>
      </c>
      <c r="H274" s="116"/>
      <c r="I274" s="116"/>
      <c r="J274" s="116">
        <f t="shared" si="72"/>
        <v>57249.72</v>
      </c>
    </row>
    <row r="275" spans="1:10" ht="15" x14ac:dyDescent="0.2">
      <c r="A275" s="15" t="s">
        <v>577</v>
      </c>
      <c r="B275" s="44" t="s">
        <v>568</v>
      </c>
      <c r="C275" s="21" t="s">
        <v>109</v>
      </c>
      <c r="D275" s="62">
        <f>4.16*22/1000</f>
        <v>9.1520000000000004E-2</v>
      </c>
      <c r="E275" s="117" t="s">
        <v>569</v>
      </c>
      <c r="F275" s="115"/>
      <c r="G275" s="115"/>
      <c r="H275" s="116"/>
      <c r="I275" s="116"/>
      <c r="J275" s="116"/>
    </row>
    <row r="276" spans="1:10" ht="15" x14ac:dyDescent="0.2">
      <c r="A276" s="15" t="s">
        <v>578</v>
      </c>
      <c r="B276" s="25" t="s">
        <v>579</v>
      </c>
      <c r="C276" s="25" t="s">
        <v>109</v>
      </c>
      <c r="D276" s="66">
        <f>5.56*6.39*22/1000</f>
        <v>0.7816247999999999</v>
      </c>
      <c r="E276" s="131"/>
      <c r="F276" s="115"/>
      <c r="G276" s="115"/>
      <c r="H276" s="155">
        <v>124980</v>
      </c>
      <c r="I276" s="116">
        <f>D276*H276</f>
        <v>97687.467503999986</v>
      </c>
      <c r="J276" s="116">
        <f t="shared" si="68"/>
        <v>97687.467503999986</v>
      </c>
    </row>
    <row r="277" spans="1:10" ht="15" x14ac:dyDescent="0.2">
      <c r="A277" s="15" t="s">
        <v>580</v>
      </c>
      <c r="B277" s="44" t="s">
        <v>581</v>
      </c>
      <c r="C277" s="21" t="s">
        <v>109</v>
      </c>
      <c r="D277" s="98">
        <f>122.32*6.39/1000</f>
        <v>0.7816247999999999</v>
      </c>
      <c r="E277" s="134" t="s">
        <v>582</v>
      </c>
      <c r="F277" s="115">
        <v>61000</v>
      </c>
      <c r="G277" s="115">
        <f>D277*F277</f>
        <v>47679.112799999995</v>
      </c>
      <c r="H277" s="116"/>
      <c r="I277" s="116"/>
      <c r="J277" s="116">
        <f>G277</f>
        <v>47679.112799999995</v>
      </c>
    </row>
    <row r="278" spans="1:10" ht="15" x14ac:dyDescent="0.2">
      <c r="A278" s="15" t="s">
        <v>583</v>
      </c>
      <c r="B278" s="25" t="s">
        <v>584</v>
      </c>
      <c r="C278" s="25" t="s">
        <v>109</v>
      </c>
      <c r="D278" s="66">
        <f t="shared" ref="D278:D279" si="73">2*12.06*22/1000</f>
        <v>0.53064</v>
      </c>
      <c r="E278" s="131"/>
      <c r="F278" s="115"/>
      <c r="G278" s="115"/>
      <c r="H278" s="155">
        <v>124980</v>
      </c>
      <c r="I278" s="116">
        <f>D278*H278</f>
        <v>66319.387199999997</v>
      </c>
      <c r="J278" s="116">
        <f t="shared" si="68"/>
        <v>66319.387199999997</v>
      </c>
    </row>
    <row r="279" spans="1:10" ht="15" x14ac:dyDescent="0.2">
      <c r="A279" s="15" t="s">
        <v>585</v>
      </c>
      <c r="B279" s="44" t="s">
        <v>586</v>
      </c>
      <c r="C279" s="21" t="s">
        <v>109</v>
      </c>
      <c r="D279" s="83">
        <f t="shared" si="73"/>
        <v>0.53064</v>
      </c>
      <c r="E279" s="134" t="s">
        <v>587</v>
      </c>
      <c r="F279" s="115">
        <v>59000</v>
      </c>
      <c r="G279" s="115">
        <f>D279*F279</f>
        <v>31307.759999999998</v>
      </c>
      <c r="H279" s="116"/>
      <c r="I279" s="116"/>
      <c r="J279" s="116">
        <f>G279</f>
        <v>31307.759999999998</v>
      </c>
    </row>
    <row r="280" spans="1:10" ht="28.5" x14ac:dyDescent="0.2">
      <c r="A280" s="95" t="s">
        <v>588</v>
      </c>
      <c r="B280" s="99" t="s">
        <v>589</v>
      </c>
      <c r="C280" s="100"/>
      <c r="D280" s="100"/>
      <c r="E280" s="101"/>
      <c r="F280" s="143"/>
      <c r="G280" s="143"/>
      <c r="H280" s="144"/>
      <c r="I280" s="144"/>
      <c r="J280" s="144"/>
    </row>
    <row r="281" spans="1:10" ht="45" x14ac:dyDescent="0.2">
      <c r="A281" s="15" t="s">
        <v>590</v>
      </c>
      <c r="B281" s="90" t="s">
        <v>591</v>
      </c>
      <c r="C281" s="16" t="s">
        <v>109</v>
      </c>
      <c r="D281" s="83">
        <f>6.38*13.11*22/1000</f>
        <v>1.8401195999999997</v>
      </c>
      <c r="E281" s="117" t="s">
        <v>592</v>
      </c>
      <c r="F281" s="115">
        <f>950/6.38*1000</f>
        <v>148902.82131661443</v>
      </c>
      <c r="G281" s="115">
        <f>D281*F281</f>
        <v>273999</v>
      </c>
      <c r="H281" s="116">
        <v>120000</v>
      </c>
      <c r="I281" s="116">
        <f>D281*H281</f>
        <v>220814.35199999996</v>
      </c>
      <c r="J281" s="116">
        <f>G281+I281</f>
        <v>494813.35199999996</v>
      </c>
    </row>
    <row r="282" spans="1:10" ht="15" x14ac:dyDescent="0.2">
      <c r="A282" s="95" t="s">
        <v>593</v>
      </c>
      <c r="B282" s="99" t="s">
        <v>594</v>
      </c>
      <c r="C282" s="100"/>
      <c r="D282" s="100"/>
      <c r="E282" s="101"/>
      <c r="F282" s="143"/>
      <c r="G282" s="143"/>
      <c r="H282" s="144"/>
      <c r="I282" s="144"/>
      <c r="J282" s="144"/>
    </row>
    <row r="283" spans="1:10" ht="15" x14ac:dyDescent="0.2">
      <c r="A283" s="15" t="s">
        <v>595</v>
      </c>
      <c r="B283" s="21" t="s">
        <v>596</v>
      </c>
      <c r="C283" s="21" t="s">
        <v>8</v>
      </c>
      <c r="D283" s="21">
        <v>66</v>
      </c>
      <c r="E283" s="134"/>
      <c r="F283" s="115"/>
      <c r="G283" s="115"/>
      <c r="H283" s="116">
        <v>400</v>
      </c>
      <c r="I283" s="116">
        <f>D283*H283</f>
        <v>26400</v>
      </c>
      <c r="J283" s="116">
        <f t="shared" si="68"/>
        <v>26400</v>
      </c>
    </row>
    <row r="284" spans="1:10" ht="15" x14ac:dyDescent="0.2">
      <c r="A284" s="15" t="s">
        <v>597</v>
      </c>
      <c r="B284" s="123" t="s">
        <v>598</v>
      </c>
      <c r="C284" s="19"/>
      <c r="D284" s="19"/>
      <c r="E284" s="74"/>
      <c r="F284" s="115"/>
      <c r="G284" s="115"/>
      <c r="H284" s="116"/>
      <c r="I284" s="116"/>
      <c r="J284" s="116"/>
    </row>
    <row r="285" spans="1:10" ht="30" x14ac:dyDescent="0.2">
      <c r="A285" s="15" t="s">
        <v>599</v>
      </c>
      <c r="B285" s="90" t="s">
        <v>600</v>
      </c>
      <c r="C285" s="19" t="s">
        <v>109</v>
      </c>
      <c r="D285" s="102">
        <f>10*0.023*528/1000</f>
        <v>0.12143999999999999</v>
      </c>
      <c r="E285" s="74" t="s">
        <v>601</v>
      </c>
      <c r="F285" s="115">
        <v>51000</v>
      </c>
      <c r="G285" s="115">
        <f>D285*F285</f>
        <v>6193.44</v>
      </c>
      <c r="H285" s="116">
        <v>150000</v>
      </c>
      <c r="I285" s="116">
        <f>D285*H285</f>
        <v>18216</v>
      </c>
      <c r="J285" s="116">
        <f>I285+G285</f>
        <v>24409.439999999999</v>
      </c>
    </row>
    <row r="286" spans="1:10" ht="30" x14ac:dyDescent="0.2">
      <c r="A286" s="15" t="s">
        <v>602</v>
      </c>
      <c r="B286" s="90" t="s">
        <v>603</v>
      </c>
      <c r="C286" s="16" t="s">
        <v>109</v>
      </c>
      <c r="D286" s="62">
        <f>2*0.573*528/1000</f>
        <v>0.60508799999999996</v>
      </c>
      <c r="E286" s="117" t="s">
        <v>604</v>
      </c>
      <c r="F286" s="115">
        <v>55000</v>
      </c>
      <c r="G286" s="115">
        <f>D286*F286</f>
        <v>33279.839999999997</v>
      </c>
      <c r="H286" s="116">
        <v>150000</v>
      </c>
      <c r="I286" s="116">
        <f>D286*H286</f>
        <v>90763.199999999997</v>
      </c>
      <c r="J286" s="116">
        <f>G286+I286</f>
        <v>124043.04</v>
      </c>
    </row>
    <row r="287" spans="1:10" ht="15" x14ac:dyDescent="0.2">
      <c r="A287" s="15" t="s">
        <v>605</v>
      </c>
      <c r="B287" s="123" t="s">
        <v>606</v>
      </c>
      <c r="C287" s="21"/>
      <c r="D287" s="21"/>
      <c r="E287" s="134"/>
      <c r="F287" s="115"/>
      <c r="G287" s="115"/>
      <c r="H287" s="116"/>
      <c r="I287" s="116"/>
      <c r="J287" s="116"/>
    </row>
    <row r="288" spans="1:10" ht="15" x14ac:dyDescent="0.2">
      <c r="A288" s="15" t="s">
        <v>607</v>
      </c>
      <c r="B288" s="90" t="s">
        <v>608</v>
      </c>
      <c r="C288" s="16" t="s">
        <v>109</v>
      </c>
      <c r="D288" s="62">
        <f>26.6*0.395*22/1000</f>
        <v>0.23115400000000003</v>
      </c>
      <c r="E288" s="117" t="s">
        <v>609</v>
      </c>
      <c r="F288" s="115">
        <v>55000</v>
      </c>
      <c r="G288" s="115">
        <f>D288*F288</f>
        <v>12713.470000000001</v>
      </c>
      <c r="H288" s="116">
        <v>150000</v>
      </c>
      <c r="I288" s="116">
        <f>D288*H288</f>
        <v>34673.100000000006</v>
      </c>
      <c r="J288" s="116">
        <f>G288+I288</f>
        <v>47386.570000000007</v>
      </c>
    </row>
    <row r="289" spans="1:10" ht="30" x14ac:dyDescent="0.2">
      <c r="A289" s="15" t="s">
        <v>610</v>
      </c>
      <c r="B289" s="44" t="s">
        <v>611</v>
      </c>
      <c r="C289" s="21" t="s">
        <v>32</v>
      </c>
      <c r="D289" s="21">
        <v>15</v>
      </c>
      <c r="E289" s="134"/>
      <c r="F289" s="115"/>
      <c r="G289" s="115"/>
      <c r="H289" s="116"/>
      <c r="I289" s="116"/>
      <c r="J289" s="116"/>
    </row>
    <row r="290" spans="1:10" ht="15" x14ac:dyDescent="0.2">
      <c r="A290" s="15" t="s">
        <v>612</v>
      </c>
      <c r="B290" s="90" t="s">
        <v>568</v>
      </c>
      <c r="C290" s="16" t="s">
        <v>32</v>
      </c>
      <c r="D290" s="16">
        <f>0.97*22/1000</f>
        <v>2.1340000000000001E-2</v>
      </c>
      <c r="E290" s="117" t="s">
        <v>613</v>
      </c>
      <c r="F290" s="115"/>
      <c r="G290" s="115"/>
      <c r="H290" s="116"/>
      <c r="I290" s="116"/>
      <c r="J290" s="116"/>
    </row>
    <row r="291" spans="1:10" ht="15" x14ac:dyDescent="0.2">
      <c r="A291" s="15" t="s">
        <v>614</v>
      </c>
      <c r="B291" s="90" t="s">
        <v>615</v>
      </c>
      <c r="C291" s="16" t="s">
        <v>32</v>
      </c>
      <c r="D291" s="16">
        <f>0.08*22/1000</f>
        <v>1.7600000000000001E-3</v>
      </c>
      <c r="E291" s="117" t="s">
        <v>616</v>
      </c>
      <c r="F291" s="115"/>
      <c r="G291" s="115"/>
      <c r="H291" s="116"/>
      <c r="I291" s="116"/>
      <c r="J291" s="116"/>
    </row>
    <row r="292" spans="1:10" ht="28.5" x14ac:dyDescent="0.2">
      <c r="A292" s="95" t="s">
        <v>617</v>
      </c>
      <c r="B292" s="99" t="s">
        <v>618</v>
      </c>
      <c r="C292" s="100"/>
      <c r="D292" s="100"/>
      <c r="E292" s="101"/>
      <c r="F292" s="143"/>
      <c r="G292" s="143"/>
      <c r="H292" s="144"/>
      <c r="I292" s="144"/>
      <c r="J292" s="144"/>
    </row>
    <row r="293" spans="1:10" ht="15" x14ac:dyDescent="0.2">
      <c r="A293" s="95" t="s">
        <v>619</v>
      </c>
      <c r="B293" s="149" t="s">
        <v>620</v>
      </c>
      <c r="C293" s="103" t="s">
        <v>8</v>
      </c>
      <c r="D293" s="103">
        <v>288.42</v>
      </c>
      <c r="E293" s="125" t="s">
        <v>621</v>
      </c>
      <c r="F293" s="143">
        <v>918.2</v>
      </c>
      <c r="G293" s="143">
        <f>D293*F293</f>
        <v>264827.24400000001</v>
      </c>
      <c r="H293" s="144">
        <v>2500</v>
      </c>
      <c r="I293" s="144">
        <f>D293*H293</f>
        <v>721050</v>
      </c>
      <c r="J293" s="144">
        <f>I293+G293</f>
        <v>985877.24399999995</v>
      </c>
    </row>
    <row r="294" spans="1:10" ht="15" x14ac:dyDescent="0.2">
      <c r="A294" s="15" t="s">
        <v>622</v>
      </c>
      <c r="B294" s="104" t="s">
        <v>623</v>
      </c>
      <c r="C294" s="104" t="s">
        <v>624</v>
      </c>
      <c r="D294" s="105">
        <v>263.12</v>
      </c>
      <c r="E294" s="150"/>
      <c r="F294" s="115"/>
      <c r="G294" s="115"/>
      <c r="H294" s="116"/>
      <c r="I294" s="116"/>
      <c r="J294" s="116"/>
    </row>
    <row r="295" spans="1:10" ht="15" x14ac:dyDescent="0.2">
      <c r="A295" s="15" t="s">
        <v>625</v>
      </c>
      <c r="B295" s="21" t="s">
        <v>626</v>
      </c>
      <c r="C295" s="21" t="s">
        <v>8</v>
      </c>
      <c r="D295" s="106">
        <v>82.88</v>
      </c>
      <c r="E295" s="131"/>
      <c r="F295" s="115"/>
      <c r="G295" s="115"/>
      <c r="H295" s="116">
        <f>I295/D295</f>
        <v>952.41312741312743</v>
      </c>
      <c r="I295" s="116">
        <f>D294*300</f>
        <v>78936</v>
      </c>
      <c r="J295" s="116">
        <f t="shared" si="68"/>
        <v>78936</v>
      </c>
    </row>
    <row r="296" spans="1:10" ht="30" x14ac:dyDescent="0.2">
      <c r="A296" s="15" t="s">
        <v>627</v>
      </c>
      <c r="B296" s="16" t="s">
        <v>628</v>
      </c>
      <c r="C296" s="21" t="s">
        <v>8</v>
      </c>
      <c r="D296" s="106">
        <v>82.88</v>
      </c>
      <c r="E296" s="74"/>
      <c r="F296" s="115"/>
      <c r="G296" s="115"/>
      <c r="H296" s="116">
        <f>I296/D296</f>
        <v>952.41312741312743</v>
      </c>
      <c r="I296" s="116">
        <f>D294*300</f>
        <v>78936</v>
      </c>
      <c r="J296" s="116">
        <f t="shared" si="68"/>
        <v>78936</v>
      </c>
    </row>
    <row r="297" spans="1:10" ht="30" x14ac:dyDescent="0.2">
      <c r="A297" s="15" t="s">
        <v>629</v>
      </c>
      <c r="B297" s="21" t="s">
        <v>630</v>
      </c>
      <c r="C297" s="21" t="s">
        <v>8</v>
      </c>
      <c r="D297" s="106">
        <v>82.88</v>
      </c>
      <c r="E297" s="131"/>
      <c r="F297" s="115"/>
      <c r="G297" s="115"/>
      <c r="H297" s="116">
        <f>I297/D297</f>
        <v>317.47104247104249</v>
      </c>
      <c r="I297" s="116">
        <f>D294*100</f>
        <v>26312</v>
      </c>
      <c r="J297" s="116">
        <f t="shared" si="68"/>
        <v>26312</v>
      </c>
    </row>
    <row r="298" spans="1:10" ht="30" x14ac:dyDescent="0.2">
      <c r="A298" s="15" t="s">
        <v>631</v>
      </c>
      <c r="B298" s="21" t="s">
        <v>632</v>
      </c>
      <c r="C298" s="21" t="s">
        <v>8</v>
      </c>
      <c r="D298" s="26">
        <v>13.2</v>
      </c>
      <c r="E298" s="131" t="s">
        <v>633</v>
      </c>
      <c r="F298" s="115"/>
      <c r="G298" s="115"/>
      <c r="H298" s="116">
        <f>I298/D298</f>
        <v>9966.6666666666679</v>
      </c>
      <c r="I298" s="116">
        <f>500*D294</f>
        <v>131560</v>
      </c>
      <c r="J298" s="116">
        <f t="shared" si="68"/>
        <v>131560</v>
      </c>
    </row>
    <row r="299" spans="1:10" ht="30" x14ac:dyDescent="0.2">
      <c r="A299" s="15" t="s">
        <v>634</v>
      </c>
      <c r="B299" s="16" t="s">
        <v>28</v>
      </c>
      <c r="C299" s="16" t="s">
        <v>8</v>
      </c>
      <c r="D299" s="17">
        <v>13.154999999999999</v>
      </c>
      <c r="E299" s="117" t="s">
        <v>635</v>
      </c>
      <c r="F299" s="115"/>
      <c r="G299" s="115"/>
      <c r="H299" s="116">
        <f>I299/D299</f>
        <v>10923.603192702394</v>
      </c>
      <c r="I299" s="116">
        <f>30000*4.79</f>
        <v>143700</v>
      </c>
      <c r="J299" s="116">
        <f t="shared" si="68"/>
        <v>143700</v>
      </c>
    </row>
    <row r="300" spans="1:10" ht="30" x14ac:dyDescent="0.2">
      <c r="A300" s="15" t="s">
        <v>636</v>
      </c>
      <c r="B300" s="16" t="s">
        <v>31</v>
      </c>
      <c r="C300" s="16" t="s">
        <v>32</v>
      </c>
      <c r="D300" s="18">
        <f>4.79*1850</f>
        <v>8861.5</v>
      </c>
      <c r="E300" s="117" t="s">
        <v>637</v>
      </c>
      <c r="F300" s="115">
        <f>5100/30</f>
        <v>170</v>
      </c>
      <c r="G300" s="115">
        <f>D300*F300</f>
        <v>1506455</v>
      </c>
      <c r="H300" s="116"/>
      <c r="I300" s="116"/>
      <c r="J300" s="116">
        <f>G300</f>
        <v>1506455</v>
      </c>
    </row>
    <row r="301" spans="1:10" ht="15" x14ac:dyDescent="0.2">
      <c r="A301" s="107">
        <v>45825</v>
      </c>
      <c r="B301" s="16" t="s">
        <v>35</v>
      </c>
      <c r="C301" s="17" t="s">
        <v>8</v>
      </c>
      <c r="D301" s="17">
        <v>13.154999999999999</v>
      </c>
      <c r="E301" s="117"/>
      <c r="F301" s="115"/>
      <c r="G301" s="115"/>
      <c r="H301" s="116">
        <f>I301/D301</f>
        <v>8000.6081337894339</v>
      </c>
      <c r="I301" s="116">
        <f>D294*400</f>
        <v>105248</v>
      </c>
      <c r="J301" s="116">
        <f t="shared" si="68"/>
        <v>105248</v>
      </c>
    </row>
    <row r="302" spans="1:10" ht="30" x14ac:dyDescent="0.2">
      <c r="A302" s="21" t="s">
        <v>638</v>
      </c>
      <c r="B302" s="16" t="s">
        <v>38</v>
      </c>
      <c r="C302" s="16" t="s">
        <v>32</v>
      </c>
      <c r="D302" s="17">
        <f>D301*0.9</f>
        <v>11.839499999999999</v>
      </c>
      <c r="E302" s="117" t="s">
        <v>639</v>
      </c>
      <c r="F302" s="115">
        <v>23.33</v>
      </c>
      <c r="G302" s="115">
        <f>D302*F302</f>
        <v>276.21553499999999</v>
      </c>
      <c r="H302" s="116"/>
      <c r="I302" s="116"/>
      <c r="J302" s="116">
        <f>G302</f>
        <v>276.21553499999999</v>
      </c>
    </row>
    <row r="303" spans="1:10" x14ac:dyDescent="0.2">
      <c r="A303" s="15" t="s">
        <v>640</v>
      </c>
      <c r="B303" s="151" t="s">
        <v>641</v>
      </c>
      <c r="C303" s="108" t="s">
        <v>109</v>
      </c>
      <c r="D303" s="108">
        <v>239.976</v>
      </c>
      <c r="E303" s="152" t="s">
        <v>642</v>
      </c>
      <c r="F303" s="115"/>
      <c r="G303" s="115"/>
      <c r="H303" s="116"/>
      <c r="I303" s="116"/>
      <c r="J303" s="116">
        <f t="shared" si="68"/>
        <v>0</v>
      </c>
    </row>
    <row r="304" spans="1:10" ht="60" x14ac:dyDescent="0.2">
      <c r="A304" s="15" t="s">
        <v>643</v>
      </c>
      <c r="B304" s="19" t="s">
        <v>644</v>
      </c>
      <c r="C304" s="19" t="s">
        <v>645</v>
      </c>
      <c r="D304" s="19"/>
      <c r="E304" s="152"/>
      <c r="F304" s="115"/>
      <c r="G304" s="115"/>
      <c r="H304" s="116">
        <v>2200</v>
      </c>
      <c r="I304" s="116">
        <f>D303*H304</f>
        <v>527947.19999999995</v>
      </c>
      <c r="J304" s="116">
        <f t="shared" si="68"/>
        <v>527947.19999999995</v>
      </c>
    </row>
    <row r="305" spans="1:10" ht="60" x14ac:dyDescent="0.2">
      <c r="A305" s="15" t="s">
        <v>646</v>
      </c>
      <c r="B305" s="19" t="s">
        <v>647</v>
      </c>
      <c r="C305" s="19" t="s">
        <v>645</v>
      </c>
      <c r="D305" s="19"/>
      <c r="E305" s="152"/>
      <c r="F305" s="115"/>
      <c r="G305" s="115"/>
      <c r="H305" s="116"/>
      <c r="I305" s="116"/>
      <c r="J305" s="116">
        <f t="shared" si="68"/>
        <v>0</v>
      </c>
    </row>
    <row r="306" spans="1:10" x14ac:dyDescent="0.2">
      <c r="A306" s="15" t="s">
        <v>648</v>
      </c>
      <c r="B306" s="109" t="s">
        <v>649</v>
      </c>
      <c r="C306" s="109" t="s">
        <v>645</v>
      </c>
      <c r="D306" s="109"/>
      <c r="E306" s="152"/>
      <c r="F306" s="115"/>
      <c r="G306" s="115"/>
      <c r="H306" s="116"/>
      <c r="I306" s="116"/>
      <c r="J306" s="116"/>
    </row>
    <row r="307" spans="1:10" x14ac:dyDescent="0.2">
      <c r="A307" s="156" t="s">
        <v>650</v>
      </c>
      <c r="B307" s="157" t="s">
        <v>651</v>
      </c>
      <c r="C307" s="157" t="s">
        <v>32</v>
      </c>
      <c r="D307" s="158">
        <v>26.65</v>
      </c>
      <c r="E307" s="159"/>
      <c r="F307" s="160"/>
      <c r="G307" s="160"/>
      <c r="H307" s="161"/>
      <c r="I307" s="161"/>
      <c r="J307" s="161"/>
    </row>
    <row r="308" spans="1:10" ht="39.75" customHeight="1" x14ac:dyDescent="0.2">
      <c r="A308" s="162"/>
      <c r="B308" s="199" t="s">
        <v>661</v>
      </c>
      <c r="C308" s="200"/>
      <c r="D308" s="200"/>
      <c r="E308" s="200"/>
      <c r="F308" s="201"/>
      <c r="G308" s="163">
        <f>SUM(G1:G306)</f>
        <v>122531762.10620481</v>
      </c>
      <c r="H308" s="163"/>
      <c r="I308" s="163">
        <f>SUM(I1:I307)</f>
        <v>209894583.83452082</v>
      </c>
      <c r="J308" s="163">
        <f>SUM(J1:J307)</f>
        <v>332426345.94072562</v>
      </c>
    </row>
    <row r="309" spans="1:10" ht="42" customHeight="1" x14ac:dyDescent="0.2">
      <c r="A309" s="202" t="s">
        <v>662</v>
      </c>
      <c r="B309" s="203"/>
      <c r="C309" s="204"/>
      <c r="D309" s="192" t="s">
        <v>663</v>
      </c>
      <c r="E309" s="193"/>
      <c r="F309" s="194"/>
      <c r="G309" s="184" t="s">
        <v>679</v>
      </c>
      <c r="H309" s="184"/>
      <c r="I309" s="184"/>
      <c r="J309" s="184"/>
    </row>
    <row r="310" spans="1:10" ht="48.75" customHeight="1" x14ac:dyDescent="0.2">
      <c r="A310" s="189"/>
      <c r="B310" s="190"/>
      <c r="C310" s="191"/>
      <c r="D310" s="192" t="s">
        <v>664</v>
      </c>
      <c r="E310" s="193"/>
      <c r="F310" s="194"/>
      <c r="G310" s="187" t="s">
        <v>665</v>
      </c>
      <c r="H310" s="187"/>
      <c r="I310" s="187"/>
      <c r="J310" s="187"/>
    </row>
    <row r="311" spans="1:10" ht="42" customHeight="1" x14ac:dyDescent="0.2">
      <c r="A311" s="189" t="s">
        <v>666</v>
      </c>
      <c r="B311" s="190"/>
      <c r="C311" s="191"/>
      <c r="D311" s="192" t="s">
        <v>667</v>
      </c>
      <c r="E311" s="193"/>
      <c r="F311" s="194"/>
      <c r="G311" s="187" t="s">
        <v>680</v>
      </c>
      <c r="H311" s="187"/>
      <c r="I311" s="187"/>
      <c r="J311" s="187"/>
    </row>
    <row r="312" spans="1:10" ht="27" customHeight="1" x14ac:dyDescent="0.2">
      <c r="A312" s="189" t="s">
        <v>681</v>
      </c>
      <c r="B312" s="190"/>
      <c r="C312" s="191"/>
      <c r="D312" s="192" t="s">
        <v>668</v>
      </c>
      <c r="E312" s="193"/>
      <c r="F312" s="194"/>
      <c r="G312" s="188">
        <v>1</v>
      </c>
      <c r="H312" s="187"/>
      <c r="I312" s="187"/>
      <c r="J312" s="187"/>
    </row>
    <row r="313" spans="1:10" ht="54.75" customHeight="1" x14ac:dyDescent="0.2">
      <c r="A313" s="189"/>
      <c r="B313" s="190"/>
      <c r="C313" s="191"/>
      <c r="D313" s="192" t="s">
        <v>669</v>
      </c>
      <c r="E313" s="193"/>
      <c r="F313" s="194"/>
      <c r="G313" s="188">
        <v>0.3</v>
      </c>
      <c r="H313" s="187"/>
      <c r="I313" s="187"/>
      <c r="J313" s="187"/>
    </row>
    <row r="314" spans="1:10" ht="41.25" customHeight="1" x14ac:dyDescent="0.2">
      <c r="A314" s="189" t="s">
        <v>670</v>
      </c>
      <c r="B314" s="190"/>
      <c r="C314" s="191"/>
      <c r="D314" s="192" t="s">
        <v>671</v>
      </c>
      <c r="E314" s="193"/>
      <c r="F314" s="194"/>
      <c r="G314" s="187" t="s">
        <v>672</v>
      </c>
      <c r="H314" s="187"/>
      <c r="I314" s="187"/>
      <c r="J314" s="187"/>
    </row>
    <row r="315" spans="1:10" ht="75.75" customHeight="1" x14ac:dyDescent="0.2">
      <c r="A315" s="195"/>
      <c r="B315" s="196"/>
      <c r="C315" s="197"/>
      <c r="D315" s="192" t="s">
        <v>673</v>
      </c>
      <c r="E315" s="193"/>
      <c r="F315" s="194"/>
      <c r="G315" s="184" t="s">
        <v>682</v>
      </c>
      <c r="H315" s="184"/>
      <c r="I315" s="184"/>
      <c r="J315" s="184"/>
    </row>
    <row r="316" spans="1:10" ht="15.75" customHeight="1" x14ac:dyDescent="0.2">
      <c r="A316" s="164"/>
      <c r="B316" s="165"/>
      <c r="C316" s="165"/>
      <c r="D316" s="166"/>
      <c r="E316" s="166"/>
      <c r="F316" s="166"/>
      <c r="G316" s="167"/>
    </row>
    <row r="317" spans="1:10" ht="15.75" customHeight="1" x14ac:dyDescent="0.2">
      <c r="A317" s="164"/>
      <c r="B317" s="165"/>
      <c r="C317" s="165"/>
      <c r="D317" s="166"/>
      <c r="E317" s="166"/>
      <c r="F317" s="166"/>
      <c r="G317" s="167"/>
    </row>
    <row r="318" spans="1:10" ht="15.75" customHeight="1" x14ac:dyDescent="0.2">
      <c r="A318" s="164"/>
      <c r="B318" s="165"/>
      <c r="C318" s="165"/>
      <c r="D318" s="166"/>
      <c r="E318" s="166"/>
      <c r="F318" s="166"/>
      <c r="G318" s="167"/>
    </row>
    <row r="319" spans="1:10" ht="15.75" customHeight="1" x14ac:dyDescent="0.2">
      <c r="A319" s="185" t="s">
        <v>674</v>
      </c>
      <c r="B319" s="185"/>
      <c r="C319" s="185"/>
      <c r="D319" s="185"/>
      <c r="E319" s="185"/>
      <c r="F319" s="170"/>
      <c r="G319" s="185" t="s">
        <v>675</v>
      </c>
      <c r="H319" s="185"/>
      <c r="I319" s="185"/>
      <c r="J319" s="185"/>
    </row>
    <row r="320" spans="1:10" ht="15.75" customHeight="1" x14ac:dyDescent="0.3">
      <c r="A320" s="168"/>
      <c r="B320" s="169"/>
      <c r="C320" s="170"/>
      <c r="D320" s="186" t="s">
        <v>676</v>
      </c>
      <c r="E320" s="186"/>
      <c r="F320" s="186"/>
      <c r="G320" s="185" t="s">
        <v>677</v>
      </c>
      <c r="H320" s="185"/>
      <c r="I320" s="185"/>
      <c r="J320" s="185"/>
    </row>
    <row r="321" spans="1:7" ht="15.75" customHeight="1" x14ac:dyDescent="0.3">
      <c r="A321" s="168"/>
      <c r="B321" s="169"/>
      <c r="C321" s="171"/>
      <c r="D321" s="186" t="s">
        <v>678</v>
      </c>
      <c r="E321" s="186"/>
      <c r="F321" s="186"/>
      <c r="G321" s="172"/>
    </row>
  </sheetData>
  <mergeCells count="26">
    <mergeCell ref="A1:J1"/>
    <mergeCell ref="A2:J2"/>
    <mergeCell ref="B308:F308"/>
    <mergeCell ref="A309:C310"/>
    <mergeCell ref="D309:F309"/>
    <mergeCell ref="D310:F310"/>
    <mergeCell ref="A311:C311"/>
    <mergeCell ref="D311:F311"/>
    <mergeCell ref="A312:C313"/>
    <mergeCell ref="D312:F312"/>
    <mergeCell ref="D313:F313"/>
    <mergeCell ref="D321:F321"/>
    <mergeCell ref="G309:J309"/>
    <mergeCell ref="G310:J310"/>
    <mergeCell ref="G311:J311"/>
    <mergeCell ref="G312:J312"/>
    <mergeCell ref="G313:J313"/>
    <mergeCell ref="G314:J314"/>
    <mergeCell ref="D314:F314"/>
    <mergeCell ref="D315:F315"/>
    <mergeCell ref="G315:J315"/>
    <mergeCell ref="G319:J319"/>
    <mergeCell ref="G320:J320"/>
    <mergeCell ref="A319:E319"/>
    <mergeCell ref="D320:F320"/>
    <mergeCell ref="A314:C31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4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 Емельянов</dc:creator>
  <cp:lastModifiedBy>Максим Емельянов</cp:lastModifiedBy>
  <cp:lastPrinted>2025-10-29T10:12:15Z</cp:lastPrinted>
  <dcterms:created xsi:type="dcterms:W3CDTF">2025-10-25T18:47:27Z</dcterms:created>
  <dcterms:modified xsi:type="dcterms:W3CDTF">2025-10-29T10:12:20Z</dcterms:modified>
</cp:coreProperties>
</file>