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ОБЩАЯ\"/>
    </mc:Choice>
  </mc:AlternateContent>
  <xr:revisionPtr revIDLastSave="0" documentId="13_ncr:1_{F8862171-BA0E-4272-805D-D6C0756D2B11}" xr6:coauthVersionLast="47" xr6:coauthVersionMax="47" xr10:uidLastSave="{00000000-0000-0000-0000-000000000000}"/>
  <bookViews>
    <workbookView xWindow="3030" yWindow="3030" windowWidth="21600" windowHeight="11385" tabRatio="939" firstSheet="12" activeTab="35" xr2:uid="{00000000-000D-0000-FFFF-FFFF00000000}"/>
  </bookViews>
  <sheets>
    <sheet name="Сводный CashFlow" sheetId="1" r:id="rId1"/>
    <sheet name="Этапы и участки" sheetId="2" r:id="rId2"/>
    <sheet name="Первые 7 участков" sheetId="3" r:id="rId3"/>
    <sheet name="Итоги ценовых таблиц" sheetId="4" r:id="rId4"/>
    <sheet name="Справочник материалов" sheetId="5" r:id="rId5"/>
    <sheet name="Расходы материалов" sheetId="6" r:id="rId6"/>
    <sheet name="Материалы - допущения" sheetId="7" r:id="rId7"/>
    <sheet name="Состав работ по сметам" sheetId="8" r:id="rId8"/>
    <sheet name="Контроль" sheetId="9" r:id="rId9"/>
    <sheet name="ФОТ - допущения" sheetId="10" r:id="rId10"/>
    <sheet name="ФОТ по месяцам" sheetId="11" r:id="rId11"/>
    <sheet name="ФОТ по видам работ" sheetId="12" r:id="rId12"/>
    <sheet name="Налоги - допущения" sheetId="13" r:id="rId13"/>
    <sheet name="Налоги по месяцам" sheetId="14" r:id="rId14"/>
    <sheet name="Методика формирования" sheetId="15" r:id="rId15"/>
    <sheet name="Вып 01" sheetId="16" r:id="rId16"/>
    <sheet name="Вып 02" sheetId="17" r:id="rId17"/>
    <sheet name="Вып 03" sheetId="18" r:id="rId18"/>
    <sheet name="Вып 04" sheetId="19" r:id="rId19"/>
    <sheet name="Вып 05" sheetId="20" r:id="rId20"/>
    <sheet name="Вып 06" sheetId="21" r:id="rId21"/>
    <sheet name="Вып 07" sheetId="22" r:id="rId22"/>
    <sheet name="Вып 08" sheetId="23" r:id="rId23"/>
    <sheet name="Вып 09" sheetId="24" r:id="rId24"/>
    <sheet name="Вып 10" sheetId="25" r:id="rId25"/>
    <sheet name="Свод выполнений" sheetId="26" r:id="rId26"/>
    <sheet name="Лотки - оплачиваются" sheetId="27" r:id="rId27"/>
    <sheet name="Финансовые условия" sheetId="28" r:id="rId28"/>
    <sheet name="Ежемесячные расходы" sheetId="29" r:id="rId29"/>
    <sheet name="Разовые затраты" sheetId="30" r:id="rId30"/>
    <sheet name="Финансовый анализ" sheetId="31" r:id="rId31"/>
    <sheet name="Производственный план 5м" sheetId="32" r:id="rId32"/>
    <sheet name="Проверка ошибок" sheetId="33" r:id="rId33"/>
    <sheet name="Материалы себестоимость" sheetId="34" r:id="rId34"/>
    <sheet name="Материалы по месяцам" sheetId="35" r:id="rId35"/>
    <sheet name="Утилизация демонтажа" sheetId="36" r:id="rId36"/>
    <sheet name="ДДС" sheetId="37" r:id="rId3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3" i="14" l="1"/>
  <c r="B4" i="14"/>
  <c r="B5" i="14"/>
  <c r="B6" i="14"/>
  <c r="G12" i="37"/>
  <c r="G11" i="37"/>
  <c r="F8" i="37"/>
  <c r="E8" i="37"/>
  <c r="D8" i="37"/>
  <c r="C8" i="37"/>
  <c r="B8" i="37"/>
  <c r="B7" i="37"/>
  <c r="B6" i="37"/>
  <c r="B9" i="36"/>
  <c r="D8" i="36"/>
  <c r="F8" i="36" s="1"/>
  <c r="B8" i="36"/>
  <c r="D7" i="36"/>
  <c r="F7" i="36" s="1"/>
  <c r="B7" i="36"/>
  <c r="D6" i="36"/>
  <c r="F6" i="36" s="1"/>
  <c r="B6" i="36"/>
  <c r="F5" i="36"/>
  <c r="D5" i="36"/>
  <c r="B5" i="36"/>
  <c r="B4" i="36"/>
  <c r="D4" i="36" s="1"/>
  <c r="F4" i="36" s="1"/>
  <c r="B39" i="35"/>
  <c r="B38" i="35"/>
  <c r="B37" i="35"/>
  <c r="C36" i="35"/>
  <c r="B36" i="35"/>
  <c r="B35" i="35"/>
  <c r="B40" i="35" s="1"/>
  <c r="B8" i="35"/>
  <c r="C7" i="35"/>
  <c r="E7" i="35" s="1"/>
  <c r="B7" i="35"/>
  <c r="B6" i="35"/>
  <c r="C5" i="35"/>
  <c r="B5" i="35"/>
  <c r="E4" i="35"/>
  <c r="C4" i="35"/>
  <c r="B4" i="35"/>
  <c r="I31" i="34"/>
  <c r="E5" i="35" s="1"/>
  <c r="G31" i="34"/>
  <c r="B9" i="32"/>
  <c r="H9" i="32" s="1"/>
  <c r="H8" i="32"/>
  <c r="D8" i="32"/>
  <c r="H7" i="32"/>
  <c r="D7" i="32"/>
  <c r="H6" i="32"/>
  <c r="D6" i="32"/>
  <c r="H5" i="32"/>
  <c r="F5" i="32"/>
  <c r="D5" i="32"/>
  <c r="D9" i="32" s="1"/>
  <c r="H4" i="32"/>
  <c r="D4" i="32"/>
  <c r="B3" i="31"/>
  <c r="E14" i="30"/>
  <c r="E13" i="30"/>
  <c r="E12" i="30"/>
  <c r="E11" i="30"/>
  <c r="E10" i="30"/>
  <c r="E9" i="30"/>
  <c r="E7" i="30"/>
  <c r="E6" i="30"/>
  <c r="E5" i="30"/>
  <c r="E15" i="30" s="1"/>
  <c r="B8" i="31" s="1"/>
  <c r="E4" i="30"/>
  <c r="E19" i="29"/>
  <c r="G18" i="29"/>
  <c r="F18" i="29"/>
  <c r="E18" i="29"/>
  <c r="D18" i="29"/>
  <c r="C18" i="29"/>
  <c r="B18" i="29"/>
  <c r="H18" i="29" s="1"/>
  <c r="G17" i="29"/>
  <c r="F17" i="29"/>
  <c r="E17" i="29"/>
  <c r="D17" i="29"/>
  <c r="C17" i="29"/>
  <c r="B17" i="29"/>
  <c r="G16" i="29"/>
  <c r="F16" i="29"/>
  <c r="E16" i="29"/>
  <c r="D16" i="29"/>
  <c r="C16" i="29"/>
  <c r="B16" i="29"/>
  <c r="H16" i="29" s="1"/>
  <c r="G15" i="29"/>
  <c r="G19" i="29" s="1"/>
  <c r="F15" i="29"/>
  <c r="E15" i="29"/>
  <c r="D15" i="29"/>
  <c r="C15" i="29"/>
  <c r="B15" i="29"/>
  <c r="G14" i="29"/>
  <c r="F14" i="29"/>
  <c r="E14" i="29"/>
  <c r="H14" i="29" s="1"/>
  <c r="D14" i="29"/>
  <c r="C14" i="29"/>
  <c r="B14" i="29"/>
  <c r="E9" i="29"/>
  <c r="E8" i="29"/>
  <c r="E7" i="29"/>
  <c r="E6" i="29"/>
  <c r="E5" i="29"/>
  <c r="E4" i="29"/>
  <c r="J12" i="26"/>
  <c r="E12" i="26"/>
  <c r="B57" i="25"/>
  <c r="S54" i="25"/>
  <c r="Q54" i="25"/>
  <c r="P54" i="25"/>
  <c r="D54" i="25"/>
  <c r="F53" i="25"/>
  <c r="F52" i="25"/>
  <c r="R52" i="25" s="1"/>
  <c r="R51" i="25"/>
  <c r="K51" i="25"/>
  <c r="F51" i="25"/>
  <c r="G51" i="25" s="1"/>
  <c r="G50" i="25"/>
  <c r="F50" i="25"/>
  <c r="R50" i="25" s="1"/>
  <c r="R49" i="25"/>
  <c r="H49" i="25"/>
  <c r="F49" i="25"/>
  <c r="G49" i="25" s="1"/>
  <c r="M48" i="25"/>
  <c r="K48" i="25"/>
  <c r="G48" i="25"/>
  <c r="F48" i="25"/>
  <c r="R48" i="25" s="1"/>
  <c r="R47" i="25"/>
  <c r="N47" i="25"/>
  <c r="G47" i="25"/>
  <c r="F47" i="25"/>
  <c r="G46" i="25"/>
  <c r="F46" i="25"/>
  <c r="R46" i="25" s="1"/>
  <c r="R45" i="25"/>
  <c r="L45" i="25"/>
  <c r="J45" i="25"/>
  <c r="G45" i="25"/>
  <c r="M45" i="25" s="1"/>
  <c r="F45" i="25"/>
  <c r="F44" i="25"/>
  <c r="R43" i="25"/>
  <c r="G43" i="25"/>
  <c r="F43" i="25"/>
  <c r="C54" i="27" s="1"/>
  <c r="F42" i="25"/>
  <c r="R42" i="25" s="1"/>
  <c r="F41" i="25"/>
  <c r="F40" i="25"/>
  <c r="F39" i="25"/>
  <c r="F38" i="25"/>
  <c r="R38" i="25" s="1"/>
  <c r="F37" i="25"/>
  <c r="F36" i="25"/>
  <c r="R36" i="25" s="1"/>
  <c r="R35" i="25"/>
  <c r="F35" i="25"/>
  <c r="C53" i="27" s="1"/>
  <c r="K34" i="25"/>
  <c r="G34" i="25"/>
  <c r="F34" i="25"/>
  <c r="R34" i="25" s="1"/>
  <c r="R33" i="25"/>
  <c r="N33" i="25"/>
  <c r="J33" i="25"/>
  <c r="H33" i="25"/>
  <c r="F33" i="25"/>
  <c r="G33" i="25" s="1"/>
  <c r="M32" i="25"/>
  <c r="K32" i="25"/>
  <c r="G32" i="25"/>
  <c r="F32" i="25"/>
  <c r="R32" i="25" s="1"/>
  <c r="R31" i="25"/>
  <c r="J31" i="25"/>
  <c r="G31" i="25"/>
  <c r="F31" i="25"/>
  <c r="G30" i="25"/>
  <c r="F30" i="25"/>
  <c r="R30" i="25" s="1"/>
  <c r="R29" i="25"/>
  <c r="G29" i="25"/>
  <c r="F29" i="25"/>
  <c r="F28" i="25"/>
  <c r="R27" i="25"/>
  <c r="G27" i="25"/>
  <c r="F27" i="25"/>
  <c r="F26" i="25"/>
  <c r="F25" i="25"/>
  <c r="F24" i="25"/>
  <c r="F23" i="25"/>
  <c r="F22" i="25"/>
  <c r="R22" i="25" s="1"/>
  <c r="R21" i="25"/>
  <c r="K21" i="25"/>
  <c r="F21" i="25"/>
  <c r="G21" i="25" s="1"/>
  <c r="F20" i="25"/>
  <c r="R20" i="25" s="1"/>
  <c r="F19" i="25"/>
  <c r="R19" i="25" s="1"/>
  <c r="J18" i="25"/>
  <c r="F18" i="25"/>
  <c r="G18" i="25" s="1"/>
  <c r="R17" i="25"/>
  <c r="F17" i="25"/>
  <c r="J16" i="25"/>
  <c r="F16" i="25"/>
  <c r="G16" i="25" s="1"/>
  <c r="M16" i="25" s="1"/>
  <c r="F15" i="25"/>
  <c r="F14" i="25"/>
  <c r="G14" i="25" s="1"/>
  <c r="R13" i="25"/>
  <c r="G13" i="25"/>
  <c r="F13" i="25"/>
  <c r="K12" i="25"/>
  <c r="H12" i="25"/>
  <c r="F12" i="25"/>
  <c r="G12" i="25" s="1"/>
  <c r="M12" i="25" s="1"/>
  <c r="R11" i="25"/>
  <c r="F11" i="25"/>
  <c r="F10" i="25"/>
  <c r="G10" i="25" s="1"/>
  <c r="G9" i="25"/>
  <c r="F9" i="25"/>
  <c r="B57" i="24"/>
  <c r="S54" i="24"/>
  <c r="Q54" i="24"/>
  <c r="P54" i="24"/>
  <c r="D54" i="24"/>
  <c r="L53" i="24"/>
  <c r="J53" i="24"/>
  <c r="H53" i="24"/>
  <c r="G53" i="24"/>
  <c r="M53" i="24" s="1"/>
  <c r="F53" i="24"/>
  <c r="R53" i="24" s="1"/>
  <c r="L52" i="24"/>
  <c r="F52" i="24"/>
  <c r="G52" i="24" s="1"/>
  <c r="N52" i="24" s="1"/>
  <c r="L51" i="24"/>
  <c r="J51" i="24"/>
  <c r="H51" i="24"/>
  <c r="G51" i="24"/>
  <c r="M51" i="24" s="1"/>
  <c r="F51" i="24"/>
  <c r="R51" i="24" s="1"/>
  <c r="L50" i="24"/>
  <c r="F50" i="24"/>
  <c r="G50" i="24" s="1"/>
  <c r="N50" i="24" s="1"/>
  <c r="L49" i="24"/>
  <c r="J49" i="24"/>
  <c r="H49" i="24"/>
  <c r="G49" i="24"/>
  <c r="M49" i="24" s="1"/>
  <c r="F49" i="24"/>
  <c r="R49" i="24" s="1"/>
  <c r="L48" i="24"/>
  <c r="F48" i="24"/>
  <c r="G48" i="24" s="1"/>
  <c r="N48" i="24" s="1"/>
  <c r="L47" i="24"/>
  <c r="J47" i="24"/>
  <c r="H47" i="24"/>
  <c r="G47" i="24"/>
  <c r="M47" i="24" s="1"/>
  <c r="F47" i="24"/>
  <c r="R47" i="24" s="1"/>
  <c r="L46" i="24"/>
  <c r="J46" i="24"/>
  <c r="H46" i="24"/>
  <c r="F46" i="24"/>
  <c r="G46" i="24" s="1"/>
  <c r="N46" i="24" s="1"/>
  <c r="F45" i="24"/>
  <c r="R45" i="24" s="1"/>
  <c r="F44" i="24"/>
  <c r="F43" i="24"/>
  <c r="C51" i="27" s="1"/>
  <c r="F42" i="24"/>
  <c r="F41" i="24"/>
  <c r="F40" i="24"/>
  <c r="F39" i="24"/>
  <c r="F38" i="24"/>
  <c r="F37" i="24"/>
  <c r="F36" i="24"/>
  <c r="F35" i="24"/>
  <c r="F34" i="24"/>
  <c r="F33" i="24"/>
  <c r="F32" i="24"/>
  <c r="F31" i="24"/>
  <c r="R31" i="24" s="1"/>
  <c r="F30" i="24"/>
  <c r="F29" i="24"/>
  <c r="R29" i="24" s="1"/>
  <c r="F28" i="24"/>
  <c r="N27" i="24"/>
  <c r="G27" i="24"/>
  <c r="F27" i="24"/>
  <c r="R27" i="24" s="1"/>
  <c r="F26" i="24"/>
  <c r="F25" i="24"/>
  <c r="R25" i="24" s="1"/>
  <c r="L24" i="24"/>
  <c r="G24" i="24"/>
  <c r="F24" i="24"/>
  <c r="R24" i="24" s="1"/>
  <c r="F23" i="24"/>
  <c r="R23" i="24" s="1"/>
  <c r="F22" i="24"/>
  <c r="R22" i="24" s="1"/>
  <c r="F21" i="24"/>
  <c r="G20" i="24"/>
  <c r="F20" i="24"/>
  <c r="R20" i="24" s="1"/>
  <c r="N19" i="24"/>
  <c r="J19" i="24"/>
  <c r="H19" i="24"/>
  <c r="G19" i="24"/>
  <c r="F19" i="24"/>
  <c r="R19" i="24" s="1"/>
  <c r="F18" i="24"/>
  <c r="R18" i="24" s="1"/>
  <c r="F17" i="24"/>
  <c r="R17" i="24" s="1"/>
  <c r="L16" i="24"/>
  <c r="G16" i="24"/>
  <c r="F16" i="24"/>
  <c r="R16" i="24" s="1"/>
  <c r="F15" i="24"/>
  <c r="R15" i="24" s="1"/>
  <c r="F14" i="24"/>
  <c r="R14" i="24" s="1"/>
  <c r="F13" i="24"/>
  <c r="G12" i="24"/>
  <c r="F12" i="24"/>
  <c r="R12" i="24" s="1"/>
  <c r="N11" i="24"/>
  <c r="J11" i="24"/>
  <c r="H11" i="24"/>
  <c r="G11" i="24"/>
  <c r="F11" i="24"/>
  <c r="R11" i="24" s="1"/>
  <c r="F10" i="24"/>
  <c r="R10" i="24" s="1"/>
  <c r="F9" i="24"/>
  <c r="B57" i="23"/>
  <c r="S54" i="23"/>
  <c r="Q54" i="23"/>
  <c r="P54" i="23"/>
  <c r="D54" i="23"/>
  <c r="K53" i="23"/>
  <c r="G53" i="23"/>
  <c r="F53" i="23"/>
  <c r="R53" i="23" s="1"/>
  <c r="G52" i="23"/>
  <c r="F52" i="23"/>
  <c r="R52" i="23" s="1"/>
  <c r="K51" i="23"/>
  <c r="G51" i="23"/>
  <c r="F51" i="23"/>
  <c r="R51" i="23" s="1"/>
  <c r="G50" i="23"/>
  <c r="F50" i="23"/>
  <c r="R50" i="23" s="1"/>
  <c r="K49" i="23"/>
  <c r="G49" i="23"/>
  <c r="F49" i="23"/>
  <c r="R49" i="23" s="1"/>
  <c r="G48" i="23"/>
  <c r="F48" i="23"/>
  <c r="R48" i="23" s="1"/>
  <c r="K47" i="23"/>
  <c r="G47" i="23"/>
  <c r="F47" i="23"/>
  <c r="R47" i="23" s="1"/>
  <c r="G46" i="23"/>
  <c r="F46" i="23"/>
  <c r="R46" i="23" s="1"/>
  <c r="K45" i="23"/>
  <c r="G45" i="23"/>
  <c r="F45" i="23"/>
  <c r="R45" i="23" s="1"/>
  <c r="G44" i="23"/>
  <c r="F44" i="23"/>
  <c r="R44" i="23" s="1"/>
  <c r="K43" i="23"/>
  <c r="G43" i="23"/>
  <c r="F43" i="23"/>
  <c r="C48" i="27" s="1"/>
  <c r="G42" i="23"/>
  <c r="F42" i="23"/>
  <c r="R42" i="23" s="1"/>
  <c r="K41" i="23"/>
  <c r="G41" i="23"/>
  <c r="F41" i="23"/>
  <c r="R41" i="23" s="1"/>
  <c r="G40" i="23"/>
  <c r="F40" i="23"/>
  <c r="R40" i="23" s="1"/>
  <c r="K39" i="23"/>
  <c r="G39" i="23"/>
  <c r="F39" i="23"/>
  <c r="R39" i="23" s="1"/>
  <c r="K38" i="23"/>
  <c r="G38" i="23"/>
  <c r="F38" i="23"/>
  <c r="R38" i="23" s="1"/>
  <c r="K37" i="23"/>
  <c r="G37" i="23"/>
  <c r="F37" i="23"/>
  <c r="R37" i="23" s="1"/>
  <c r="K36" i="23"/>
  <c r="H36" i="23"/>
  <c r="G36" i="23"/>
  <c r="F36" i="23"/>
  <c r="R36" i="23" s="1"/>
  <c r="G35" i="23"/>
  <c r="F35" i="23"/>
  <c r="C47" i="27" s="1"/>
  <c r="K34" i="23"/>
  <c r="H34" i="23"/>
  <c r="G34" i="23"/>
  <c r="F34" i="23"/>
  <c r="C46" i="27" s="1"/>
  <c r="L33" i="23"/>
  <c r="K33" i="23"/>
  <c r="G33" i="23"/>
  <c r="F33" i="23"/>
  <c r="R33" i="23" s="1"/>
  <c r="K32" i="23"/>
  <c r="H32" i="23"/>
  <c r="G32" i="23"/>
  <c r="F32" i="23"/>
  <c r="R32" i="23" s="1"/>
  <c r="G31" i="23"/>
  <c r="L31" i="23" s="1"/>
  <c r="F31" i="23"/>
  <c r="R31" i="23" s="1"/>
  <c r="F30" i="23"/>
  <c r="R30" i="23" s="1"/>
  <c r="J29" i="23"/>
  <c r="G29" i="23"/>
  <c r="F29" i="23"/>
  <c r="R29" i="23" s="1"/>
  <c r="G28" i="23"/>
  <c r="F28" i="23"/>
  <c r="R28" i="23" s="1"/>
  <c r="L27" i="23"/>
  <c r="K27" i="23"/>
  <c r="J27" i="23"/>
  <c r="G27" i="23"/>
  <c r="F27" i="23"/>
  <c r="R27" i="23" s="1"/>
  <c r="G26" i="23"/>
  <c r="F26" i="23"/>
  <c r="L25" i="23"/>
  <c r="K25" i="23"/>
  <c r="J25" i="23"/>
  <c r="G25" i="23"/>
  <c r="F25" i="23"/>
  <c r="R25" i="23" s="1"/>
  <c r="R24" i="23"/>
  <c r="N24" i="23"/>
  <c r="H24" i="23"/>
  <c r="G24" i="23"/>
  <c r="F24" i="23"/>
  <c r="N23" i="23"/>
  <c r="J23" i="23"/>
  <c r="G23" i="23"/>
  <c r="F23" i="23"/>
  <c r="L22" i="23"/>
  <c r="K22" i="23"/>
  <c r="H22" i="23"/>
  <c r="G22" i="23"/>
  <c r="J22" i="23" s="1"/>
  <c r="F22" i="23"/>
  <c r="R22" i="23" s="1"/>
  <c r="L21" i="23"/>
  <c r="H21" i="23"/>
  <c r="G21" i="23"/>
  <c r="N21" i="23" s="1"/>
  <c r="F21" i="23"/>
  <c r="R21" i="23" s="1"/>
  <c r="L20" i="23"/>
  <c r="K20" i="23"/>
  <c r="H20" i="23"/>
  <c r="G20" i="23"/>
  <c r="J20" i="23" s="1"/>
  <c r="F20" i="23"/>
  <c r="R20" i="23" s="1"/>
  <c r="L19" i="23"/>
  <c r="H19" i="23"/>
  <c r="G19" i="23"/>
  <c r="N19" i="23" s="1"/>
  <c r="F19" i="23"/>
  <c r="R19" i="23" s="1"/>
  <c r="L18" i="23"/>
  <c r="K18" i="23"/>
  <c r="H18" i="23"/>
  <c r="G18" i="23"/>
  <c r="J18" i="23" s="1"/>
  <c r="F18" i="23"/>
  <c r="R18" i="23" s="1"/>
  <c r="L17" i="23"/>
  <c r="H17" i="23"/>
  <c r="G17" i="23"/>
  <c r="N17" i="23" s="1"/>
  <c r="F17" i="23"/>
  <c r="R17" i="23" s="1"/>
  <c r="L16" i="23"/>
  <c r="K16" i="23"/>
  <c r="H16" i="23"/>
  <c r="G16" i="23"/>
  <c r="J16" i="23" s="1"/>
  <c r="F16" i="23"/>
  <c r="R16" i="23" s="1"/>
  <c r="P15" i="23"/>
  <c r="L15" i="23"/>
  <c r="H15" i="23"/>
  <c r="G15" i="23"/>
  <c r="N15" i="23" s="1"/>
  <c r="F15" i="23"/>
  <c r="R15" i="23" s="1"/>
  <c r="L14" i="23"/>
  <c r="K14" i="23"/>
  <c r="H14" i="23"/>
  <c r="G14" i="23"/>
  <c r="J14" i="23" s="1"/>
  <c r="F14" i="23"/>
  <c r="R14" i="23" s="1"/>
  <c r="L13" i="23"/>
  <c r="H13" i="23"/>
  <c r="G13" i="23"/>
  <c r="N13" i="23" s="1"/>
  <c r="F13" i="23"/>
  <c r="R13" i="23" s="1"/>
  <c r="L12" i="23"/>
  <c r="K12" i="23"/>
  <c r="H12" i="23"/>
  <c r="G12" i="23"/>
  <c r="J12" i="23" s="1"/>
  <c r="F12" i="23"/>
  <c r="R12" i="23" s="1"/>
  <c r="L11" i="23"/>
  <c r="H11" i="23"/>
  <c r="G11" i="23"/>
  <c r="N11" i="23" s="1"/>
  <c r="F11" i="23"/>
  <c r="R11" i="23" s="1"/>
  <c r="L10" i="23"/>
  <c r="K10" i="23"/>
  <c r="H10" i="23"/>
  <c r="G10" i="23"/>
  <c r="J10" i="23" s="1"/>
  <c r="F10" i="23"/>
  <c r="R10" i="23" s="1"/>
  <c r="L9" i="23"/>
  <c r="H9" i="23"/>
  <c r="G9" i="23"/>
  <c r="F9" i="23"/>
  <c r="F54" i="23" s="1"/>
  <c r="B52" i="22"/>
  <c r="S49" i="22"/>
  <c r="Q49" i="22"/>
  <c r="P49" i="22"/>
  <c r="D49" i="22"/>
  <c r="F48" i="22"/>
  <c r="F47" i="22"/>
  <c r="F46" i="22"/>
  <c r="F45" i="22"/>
  <c r="F44" i="22"/>
  <c r="F43" i="22"/>
  <c r="C45" i="27" s="1"/>
  <c r="F42" i="22"/>
  <c r="F41" i="22"/>
  <c r="F40" i="22"/>
  <c r="F39" i="22"/>
  <c r="F38" i="22"/>
  <c r="F37" i="22"/>
  <c r="F36" i="22"/>
  <c r="F35" i="22"/>
  <c r="F34" i="22"/>
  <c r="F33" i="22"/>
  <c r="F32" i="22"/>
  <c r="F31" i="22"/>
  <c r="F30" i="22"/>
  <c r="F29" i="22"/>
  <c r="F28" i="22"/>
  <c r="F27" i="22"/>
  <c r="F26" i="22"/>
  <c r="F25" i="22"/>
  <c r="F24" i="22"/>
  <c r="F23" i="22"/>
  <c r="F22" i="22"/>
  <c r="F21" i="22"/>
  <c r="F20" i="22"/>
  <c r="F19" i="22"/>
  <c r="F18" i="22"/>
  <c r="F17" i="22"/>
  <c r="F16" i="22"/>
  <c r="R15" i="22"/>
  <c r="N15" i="22"/>
  <c r="L15" i="22"/>
  <c r="J15" i="22"/>
  <c r="H15" i="22"/>
  <c r="F15" i="22"/>
  <c r="G15" i="22" s="1"/>
  <c r="M14" i="22"/>
  <c r="L14" i="22"/>
  <c r="J14" i="22"/>
  <c r="F14" i="22"/>
  <c r="G14" i="22" s="1"/>
  <c r="N14" i="22" s="1"/>
  <c r="L13" i="22"/>
  <c r="F13" i="22"/>
  <c r="G13" i="22" s="1"/>
  <c r="N13" i="22" s="1"/>
  <c r="N12" i="22"/>
  <c r="M12" i="22"/>
  <c r="L12" i="22"/>
  <c r="H12" i="22"/>
  <c r="F12" i="22"/>
  <c r="G12" i="22" s="1"/>
  <c r="N11" i="22"/>
  <c r="F11" i="22"/>
  <c r="G11" i="22" s="1"/>
  <c r="M11" i="22" s="1"/>
  <c r="R10" i="22"/>
  <c r="M10" i="22"/>
  <c r="L10" i="22"/>
  <c r="J10" i="22"/>
  <c r="H10" i="22"/>
  <c r="G10" i="22"/>
  <c r="N10" i="22" s="1"/>
  <c r="F10" i="22"/>
  <c r="F9" i="22"/>
  <c r="B51" i="21"/>
  <c r="S48" i="21"/>
  <c r="Q48" i="21"/>
  <c r="P48" i="21"/>
  <c r="D48" i="21"/>
  <c r="F47" i="21"/>
  <c r="F46" i="21"/>
  <c r="F45" i="21"/>
  <c r="F44" i="21"/>
  <c r="F43" i="21"/>
  <c r="F42" i="21"/>
  <c r="F41" i="21"/>
  <c r="F40" i="21"/>
  <c r="F39" i="21"/>
  <c r="F38" i="21"/>
  <c r="F37" i="21"/>
  <c r="F36" i="21"/>
  <c r="F35" i="21"/>
  <c r="F34" i="21"/>
  <c r="F33" i="21"/>
  <c r="F32" i="21"/>
  <c r="F31" i="21"/>
  <c r="F30" i="21"/>
  <c r="F29" i="21"/>
  <c r="F28" i="21"/>
  <c r="F27" i="21"/>
  <c r="F26" i="21"/>
  <c r="F25" i="21"/>
  <c r="F24" i="21"/>
  <c r="F23" i="21"/>
  <c r="C38" i="27" s="1"/>
  <c r="F22" i="21"/>
  <c r="F21" i="21"/>
  <c r="F20" i="21"/>
  <c r="F19" i="21"/>
  <c r="C36" i="27" s="1"/>
  <c r="F18" i="21"/>
  <c r="F17" i="21"/>
  <c r="C34" i="27" s="1"/>
  <c r="F16" i="21"/>
  <c r="F15" i="21"/>
  <c r="F14" i="21"/>
  <c r="F13" i="21"/>
  <c r="F12" i="21"/>
  <c r="F11" i="21"/>
  <c r="F10" i="21"/>
  <c r="F9" i="21"/>
  <c r="S48" i="20"/>
  <c r="B51" i="20" s="1"/>
  <c r="Q48" i="20"/>
  <c r="P48" i="20"/>
  <c r="D48" i="20"/>
  <c r="R47" i="20"/>
  <c r="L47" i="20"/>
  <c r="J47" i="20"/>
  <c r="H47" i="20"/>
  <c r="G47" i="20"/>
  <c r="N47" i="20" s="1"/>
  <c r="F47" i="20"/>
  <c r="F46" i="20"/>
  <c r="R46" i="20" s="1"/>
  <c r="R45" i="20"/>
  <c r="L45" i="20"/>
  <c r="J45" i="20"/>
  <c r="H45" i="20"/>
  <c r="G45" i="20"/>
  <c r="N45" i="20" s="1"/>
  <c r="F45" i="20"/>
  <c r="F44" i="20"/>
  <c r="R44" i="20" s="1"/>
  <c r="R43" i="20"/>
  <c r="L43" i="20"/>
  <c r="J43" i="20"/>
  <c r="H43" i="20"/>
  <c r="G43" i="20"/>
  <c r="N43" i="20" s="1"/>
  <c r="F43" i="20"/>
  <c r="F42" i="20"/>
  <c r="C33" i="27" s="1"/>
  <c r="R41" i="20"/>
  <c r="L41" i="20"/>
  <c r="J41" i="20"/>
  <c r="H41" i="20"/>
  <c r="G41" i="20"/>
  <c r="N41" i="20" s="1"/>
  <c r="F41" i="20"/>
  <c r="F40" i="20"/>
  <c r="R40" i="20" s="1"/>
  <c r="R39" i="20"/>
  <c r="L39" i="20"/>
  <c r="J39" i="20"/>
  <c r="H39" i="20"/>
  <c r="G39" i="20"/>
  <c r="N39" i="20" s="1"/>
  <c r="F39" i="20"/>
  <c r="F38" i="20"/>
  <c r="R38" i="20" s="1"/>
  <c r="R37" i="20"/>
  <c r="L37" i="20"/>
  <c r="J37" i="20"/>
  <c r="H37" i="20"/>
  <c r="G37" i="20"/>
  <c r="N37" i="20" s="1"/>
  <c r="F37" i="20"/>
  <c r="F36" i="20"/>
  <c r="R36" i="20" s="1"/>
  <c r="R35" i="20"/>
  <c r="L35" i="20"/>
  <c r="J35" i="20"/>
  <c r="H35" i="20"/>
  <c r="G35" i="20"/>
  <c r="N35" i="20" s="1"/>
  <c r="F35" i="20"/>
  <c r="F34" i="20"/>
  <c r="R34" i="20" s="1"/>
  <c r="R33" i="20"/>
  <c r="L33" i="20"/>
  <c r="J33" i="20"/>
  <c r="H33" i="20"/>
  <c r="G33" i="20"/>
  <c r="N33" i="20" s="1"/>
  <c r="F33" i="20"/>
  <c r="F32" i="20"/>
  <c r="R31" i="20"/>
  <c r="L31" i="20"/>
  <c r="J31" i="20"/>
  <c r="H31" i="20"/>
  <c r="G31" i="20"/>
  <c r="N31" i="20" s="1"/>
  <c r="F31" i="20"/>
  <c r="F30" i="20"/>
  <c r="R29" i="20"/>
  <c r="L29" i="20"/>
  <c r="J29" i="20"/>
  <c r="H29" i="20"/>
  <c r="G29" i="20"/>
  <c r="N29" i="20" s="1"/>
  <c r="F29" i="20"/>
  <c r="F28" i="20"/>
  <c r="R27" i="20"/>
  <c r="L27" i="20"/>
  <c r="J27" i="20"/>
  <c r="H27" i="20"/>
  <c r="G27" i="20"/>
  <c r="N27" i="20" s="1"/>
  <c r="F27" i="20"/>
  <c r="F26" i="20"/>
  <c r="R25" i="20"/>
  <c r="L25" i="20"/>
  <c r="J25" i="20"/>
  <c r="H25" i="20"/>
  <c r="G25" i="20"/>
  <c r="N25" i="20" s="1"/>
  <c r="F25" i="20"/>
  <c r="F24" i="20"/>
  <c r="R23" i="20"/>
  <c r="L23" i="20"/>
  <c r="J23" i="20"/>
  <c r="H23" i="20"/>
  <c r="G23" i="20"/>
  <c r="N23" i="20" s="1"/>
  <c r="F23" i="20"/>
  <c r="C32" i="27" s="1"/>
  <c r="F22" i="20"/>
  <c r="R21" i="20"/>
  <c r="L21" i="20"/>
  <c r="J21" i="20"/>
  <c r="H21" i="20"/>
  <c r="F21" i="20"/>
  <c r="G21" i="20" s="1"/>
  <c r="F20" i="20"/>
  <c r="R19" i="20"/>
  <c r="F19" i="20"/>
  <c r="C30" i="27" s="1"/>
  <c r="F18" i="20"/>
  <c r="R17" i="20"/>
  <c r="F17" i="20"/>
  <c r="C28" i="27" s="1"/>
  <c r="F16" i="20"/>
  <c r="L15" i="20"/>
  <c r="F15" i="20"/>
  <c r="G15" i="20" s="1"/>
  <c r="N15" i="20" s="1"/>
  <c r="F14" i="20"/>
  <c r="R13" i="20"/>
  <c r="N13" i="20"/>
  <c r="L13" i="20"/>
  <c r="J13" i="20"/>
  <c r="H13" i="20"/>
  <c r="F13" i="20"/>
  <c r="G13" i="20" s="1"/>
  <c r="F12" i="20"/>
  <c r="L11" i="20"/>
  <c r="F11" i="20"/>
  <c r="G11" i="20" s="1"/>
  <c r="N11" i="20" s="1"/>
  <c r="F10" i="20"/>
  <c r="R9" i="20"/>
  <c r="F9" i="20"/>
  <c r="B52" i="19"/>
  <c r="S49" i="19"/>
  <c r="Q49" i="19"/>
  <c r="P49" i="19"/>
  <c r="D49" i="19"/>
  <c r="F48" i="19"/>
  <c r="G48" i="19" s="1"/>
  <c r="F47" i="19"/>
  <c r="F46" i="19"/>
  <c r="G46" i="19" s="1"/>
  <c r="F45" i="19"/>
  <c r="F44" i="19"/>
  <c r="G44" i="19" s="1"/>
  <c r="F43" i="19"/>
  <c r="F42" i="19"/>
  <c r="G42" i="19" s="1"/>
  <c r="F41" i="19"/>
  <c r="F40" i="19"/>
  <c r="G40" i="19" s="1"/>
  <c r="F39" i="19"/>
  <c r="F38" i="19"/>
  <c r="G38" i="19" s="1"/>
  <c r="F37" i="19"/>
  <c r="F36" i="19"/>
  <c r="G36" i="19" s="1"/>
  <c r="F35" i="19"/>
  <c r="F34" i="19"/>
  <c r="G34" i="19" s="1"/>
  <c r="F33" i="19"/>
  <c r="F32" i="19"/>
  <c r="G32" i="19" s="1"/>
  <c r="F31" i="19"/>
  <c r="F30" i="19"/>
  <c r="G30" i="19" s="1"/>
  <c r="F29" i="19"/>
  <c r="F28" i="19"/>
  <c r="G28" i="19" s="1"/>
  <c r="F27" i="19"/>
  <c r="F26" i="19"/>
  <c r="G26" i="19" s="1"/>
  <c r="F25" i="19"/>
  <c r="F24" i="19"/>
  <c r="C26" i="27" s="1"/>
  <c r="F23" i="19"/>
  <c r="F22" i="19"/>
  <c r="G22" i="19" s="1"/>
  <c r="F21" i="19"/>
  <c r="F20" i="19"/>
  <c r="C24" i="27" s="1"/>
  <c r="F19" i="19"/>
  <c r="F18" i="19"/>
  <c r="C22" i="27" s="1"/>
  <c r="F17" i="19"/>
  <c r="F16" i="19"/>
  <c r="G16" i="19" s="1"/>
  <c r="F15" i="19"/>
  <c r="F14" i="19"/>
  <c r="G14" i="19" s="1"/>
  <c r="F13" i="19"/>
  <c r="F12" i="19"/>
  <c r="G12" i="19" s="1"/>
  <c r="F11" i="19"/>
  <c r="F10" i="19"/>
  <c r="G10" i="19" s="1"/>
  <c r="F9" i="19"/>
  <c r="S48" i="18"/>
  <c r="B51" i="18" s="1"/>
  <c r="Q48" i="18"/>
  <c r="P48" i="18"/>
  <c r="D48" i="18"/>
  <c r="F47" i="18"/>
  <c r="R47" i="18" s="1"/>
  <c r="F46" i="18"/>
  <c r="R46" i="18" s="1"/>
  <c r="F45" i="18"/>
  <c r="R45" i="18" s="1"/>
  <c r="F44" i="18"/>
  <c r="R44" i="18" s="1"/>
  <c r="F43" i="18"/>
  <c r="R43" i="18" s="1"/>
  <c r="F42" i="18"/>
  <c r="C21" i="27" s="1"/>
  <c r="F41" i="18"/>
  <c r="R41" i="18" s="1"/>
  <c r="F40" i="18"/>
  <c r="F39" i="18"/>
  <c r="F38" i="18"/>
  <c r="F37" i="18"/>
  <c r="F36" i="18"/>
  <c r="F35" i="18"/>
  <c r="F34" i="18"/>
  <c r="F33" i="18"/>
  <c r="F32" i="18"/>
  <c r="F31" i="18"/>
  <c r="F30" i="18"/>
  <c r="F29" i="18"/>
  <c r="F28" i="18"/>
  <c r="F27" i="18"/>
  <c r="F26" i="18"/>
  <c r="F25" i="18"/>
  <c r="F24" i="18"/>
  <c r="F23" i="18"/>
  <c r="F22" i="18"/>
  <c r="F21" i="18"/>
  <c r="F20" i="18"/>
  <c r="F19" i="18"/>
  <c r="G18" i="18"/>
  <c r="F18" i="18"/>
  <c r="C17" i="27" s="1"/>
  <c r="R17" i="18"/>
  <c r="M17" i="18"/>
  <c r="K17" i="18"/>
  <c r="G17" i="18"/>
  <c r="J17" i="18" s="1"/>
  <c r="F17" i="18"/>
  <c r="C16" i="27" s="1"/>
  <c r="R16" i="18"/>
  <c r="G16" i="18"/>
  <c r="F16" i="18"/>
  <c r="R15" i="18"/>
  <c r="M15" i="18"/>
  <c r="K15" i="18"/>
  <c r="G15" i="18"/>
  <c r="J15" i="18" s="1"/>
  <c r="F15" i="18"/>
  <c r="R14" i="18"/>
  <c r="G14" i="18"/>
  <c r="F14" i="18"/>
  <c r="R13" i="18"/>
  <c r="M13" i="18"/>
  <c r="K13" i="18"/>
  <c r="G13" i="18"/>
  <c r="J13" i="18" s="1"/>
  <c r="F13" i="18"/>
  <c r="R12" i="18"/>
  <c r="G12" i="18"/>
  <c r="F12" i="18"/>
  <c r="H12" i="18" s="1"/>
  <c r="R11" i="18"/>
  <c r="M11" i="18"/>
  <c r="K11" i="18"/>
  <c r="G11" i="18"/>
  <c r="J11" i="18" s="1"/>
  <c r="F11" i="18"/>
  <c r="R10" i="18"/>
  <c r="G10" i="18"/>
  <c r="F10" i="18"/>
  <c r="R9" i="18"/>
  <c r="M9" i="18"/>
  <c r="K9" i="18"/>
  <c r="G9" i="18"/>
  <c r="J9" i="18" s="1"/>
  <c r="F9" i="18"/>
  <c r="S65" i="17"/>
  <c r="B68" i="17" s="1"/>
  <c r="Q65" i="17"/>
  <c r="P65" i="17"/>
  <c r="F65" i="17"/>
  <c r="D65" i="17"/>
  <c r="R64" i="17"/>
  <c r="K64" i="17"/>
  <c r="G64" i="17"/>
  <c r="H64" i="17" s="1"/>
  <c r="F64" i="17"/>
  <c r="R63" i="17"/>
  <c r="G63" i="17"/>
  <c r="F63" i="17"/>
  <c r="R62" i="17"/>
  <c r="K62" i="17"/>
  <c r="G62" i="17"/>
  <c r="H62" i="17" s="1"/>
  <c r="F62" i="17"/>
  <c r="R61" i="17"/>
  <c r="M61" i="17"/>
  <c r="G61" i="17"/>
  <c r="F61" i="17"/>
  <c r="H61" i="17" s="1"/>
  <c r="R60" i="17"/>
  <c r="K60" i="17"/>
  <c r="G60" i="17"/>
  <c r="H60" i="17" s="1"/>
  <c r="F60" i="17"/>
  <c r="R59" i="17"/>
  <c r="G59" i="17"/>
  <c r="F59" i="17"/>
  <c r="C15" i="27" s="1"/>
  <c r="R58" i="17"/>
  <c r="K58" i="17"/>
  <c r="G58" i="17"/>
  <c r="H58" i="17" s="1"/>
  <c r="F58" i="17"/>
  <c r="M57" i="17"/>
  <c r="G57" i="17"/>
  <c r="F57" i="17"/>
  <c r="R57" i="17" s="1"/>
  <c r="R56" i="17"/>
  <c r="K56" i="17"/>
  <c r="G56" i="17"/>
  <c r="H56" i="17" s="1"/>
  <c r="F56" i="17"/>
  <c r="G55" i="17"/>
  <c r="F55" i="17"/>
  <c r="R55" i="17" s="1"/>
  <c r="R54" i="17"/>
  <c r="K54" i="17"/>
  <c r="G54" i="17"/>
  <c r="H54" i="17" s="1"/>
  <c r="F54" i="17"/>
  <c r="M53" i="17"/>
  <c r="G53" i="17"/>
  <c r="F53" i="17"/>
  <c r="R53" i="17" s="1"/>
  <c r="R52" i="17"/>
  <c r="K52" i="17"/>
  <c r="G52" i="17"/>
  <c r="H52" i="17" s="1"/>
  <c r="F52" i="17"/>
  <c r="G51" i="17"/>
  <c r="F51" i="17"/>
  <c r="R51" i="17" s="1"/>
  <c r="R50" i="17"/>
  <c r="K50" i="17"/>
  <c r="G50" i="17"/>
  <c r="H50" i="17" s="1"/>
  <c r="F50" i="17"/>
  <c r="M49" i="17"/>
  <c r="G49" i="17"/>
  <c r="F49" i="17"/>
  <c r="R49" i="17" s="1"/>
  <c r="R48" i="17"/>
  <c r="K48" i="17"/>
  <c r="G48" i="17"/>
  <c r="H48" i="17" s="1"/>
  <c r="F48" i="17"/>
  <c r="M47" i="17"/>
  <c r="G47" i="17"/>
  <c r="F47" i="17"/>
  <c r="R47" i="17" s="1"/>
  <c r="R46" i="17"/>
  <c r="K46" i="17"/>
  <c r="G46" i="17"/>
  <c r="H46" i="17" s="1"/>
  <c r="F46" i="17"/>
  <c r="G45" i="17"/>
  <c r="F45" i="17"/>
  <c r="R45" i="17" s="1"/>
  <c r="R44" i="17"/>
  <c r="K44" i="17"/>
  <c r="G44" i="17"/>
  <c r="H44" i="17" s="1"/>
  <c r="F44" i="17"/>
  <c r="G43" i="17"/>
  <c r="F43" i="17"/>
  <c r="R43" i="17" s="1"/>
  <c r="R42" i="17"/>
  <c r="K42" i="17"/>
  <c r="G42" i="17"/>
  <c r="H42" i="17" s="1"/>
  <c r="F42" i="17"/>
  <c r="M41" i="17"/>
  <c r="G41" i="17"/>
  <c r="F41" i="17"/>
  <c r="R41" i="17" s="1"/>
  <c r="R40" i="17"/>
  <c r="K40" i="17"/>
  <c r="G40" i="17"/>
  <c r="H40" i="17" s="1"/>
  <c r="F40" i="17"/>
  <c r="C14" i="27" s="1"/>
  <c r="G39" i="17"/>
  <c r="F39" i="17"/>
  <c r="C13" i="27" s="1"/>
  <c r="R38" i="17"/>
  <c r="K38" i="17"/>
  <c r="G38" i="17"/>
  <c r="H38" i="17" s="1"/>
  <c r="F38" i="17"/>
  <c r="M37" i="17"/>
  <c r="G37" i="17"/>
  <c r="F37" i="17"/>
  <c r="R37" i="17" s="1"/>
  <c r="R36" i="17"/>
  <c r="K36" i="17"/>
  <c r="G36" i="17"/>
  <c r="F36" i="17"/>
  <c r="C12" i="27" s="1"/>
  <c r="G35" i="17"/>
  <c r="F35" i="17"/>
  <c r="C11" i="27" s="1"/>
  <c r="R34" i="17"/>
  <c r="K34" i="17"/>
  <c r="G34" i="17"/>
  <c r="F34" i="17"/>
  <c r="C10" i="27" s="1"/>
  <c r="M33" i="17"/>
  <c r="K33" i="17"/>
  <c r="G33" i="17"/>
  <c r="F33" i="17"/>
  <c r="R33" i="17" s="1"/>
  <c r="R32" i="17"/>
  <c r="G32" i="17"/>
  <c r="F32" i="17"/>
  <c r="M31" i="17"/>
  <c r="K31" i="17"/>
  <c r="G31" i="17"/>
  <c r="F31" i="17"/>
  <c r="R31" i="17" s="1"/>
  <c r="R30" i="17"/>
  <c r="G30" i="17"/>
  <c r="K30" i="17" s="1"/>
  <c r="F30" i="17"/>
  <c r="H30" i="17" s="1"/>
  <c r="G29" i="17"/>
  <c r="F29" i="17"/>
  <c r="R29" i="17" s="1"/>
  <c r="R28" i="17"/>
  <c r="G28" i="17"/>
  <c r="F28" i="17"/>
  <c r="G27" i="17"/>
  <c r="M27" i="17" s="1"/>
  <c r="F27" i="17"/>
  <c r="R27" i="17" s="1"/>
  <c r="R26" i="17"/>
  <c r="K26" i="17"/>
  <c r="G26" i="17"/>
  <c r="F26" i="17"/>
  <c r="G25" i="17"/>
  <c r="F25" i="17"/>
  <c r="R25" i="17" s="1"/>
  <c r="R24" i="17"/>
  <c r="G24" i="17"/>
  <c r="F24" i="17"/>
  <c r="M23" i="17"/>
  <c r="K23" i="17"/>
  <c r="G23" i="17"/>
  <c r="F23" i="17"/>
  <c r="R23" i="17" s="1"/>
  <c r="R22" i="17"/>
  <c r="G22" i="17"/>
  <c r="F22" i="17"/>
  <c r="H22" i="17" s="1"/>
  <c r="G21" i="17"/>
  <c r="F21" i="17"/>
  <c r="R21" i="17" s="1"/>
  <c r="R20" i="17"/>
  <c r="K20" i="17"/>
  <c r="G20" i="17"/>
  <c r="F20" i="17"/>
  <c r="H20" i="17" s="1"/>
  <c r="K19" i="17"/>
  <c r="G19" i="17"/>
  <c r="F19" i="17"/>
  <c r="R19" i="17" s="1"/>
  <c r="R18" i="17"/>
  <c r="K18" i="17"/>
  <c r="G18" i="17"/>
  <c r="F18" i="17"/>
  <c r="H18" i="17" s="1"/>
  <c r="M17" i="17"/>
  <c r="K17" i="17"/>
  <c r="G17" i="17"/>
  <c r="F17" i="17"/>
  <c r="R17" i="17" s="1"/>
  <c r="R16" i="17"/>
  <c r="G16" i="17"/>
  <c r="F16" i="17"/>
  <c r="M15" i="17"/>
  <c r="K15" i="17"/>
  <c r="G15" i="17"/>
  <c r="F15" i="17"/>
  <c r="R15" i="17" s="1"/>
  <c r="R14" i="17"/>
  <c r="G14" i="17"/>
  <c r="K14" i="17" s="1"/>
  <c r="F14" i="17"/>
  <c r="C9" i="27" s="1"/>
  <c r="G13" i="17"/>
  <c r="F13" i="17"/>
  <c r="R13" i="17" s="1"/>
  <c r="R12" i="17"/>
  <c r="G12" i="17"/>
  <c r="F12" i="17"/>
  <c r="G11" i="17"/>
  <c r="M11" i="17" s="1"/>
  <c r="F11" i="17"/>
  <c r="R11" i="17" s="1"/>
  <c r="R10" i="17"/>
  <c r="K10" i="17"/>
  <c r="G10" i="17"/>
  <c r="F10" i="17"/>
  <c r="G9" i="17"/>
  <c r="F9" i="17"/>
  <c r="R9" i="17" s="1"/>
  <c r="S51" i="16"/>
  <c r="B54" i="16" s="1"/>
  <c r="Q51" i="16"/>
  <c r="P51" i="16"/>
  <c r="F51" i="16"/>
  <c r="D51" i="16"/>
  <c r="R50" i="16"/>
  <c r="M50" i="16"/>
  <c r="L50" i="16"/>
  <c r="K50" i="16"/>
  <c r="J50" i="16"/>
  <c r="H50" i="16"/>
  <c r="G50" i="16"/>
  <c r="F50" i="16"/>
  <c r="R49" i="16"/>
  <c r="G49" i="16"/>
  <c r="F49" i="16"/>
  <c r="R48" i="16"/>
  <c r="M48" i="16"/>
  <c r="L48" i="16"/>
  <c r="K48" i="16"/>
  <c r="J48" i="16"/>
  <c r="H48" i="16"/>
  <c r="G48" i="16"/>
  <c r="F48" i="16"/>
  <c r="R47" i="16"/>
  <c r="G47" i="16"/>
  <c r="F47" i="16"/>
  <c r="R46" i="16"/>
  <c r="M46" i="16"/>
  <c r="L46" i="16"/>
  <c r="K46" i="16"/>
  <c r="J46" i="16"/>
  <c r="H46" i="16"/>
  <c r="G46" i="16"/>
  <c r="F46" i="16"/>
  <c r="R45" i="16"/>
  <c r="M45" i="16"/>
  <c r="G45" i="16"/>
  <c r="F45" i="16"/>
  <c r="C8" i="27" s="1"/>
  <c r="R44" i="16"/>
  <c r="M44" i="16"/>
  <c r="L44" i="16"/>
  <c r="K44" i="16"/>
  <c r="J44" i="16"/>
  <c r="H44" i="16"/>
  <c r="G44" i="16"/>
  <c r="F44" i="16"/>
  <c r="R43" i="16"/>
  <c r="G43" i="16"/>
  <c r="F43" i="16"/>
  <c r="R42" i="16"/>
  <c r="M42" i="16"/>
  <c r="L42" i="16"/>
  <c r="K42" i="16"/>
  <c r="J42" i="16"/>
  <c r="H42" i="16"/>
  <c r="G42" i="16"/>
  <c r="F42" i="16"/>
  <c r="R41" i="16"/>
  <c r="G41" i="16"/>
  <c r="M41" i="16" s="1"/>
  <c r="F41" i="16"/>
  <c r="H41" i="16" s="1"/>
  <c r="R40" i="16"/>
  <c r="M40" i="16"/>
  <c r="L40" i="16"/>
  <c r="K40" i="16"/>
  <c r="J40" i="16"/>
  <c r="H40" i="16"/>
  <c r="G40" i="16"/>
  <c r="F40" i="16"/>
  <c r="R39" i="16"/>
  <c r="M39" i="16"/>
  <c r="G39" i="16"/>
  <c r="F39" i="16"/>
  <c r="H39" i="16" s="1"/>
  <c r="R38" i="16"/>
  <c r="M38" i="16"/>
  <c r="L38" i="16"/>
  <c r="K38" i="16"/>
  <c r="J38" i="16"/>
  <c r="H38" i="16"/>
  <c r="G38" i="16"/>
  <c r="F38" i="16"/>
  <c r="R37" i="16"/>
  <c r="M37" i="16"/>
  <c r="G37" i="16"/>
  <c r="F37" i="16"/>
  <c r="R36" i="16"/>
  <c r="M36" i="16"/>
  <c r="L36" i="16"/>
  <c r="K36" i="16"/>
  <c r="J36" i="16"/>
  <c r="H36" i="16"/>
  <c r="G36" i="16"/>
  <c r="F36" i="16"/>
  <c r="R35" i="16"/>
  <c r="G35" i="16"/>
  <c r="F35" i="16"/>
  <c r="R34" i="16"/>
  <c r="M34" i="16"/>
  <c r="L34" i="16"/>
  <c r="K34" i="16"/>
  <c r="J34" i="16"/>
  <c r="H34" i="16"/>
  <c r="G34" i="16"/>
  <c r="F34" i="16"/>
  <c r="R33" i="16"/>
  <c r="G33" i="16"/>
  <c r="F33" i="16"/>
  <c r="H33" i="16" s="1"/>
  <c r="R32" i="16"/>
  <c r="M32" i="16"/>
  <c r="L32" i="16"/>
  <c r="K32" i="16"/>
  <c r="J32" i="16"/>
  <c r="H32" i="16"/>
  <c r="G32" i="16"/>
  <c r="F32" i="16"/>
  <c r="R31" i="16"/>
  <c r="G31" i="16"/>
  <c r="F31" i="16"/>
  <c r="R30" i="16"/>
  <c r="M30" i="16"/>
  <c r="L30" i="16"/>
  <c r="K30" i="16"/>
  <c r="J30" i="16"/>
  <c r="H30" i="16"/>
  <c r="G30" i="16"/>
  <c r="F30" i="16"/>
  <c r="R29" i="16"/>
  <c r="M29" i="16"/>
  <c r="G29" i="16"/>
  <c r="F29" i="16"/>
  <c r="H29" i="16" s="1"/>
  <c r="R28" i="16"/>
  <c r="M28" i="16"/>
  <c r="L28" i="16"/>
  <c r="K28" i="16"/>
  <c r="J28" i="16"/>
  <c r="H28" i="16"/>
  <c r="G28" i="16"/>
  <c r="F28" i="16"/>
  <c r="R27" i="16"/>
  <c r="G27" i="16"/>
  <c r="F27" i="16"/>
  <c r="R26" i="16"/>
  <c r="M26" i="16"/>
  <c r="L26" i="16"/>
  <c r="K26" i="16"/>
  <c r="J26" i="16"/>
  <c r="H26" i="16"/>
  <c r="G26" i="16"/>
  <c r="F26" i="16"/>
  <c r="C7" i="27" s="1"/>
  <c r="R25" i="16"/>
  <c r="G25" i="16"/>
  <c r="M25" i="16" s="1"/>
  <c r="F25" i="16"/>
  <c r="C6" i="27" s="1"/>
  <c r="R24" i="16"/>
  <c r="M24" i="16"/>
  <c r="K24" i="16"/>
  <c r="F24" i="16"/>
  <c r="G24" i="16" s="1"/>
  <c r="R23" i="16"/>
  <c r="G23" i="16"/>
  <c r="F23" i="16"/>
  <c r="R22" i="16"/>
  <c r="F22" i="16"/>
  <c r="C5" i="27" s="1"/>
  <c r="R21" i="16"/>
  <c r="M21" i="16"/>
  <c r="G21" i="16"/>
  <c r="F21" i="16"/>
  <c r="C4" i="27" s="1"/>
  <c r="R20" i="16"/>
  <c r="F20" i="16"/>
  <c r="C3" i="27" s="1"/>
  <c r="R19" i="16"/>
  <c r="G19" i="16"/>
  <c r="F19" i="16"/>
  <c r="R18" i="16"/>
  <c r="M18" i="16"/>
  <c r="K18" i="16"/>
  <c r="F18" i="16"/>
  <c r="G18" i="16" s="1"/>
  <c r="J18" i="16" s="1"/>
  <c r="R17" i="16"/>
  <c r="N17" i="16"/>
  <c r="M17" i="16"/>
  <c r="G17" i="16"/>
  <c r="F17" i="16"/>
  <c r="R16" i="16"/>
  <c r="F16" i="16"/>
  <c r="G16" i="16" s="1"/>
  <c r="G15" i="16"/>
  <c r="F15" i="16"/>
  <c r="R15" i="16" s="1"/>
  <c r="R14" i="16"/>
  <c r="M14" i="16"/>
  <c r="K14" i="16"/>
  <c r="J14" i="16"/>
  <c r="F14" i="16"/>
  <c r="G14" i="16" s="1"/>
  <c r="R13" i="16"/>
  <c r="F13" i="16"/>
  <c r="R12" i="16"/>
  <c r="M12" i="16"/>
  <c r="K12" i="16"/>
  <c r="J12" i="16"/>
  <c r="H12" i="16"/>
  <c r="G12" i="16"/>
  <c r="F12" i="16"/>
  <c r="M11" i="16"/>
  <c r="G11" i="16"/>
  <c r="J11" i="16" s="1"/>
  <c r="F11" i="16"/>
  <c r="R10" i="16"/>
  <c r="G10" i="16"/>
  <c r="M10" i="16" s="1"/>
  <c r="F10" i="16"/>
  <c r="H10" i="16" s="1"/>
  <c r="R9" i="16"/>
  <c r="G9" i="16"/>
  <c r="F9" i="16"/>
  <c r="F7" i="14"/>
  <c r="E7" i="14"/>
  <c r="B7" i="14"/>
  <c r="C11" i="12"/>
  <c r="B11" i="12"/>
  <c r="E6" i="11"/>
  <c r="F6" i="11" s="1"/>
  <c r="D6" i="11"/>
  <c r="B6" i="11"/>
  <c r="E5" i="11"/>
  <c r="D5" i="11"/>
  <c r="B5" i="11"/>
  <c r="F5" i="11" s="1"/>
  <c r="F4" i="11"/>
  <c r="E4" i="11"/>
  <c r="D4" i="11"/>
  <c r="B4" i="11"/>
  <c r="E3" i="11"/>
  <c r="F3" i="11" s="1"/>
  <c r="D3" i="11"/>
  <c r="B3" i="11"/>
  <c r="F2" i="11"/>
  <c r="E2" i="11"/>
  <c r="D2" i="11"/>
  <c r="B2" i="11"/>
  <c r="B9" i="10"/>
  <c r="B92" i="9"/>
  <c r="B91" i="9"/>
  <c r="B87" i="9"/>
  <c r="B86" i="9"/>
  <c r="B84" i="9"/>
  <c r="B69" i="9"/>
  <c r="B65" i="9"/>
  <c r="B64" i="9"/>
  <c r="B61" i="9"/>
  <c r="B59" i="9"/>
  <c r="B58" i="9"/>
  <c r="B57" i="9"/>
  <c r="B54" i="9"/>
  <c r="B46" i="9"/>
  <c r="B43" i="9"/>
  <c r="B42" i="9"/>
  <c r="B24" i="9"/>
  <c r="B23" i="9"/>
  <c r="B22" i="9"/>
  <c r="B16" i="9"/>
  <c r="B15" i="9"/>
  <c r="B11" i="9"/>
  <c r="B6" i="9"/>
  <c r="B3" i="9"/>
  <c r="B2" i="9"/>
  <c r="J85" i="8"/>
  <c r="I85" i="8"/>
  <c r="H85" i="8"/>
  <c r="G85" i="8"/>
  <c r="J84" i="8"/>
  <c r="K84" i="8" s="1"/>
  <c r="K83" i="8"/>
  <c r="J83" i="8"/>
  <c r="K82" i="8"/>
  <c r="J82" i="8"/>
  <c r="J81" i="8"/>
  <c r="K81" i="8" s="1"/>
  <c r="J80" i="8"/>
  <c r="K80" i="8" s="1"/>
  <c r="K79" i="8"/>
  <c r="J79" i="8"/>
  <c r="K78" i="8"/>
  <c r="J78" i="8"/>
  <c r="J77" i="8"/>
  <c r="K77" i="8" s="1"/>
  <c r="J76" i="8"/>
  <c r="K76" i="8" s="1"/>
  <c r="K75" i="8"/>
  <c r="J75" i="8"/>
  <c r="K74" i="8"/>
  <c r="J74" i="8"/>
  <c r="J73" i="8"/>
  <c r="K73" i="8" s="1"/>
  <c r="J72" i="8"/>
  <c r="K72" i="8" s="1"/>
  <c r="K71" i="8"/>
  <c r="J71" i="8"/>
  <c r="K70" i="8"/>
  <c r="J70" i="8"/>
  <c r="J69" i="8"/>
  <c r="K69" i="8" s="1"/>
  <c r="J68" i="8"/>
  <c r="K68" i="8" s="1"/>
  <c r="K67" i="8"/>
  <c r="J67" i="8"/>
  <c r="K66" i="8"/>
  <c r="J66" i="8"/>
  <c r="J65" i="8"/>
  <c r="K65" i="8" s="1"/>
  <c r="J64" i="8"/>
  <c r="K64" i="8" s="1"/>
  <c r="K63" i="8"/>
  <c r="J63" i="8"/>
  <c r="K62" i="8"/>
  <c r="J62" i="8"/>
  <c r="J61" i="8"/>
  <c r="K61" i="8" s="1"/>
  <c r="J60" i="8"/>
  <c r="K60" i="8" s="1"/>
  <c r="K59" i="8"/>
  <c r="J59" i="8"/>
  <c r="K58" i="8"/>
  <c r="J58" i="8"/>
  <c r="J57" i="8"/>
  <c r="K57" i="8" s="1"/>
  <c r="J56" i="8"/>
  <c r="K56" i="8" s="1"/>
  <c r="K55" i="8"/>
  <c r="J55" i="8"/>
  <c r="K54" i="8"/>
  <c r="J54" i="8"/>
  <c r="J53" i="8"/>
  <c r="K53" i="8" s="1"/>
  <c r="J52" i="8"/>
  <c r="K52" i="8" s="1"/>
  <c r="K51" i="8"/>
  <c r="J51" i="8"/>
  <c r="K50" i="8"/>
  <c r="J50" i="8"/>
  <c r="J49" i="8"/>
  <c r="K49" i="8" s="1"/>
  <c r="J48" i="8"/>
  <c r="K48" i="8" s="1"/>
  <c r="K47" i="8"/>
  <c r="J47" i="8"/>
  <c r="K46" i="8"/>
  <c r="J46" i="8"/>
  <c r="J45" i="8"/>
  <c r="K45" i="8" s="1"/>
  <c r="K44" i="8"/>
  <c r="J44" i="8"/>
  <c r="K43" i="8"/>
  <c r="J43" i="8"/>
  <c r="K42" i="8"/>
  <c r="J42" i="8"/>
  <c r="J41" i="8"/>
  <c r="K41" i="8" s="1"/>
  <c r="K40" i="8"/>
  <c r="J40" i="8"/>
  <c r="K39" i="8"/>
  <c r="J39" i="8"/>
  <c r="K38" i="8"/>
  <c r="J38" i="8"/>
  <c r="K37" i="8"/>
  <c r="J37" i="8"/>
  <c r="K36" i="8"/>
  <c r="J36" i="8"/>
  <c r="K35" i="8"/>
  <c r="J35" i="8"/>
  <c r="K34" i="8"/>
  <c r="J34" i="8"/>
  <c r="K33" i="8"/>
  <c r="J33" i="8"/>
  <c r="K32" i="8"/>
  <c r="J32" i="8"/>
  <c r="K31" i="8"/>
  <c r="J31" i="8"/>
  <c r="K30" i="8"/>
  <c r="J30" i="8"/>
  <c r="K29" i="8"/>
  <c r="J29" i="8"/>
  <c r="K28" i="8"/>
  <c r="J28" i="8"/>
  <c r="K27" i="8"/>
  <c r="J27" i="8"/>
  <c r="K26" i="8"/>
  <c r="J26" i="8"/>
  <c r="K25" i="8"/>
  <c r="J25" i="8"/>
  <c r="J24" i="8"/>
  <c r="K24" i="8" s="1"/>
  <c r="K23" i="8"/>
  <c r="J23" i="8"/>
  <c r="K22" i="8"/>
  <c r="J22" i="8"/>
  <c r="K21" i="8"/>
  <c r="J21" i="8"/>
  <c r="J20" i="8"/>
  <c r="K20" i="8" s="1"/>
  <c r="K19" i="8"/>
  <c r="J19" i="8"/>
  <c r="K18" i="8"/>
  <c r="J18" i="8"/>
  <c r="K17" i="8"/>
  <c r="J17" i="8"/>
  <c r="J16" i="8"/>
  <c r="K16" i="8" s="1"/>
  <c r="K15" i="8"/>
  <c r="J15" i="8"/>
  <c r="K14" i="8"/>
  <c r="J14" i="8"/>
  <c r="K13" i="8"/>
  <c r="J13" i="8"/>
  <c r="J12" i="8"/>
  <c r="K12" i="8" s="1"/>
  <c r="K11" i="8"/>
  <c r="J11" i="8"/>
  <c r="K10" i="8"/>
  <c r="J10" i="8"/>
  <c r="K9" i="8"/>
  <c r="J9" i="8"/>
  <c r="J8" i="8"/>
  <c r="K8" i="8" s="1"/>
  <c r="K7" i="8"/>
  <c r="J7" i="8"/>
  <c r="K6" i="8"/>
  <c r="J6" i="8"/>
  <c r="K5" i="8"/>
  <c r="J5" i="8"/>
  <c r="J4" i="8"/>
  <c r="K4" i="8" s="1"/>
  <c r="K3" i="8"/>
  <c r="J3" i="8"/>
  <c r="K2" i="8"/>
  <c r="J2" i="8"/>
  <c r="G150" i="6"/>
  <c r="I150" i="6" s="1"/>
  <c r="G149" i="6"/>
  <c r="H149" i="6" s="1"/>
  <c r="G148" i="6"/>
  <c r="I148" i="6" s="1"/>
  <c r="H147" i="6"/>
  <c r="G147" i="6"/>
  <c r="I147" i="6" s="1"/>
  <c r="H146" i="6"/>
  <c r="G146" i="6"/>
  <c r="I146" i="6" s="1"/>
  <c r="H145" i="6"/>
  <c r="G145" i="6"/>
  <c r="I145" i="6" s="1"/>
  <c r="I144" i="6"/>
  <c r="H144" i="6"/>
  <c r="G144" i="6"/>
  <c r="G143" i="6"/>
  <c r="I143" i="6" s="1"/>
  <c r="G142" i="6"/>
  <c r="I142" i="6" s="1"/>
  <c r="G141" i="6"/>
  <c r="H141" i="6" s="1"/>
  <c r="H140" i="6"/>
  <c r="G140" i="6"/>
  <c r="I140" i="6" s="1"/>
  <c r="G139" i="6"/>
  <c r="I139" i="6" s="1"/>
  <c r="H138" i="6"/>
  <c r="G138" i="6"/>
  <c r="I138" i="6" s="1"/>
  <c r="G137" i="6"/>
  <c r="I137" i="6" s="1"/>
  <c r="I136" i="6"/>
  <c r="H136" i="6"/>
  <c r="G136" i="6"/>
  <c r="G135" i="6"/>
  <c r="I135" i="6" s="1"/>
  <c r="I134" i="6"/>
  <c r="H134" i="6"/>
  <c r="G134" i="6"/>
  <c r="G133" i="6"/>
  <c r="H133" i="6" s="1"/>
  <c r="H132" i="6"/>
  <c r="G132" i="6"/>
  <c r="I132" i="6" s="1"/>
  <c r="I131" i="6"/>
  <c r="G131" i="6"/>
  <c r="H131" i="6" s="1"/>
  <c r="H130" i="6"/>
  <c r="G130" i="6"/>
  <c r="I130" i="6" s="1"/>
  <c r="G129" i="6"/>
  <c r="I129" i="6" s="1"/>
  <c r="I128" i="6"/>
  <c r="H128" i="6"/>
  <c r="G128" i="6"/>
  <c r="G127" i="6"/>
  <c r="I127" i="6" s="1"/>
  <c r="I126" i="6"/>
  <c r="H126" i="6"/>
  <c r="G126" i="6"/>
  <c r="G125" i="6"/>
  <c r="H125" i="6" s="1"/>
  <c r="H124" i="6"/>
  <c r="G124" i="6"/>
  <c r="I124" i="6" s="1"/>
  <c r="I123" i="6"/>
  <c r="G123" i="6"/>
  <c r="H123" i="6" s="1"/>
  <c r="H122" i="6"/>
  <c r="G122" i="6"/>
  <c r="I122" i="6" s="1"/>
  <c r="G121" i="6"/>
  <c r="I121" i="6" s="1"/>
  <c r="I120" i="6"/>
  <c r="H120" i="6"/>
  <c r="G120" i="6"/>
  <c r="G119" i="6"/>
  <c r="I119" i="6" s="1"/>
  <c r="I118" i="6"/>
  <c r="H118" i="6"/>
  <c r="G118" i="6"/>
  <c r="G117" i="6"/>
  <c r="H117" i="6" s="1"/>
  <c r="H116" i="6"/>
  <c r="G116" i="6"/>
  <c r="I116" i="6" s="1"/>
  <c r="I115" i="6"/>
  <c r="G115" i="6"/>
  <c r="H115" i="6" s="1"/>
  <c r="H114" i="6"/>
  <c r="G114" i="6"/>
  <c r="I114" i="6" s="1"/>
  <c r="G113" i="6"/>
  <c r="I113" i="6" s="1"/>
  <c r="I112" i="6"/>
  <c r="H112" i="6"/>
  <c r="G112" i="6"/>
  <c r="G111" i="6"/>
  <c r="I111" i="6" s="1"/>
  <c r="I110" i="6"/>
  <c r="H110" i="6"/>
  <c r="G110" i="6"/>
  <c r="G109" i="6"/>
  <c r="H109" i="6" s="1"/>
  <c r="H108" i="6"/>
  <c r="G108" i="6"/>
  <c r="I108" i="6" s="1"/>
  <c r="I107" i="6"/>
  <c r="G107" i="6"/>
  <c r="H107" i="6" s="1"/>
  <c r="H106" i="6"/>
  <c r="G106" i="6"/>
  <c r="I106" i="6" s="1"/>
  <c r="G105" i="6"/>
  <c r="I105" i="6" s="1"/>
  <c r="I104" i="6"/>
  <c r="H104" i="6"/>
  <c r="G104" i="6"/>
  <c r="G103" i="6"/>
  <c r="I103" i="6" s="1"/>
  <c r="I102" i="6"/>
  <c r="H102" i="6"/>
  <c r="G102" i="6"/>
  <c r="G101" i="6"/>
  <c r="H101" i="6" s="1"/>
  <c r="H100" i="6"/>
  <c r="G100" i="6"/>
  <c r="I100" i="6" s="1"/>
  <c r="I99" i="6"/>
  <c r="G99" i="6"/>
  <c r="H99" i="6" s="1"/>
  <c r="H98" i="6"/>
  <c r="G98" i="6"/>
  <c r="I98" i="6" s="1"/>
  <c r="G97" i="6"/>
  <c r="I97" i="6" s="1"/>
  <c r="I96" i="6"/>
  <c r="H96" i="6"/>
  <c r="G96" i="6"/>
  <c r="G95" i="6"/>
  <c r="I95" i="6" s="1"/>
  <c r="I94" i="6"/>
  <c r="H94" i="6"/>
  <c r="G94" i="6"/>
  <c r="G93" i="6"/>
  <c r="H93" i="6" s="1"/>
  <c r="H92" i="6"/>
  <c r="G92" i="6"/>
  <c r="I92" i="6" s="1"/>
  <c r="I91" i="6"/>
  <c r="G91" i="6"/>
  <c r="H91" i="6" s="1"/>
  <c r="H90" i="6"/>
  <c r="G90" i="6"/>
  <c r="I90" i="6" s="1"/>
  <c r="G89" i="6"/>
  <c r="I89" i="6" s="1"/>
  <c r="I88" i="6"/>
  <c r="H88" i="6"/>
  <c r="G88" i="6"/>
  <c r="G87" i="6"/>
  <c r="I87" i="6" s="1"/>
  <c r="I86" i="6"/>
  <c r="H86" i="6"/>
  <c r="G86" i="6"/>
  <c r="G85" i="6"/>
  <c r="H85" i="6" s="1"/>
  <c r="H84" i="6"/>
  <c r="G84" i="6"/>
  <c r="I84" i="6" s="1"/>
  <c r="I83" i="6"/>
  <c r="G83" i="6"/>
  <c r="H83" i="6" s="1"/>
  <c r="H82" i="6"/>
  <c r="G82" i="6"/>
  <c r="I82" i="6" s="1"/>
  <c r="G81" i="6"/>
  <c r="I81" i="6" s="1"/>
  <c r="I80" i="6"/>
  <c r="H80" i="6"/>
  <c r="G80" i="6"/>
  <c r="G79" i="6"/>
  <c r="I79" i="6" s="1"/>
  <c r="I78" i="6"/>
  <c r="H78" i="6"/>
  <c r="G78" i="6"/>
  <c r="G77" i="6"/>
  <c r="H77" i="6" s="1"/>
  <c r="H76" i="6"/>
  <c r="G76" i="6"/>
  <c r="I76" i="6" s="1"/>
  <c r="I75" i="6"/>
  <c r="G75" i="6"/>
  <c r="H75" i="6" s="1"/>
  <c r="H74" i="6"/>
  <c r="G74" i="6"/>
  <c r="I74" i="6" s="1"/>
  <c r="G73" i="6"/>
  <c r="I73" i="6" s="1"/>
  <c r="I72" i="6"/>
  <c r="H72" i="6"/>
  <c r="G72" i="6"/>
  <c r="G71" i="6"/>
  <c r="I71" i="6" s="1"/>
  <c r="I70" i="6"/>
  <c r="H70" i="6"/>
  <c r="G70" i="6"/>
  <c r="G69" i="6"/>
  <c r="H69" i="6" s="1"/>
  <c r="H68" i="6"/>
  <c r="G68" i="6"/>
  <c r="I68" i="6" s="1"/>
  <c r="I67" i="6"/>
  <c r="G67" i="6"/>
  <c r="H67" i="6" s="1"/>
  <c r="H66" i="6"/>
  <c r="G66" i="6"/>
  <c r="I66" i="6" s="1"/>
  <c r="G65" i="6"/>
  <c r="I65" i="6" s="1"/>
  <c r="I64" i="6"/>
  <c r="H64" i="6"/>
  <c r="G64" i="6"/>
  <c r="G63" i="6"/>
  <c r="I63" i="6" s="1"/>
  <c r="I62" i="6"/>
  <c r="H62" i="6"/>
  <c r="G62" i="6"/>
  <c r="G61" i="6"/>
  <c r="H61" i="6" s="1"/>
  <c r="H60" i="6"/>
  <c r="G60" i="6"/>
  <c r="I60" i="6" s="1"/>
  <c r="I59" i="6"/>
  <c r="G59" i="6"/>
  <c r="H59" i="6" s="1"/>
  <c r="H58" i="6"/>
  <c r="G58" i="6"/>
  <c r="I58" i="6" s="1"/>
  <c r="G57" i="6"/>
  <c r="I57" i="6" s="1"/>
  <c r="I56" i="6"/>
  <c r="H56" i="6"/>
  <c r="G56" i="6"/>
  <c r="G55" i="6"/>
  <c r="I55" i="6" s="1"/>
  <c r="I54" i="6"/>
  <c r="H54" i="6"/>
  <c r="G54" i="6"/>
  <c r="G53" i="6"/>
  <c r="H53" i="6" s="1"/>
  <c r="H52" i="6"/>
  <c r="G52" i="6"/>
  <c r="I52" i="6" s="1"/>
  <c r="I51" i="6"/>
  <c r="G51" i="6"/>
  <c r="H51" i="6" s="1"/>
  <c r="H50" i="6"/>
  <c r="G50" i="6"/>
  <c r="I50" i="6" s="1"/>
  <c r="G49" i="6"/>
  <c r="I49" i="6" s="1"/>
  <c r="I48" i="6"/>
  <c r="H48" i="6"/>
  <c r="G48" i="6"/>
  <c r="G47" i="6"/>
  <c r="I47" i="6" s="1"/>
  <c r="I46" i="6"/>
  <c r="H46" i="6"/>
  <c r="G46" i="6"/>
  <c r="G45" i="6"/>
  <c r="H45" i="6" s="1"/>
  <c r="H44" i="6"/>
  <c r="G44" i="6"/>
  <c r="I44" i="6" s="1"/>
  <c r="I43" i="6"/>
  <c r="G43" i="6"/>
  <c r="H43" i="6" s="1"/>
  <c r="H42" i="6"/>
  <c r="G42" i="6"/>
  <c r="I42" i="6" s="1"/>
  <c r="G41" i="6"/>
  <c r="I41" i="6" s="1"/>
  <c r="I40" i="6"/>
  <c r="H40" i="6"/>
  <c r="G40" i="6"/>
  <c r="G39" i="6"/>
  <c r="I39" i="6" s="1"/>
  <c r="I38" i="6"/>
  <c r="H38" i="6"/>
  <c r="G38" i="6"/>
  <c r="G37" i="6"/>
  <c r="H37" i="6" s="1"/>
  <c r="H36" i="6"/>
  <c r="G36" i="6"/>
  <c r="I36" i="6" s="1"/>
  <c r="I35" i="6"/>
  <c r="G35" i="6"/>
  <c r="H35" i="6" s="1"/>
  <c r="H34" i="6"/>
  <c r="G34" i="6"/>
  <c r="I34" i="6" s="1"/>
  <c r="G33" i="6"/>
  <c r="I33" i="6" s="1"/>
  <c r="I32" i="6"/>
  <c r="H32" i="6"/>
  <c r="G32" i="6"/>
  <c r="G31" i="6"/>
  <c r="I31" i="6" s="1"/>
  <c r="G30" i="6"/>
  <c r="I30" i="6" s="1"/>
  <c r="G29" i="6"/>
  <c r="H29" i="6" s="1"/>
  <c r="G28" i="6"/>
  <c r="I28" i="6" s="1"/>
  <c r="G27" i="6"/>
  <c r="I27" i="6" s="1"/>
  <c r="G26" i="6"/>
  <c r="I26" i="6" s="1"/>
  <c r="H25" i="6"/>
  <c r="G25" i="6"/>
  <c r="I25" i="6" s="1"/>
  <c r="I24" i="6"/>
  <c r="H24" i="6"/>
  <c r="G24" i="6"/>
  <c r="G23" i="6"/>
  <c r="I23" i="6" s="1"/>
  <c r="I22" i="6"/>
  <c r="G22" i="6"/>
  <c r="H22" i="6" s="1"/>
  <c r="I21" i="6"/>
  <c r="H21" i="6"/>
  <c r="G21" i="6"/>
  <c r="G20" i="6"/>
  <c r="I20" i="6" s="1"/>
  <c r="G19" i="6"/>
  <c r="I18" i="6"/>
  <c r="G18" i="6"/>
  <c r="H18" i="6" s="1"/>
  <c r="I17" i="6"/>
  <c r="H17" i="6"/>
  <c r="G17" i="6"/>
  <c r="I16" i="6"/>
  <c r="H16" i="6"/>
  <c r="G16" i="6"/>
  <c r="G15" i="6"/>
  <c r="I15" i="6" s="1"/>
  <c r="I14" i="6"/>
  <c r="G14" i="6"/>
  <c r="H14" i="6" s="1"/>
  <c r="I13" i="6"/>
  <c r="H13" i="6"/>
  <c r="G13" i="6"/>
  <c r="G12" i="6"/>
  <c r="H11" i="6"/>
  <c r="G11" i="6"/>
  <c r="I11" i="6" s="1"/>
  <c r="I10" i="6"/>
  <c r="G10" i="6"/>
  <c r="H10" i="6" s="1"/>
  <c r="I9" i="6"/>
  <c r="H9" i="6"/>
  <c r="G9" i="6"/>
  <c r="I8" i="6"/>
  <c r="H8" i="6"/>
  <c r="G8" i="6"/>
  <c r="G7" i="6"/>
  <c r="I7" i="6" s="1"/>
  <c r="I6" i="6"/>
  <c r="G6" i="6"/>
  <c r="H6" i="6" s="1"/>
  <c r="I5" i="6"/>
  <c r="H5" i="6"/>
  <c r="G5" i="6"/>
  <c r="G4" i="6"/>
  <c r="G3" i="6"/>
  <c r="I2" i="6"/>
  <c r="G2" i="6"/>
  <c r="H2" i="6" s="1"/>
  <c r="F4" i="4"/>
  <c r="E4" i="4"/>
  <c r="D4" i="4"/>
  <c r="C4" i="4"/>
  <c r="B4" i="4"/>
  <c r="F9" i="3"/>
  <c r="D9" i="3"/>
  <c r="C9" i="3"/>
  <c r="B2" i="7" s="1"/>
  <c r="B4" i="7" s="1"/>
  <c r="P13" i="2"/>
  <c r="B34" i="9" s="1"/>
  <c r="D13" i="2"/>
  <c r="B5" i="9" s="1"/>
  <c r="O2" i="2"/>
  <c r="Y26" i="1"/>
  <c r="G16" i="37" s="1"/>
  <c r="U26" i="1"/>
  <c r="G15" i="37" s="1"/>
  <c r="P26" i="1"/>
  <c r="G19" i="37" s="1"/>
  <c r="J26" i="1"/>
  <c r="I26" i="1"/>
  <c r="G13" i="37" s="1"/>
  <c r="F26" i="1"/>
  <c r="D26" i="1"/>
  <c r="E26" i="1" s="1"/>
  <c r="C26" i="1"/>
  <c r="G5" i="37" s="1"/>
  <c r="Y25" i="1"/>
  <c r="F16" i="37" s="1"/>
  <c r="V25" i="1"/>
  <c r="F12" i="37" s="1"/>
  <c r="U25" i="1"/>
  <c r="F15" i="37" s="1"/>
  <c r="P25" i="1"/>
  <c r="F19" i="37" s="1"/>
  <c r="C25" i="1"/>
  <c r="F5" i="37" s="1"/>
  <c r="Y24" i="1"/>
  <c r="E16" i="37" s="1"/>
  <c r="V24" i="1"/>
  <c r="E12" i="37" s="1"/>
  <c r="P24" i="1"/>
  <c r="E19" i="37" s="1"/>
  <c r="C24" i="1"/>
  <c r="Y23" i="1"/>
  <c r="D16" i="37" s="1"/>
  <c r="V23" i="1"/>
  <c r="D12" i="37" s="1"/>
  <c r="U23" i="1"/>
  <c r="D15" i="37" s="1"/>
  <c r="P23" i="1"/>
  <c r="D19" i="37" s="1"/>
  <c r="C23" i="1"/>
  <c r="D5" i="37" s="1"/>
  <c r="Y22" i="1"/>
  <c r="C16" i="37" s="1"/>
  <c r="V22" i="1"/>
  <c r="C12" i="37" s="1"/>
  <c r="P22" i="1"/>
  <c r="C19" i="37" s="1"/>
  <c r="H22" i="1"/>
  <c r="C22" i="1"/>
  <c r="C5" i="37" s="1"/>
  <c r="Y21" i="1"/>
  <c r="B16" i="37" s="1"/>
  <c r="H16" i="37" s="1"/>
  <c r="V21" i="1"/>
  <c r="U21" i="1"/>
  <c r="C21" i="1"/>
  <c r="B11" i="1"/>
  <c r="B5" i="1"/>
  <c r="F10" i="2" l="1"/>
  <c r="F12" i="2"/>
  <c r="F11" i="2"/>
  <c r="H3" i="11"/>
  <c r="G3" i="11"/>
  <c r="I3" i="11" s="1"/>
  <c r="I22" i="1" s="1"/>
  <c r="B5" i="7"/>
  <c r="B4" i="9"/>
  <c r="B4" i="31"/>
  <c r="B14" i="9"/>
  <c r="B17" i="9" s="1"/>
  <c r="B14" i="1"/>
  <c r="B13" i="1"/>
  <c r="B45" i="9"/>
  <c r="I3" i="6"/>
  <c r="H3" i="6"/>
  <c r="H151" i="6" s="1"/>
  <c r="K85" i="8"/>
  <c r="H6" i="11"/>
  <c r="G6" i="11"/>
  <c r="I6" i="11" s="1"/>
  <c r="I25" i="1" s="1"/>
  <c r="B12" i="37"/>
  <c r="H12" i="37" s="1"/>
  <c r="V27" i="1"/>
  <c r="I4" i="6"/>
  <c r="H4" i="6"/>
  <c r="I19" i="6"/>
  <c r="H19" i="6"/>
  <c r="B5" i="37"/>
  <c r="C27" i="1"/>
  <c r="I12" i="6"/>
  <c r="H12" i="6"/>
  <c r="C11" i="37"/>
  <c r="E3" i="14"/>
  <c r="F3" i="14" s="1"/>
  <c r="B15" i="37"/>
  <c r="E5" i="37"/>
  <c r="Y27" i="1"/>
  <c r="I5" i="11"/>
  <c r="I24" i="1" s="1"/>
  <c r="H5" i="11"/>
  <c r="G5" i="11"/>
  <c r="D7" i="14"/>
  <c r="J7" i="14" s="1"/>
  <c r="I2" i="2"/>
  <c r="I29" i="6"/>
  <c r="I37" i="6"/>
  <c r="I45" i="6"/>
  <c r="I53" i="6"/>
  <c r="I61" i="6"/>
  <c r="I69" i="6"/>
  <c r="I77" i="6"/>
  <c r="I85" i="6"/>
  <c r="I93" i="6"/>
  <c r="I101" i="6"/>
  <c r="I109" i="6"/>
  <c r="I117" i="6"/>
  <c r="I125" i="6"/>
  <c r="I133" i="6"/>
  <c r="I141" i="6"/>
  <c r="I149" i="6"/>
  <c r="H9" i="16"/>
  <c r="L11" i="16"/>
  <c r="L17" i="16"/>
  <c r="K17" i="16"/>
  <c r="J17" i="16"/>
  <c r="N21" i="16"/>
  <c r="L21" i="16"/>
  <c r="K21" i="16"/>
  <c r="J21" i="16"/>
  <c r="J24" i="16"/>
  <c r="H24" i="16"/>
  <c r="N24" i="16"/>
  <c r="L24" i="16"/>
  <c r="H35" i="16"/>
  <c r="N37" i="16"/>
  <c r="L37" i="16"/>
  <c r="K37" i="16"/>
  <c r="J37" i="16"/>
  <c r="N10" i="17"/>
  <c r="M10" i="17"/>
  <c r="L10" i="17"/>
  <c r="J10" i="17"/>
  <c r="H16" i="17"/>
  <c r="L23" i="17"/>
  <c r="J23" i="17"/>
  <c r="I23" i="17" s="1"/>
  <c r="O23" i="17" s="1"/>
  <c r="N23" i="17"/>
  <c r="N26" i="17"/>
  <c r="M26" i="17"/>
  <c r="L26" i="17"/>
  <c r="J26" i="17"/>
  <c r="H32" i="17"/>
  <c r="L49" i="17"/>
  <c r="K49" i="17"/>
  <c r="J49" i="17"/>
  <c r="I49" i="17" s="1"/>
  <c r="O49" i="17" s="1"/>
  <c r="N49" i="17"/>
  <c r="H63" i="17"/>
  <c r="H10" i="18"/>
  <c r="H27" i="6"/>
  <c r="H139" i="6"/>
  <c r="H16" i="16"/>
  <c r="N16" i="16"/>
  <c r="L16" i="16"/>
  <c r="N35" i="16"/>
  <c r="L35" i="16"/>
  <c r="I35" i="16" s="1"/>
  <c r="O35" i="16" s="1"/>
  <c r="K35" i="16"/>
  <c r="J35" i="16"/>
  <c r="F2" i="26"/>
  <c r="P50" i="16"/>
  <c r="P48" i="16"/>
  <c r="P46" i="16"/>
  <c r="P44" i="16"/>
  <c r="P42" i="16"/>
  <c r="P40" i="16"/>
  <c r="P38" i="16"/>
  <c r="P36" i="16"/>
  <c r="P34" i="16"/>
  <c r="P32" i="16"/>
  <c r="P30" i="16"/>
  <c r="P28" i="16"/>
  <c r="P26" i="16"/>
  <c r="P24" i="16"/>
  <c r="P22" i="16"/>
  <c r="P20" i="16"/>
  <c r="P18" i="16"/>
  <c r="P16" i="16"/>
  <c r="P14" i="16"/>
  <c r="P12" i="16"/>
  <c r="P49" i="16"/>
  <c r="P47" i="16"/>
  <c r="P45" i="16"/>
  <c r="P43" i="16"/>
  <c r="P41" i="16"/>
  <c r="P39" i="16"/>
  <c r="P37" i="16"/>
  <c r="P35" i="16"/>
  <c r="P33" i="16"/>
  <c r="P31" i="16"/>
  <c r="P29" i="16"/>
  <c r="P27" i="16"/>
  <c r="P25" i="16"/>
  <c r="P23" i="16"/>
  <c r="P21" i="16"/>
  <c r="P19" i="16"/>
  <c r="P17" i="16"/>
  <c r="P15" i="16"/>
  <c r="P13" i="16"/>
  <c r="P11" i="16"/>
  <c r="P9" i="16"/>
  <c r="L13" i="17"/>
  <c r="J13" i="17"/>
  <c r="N13" i="17"/>
  <c r="N16" i="17"/>
  <c r="M16" i="17"/>
  <c r="L16" i="17"/>
  <c r="J16" i="17"/>
  <c r="I16" i="17" s="1"/>
  <c r="O16" i="17" s="1"/>
  <c r="L29" i="17"/>
  <c r="J29" i="17"/>
  <c r="I29" i="17"/>
  <c r="N29" i="17"/>
  <c r="N32" i="17"/>
  <c r="M32" i="17"/>
  <c r="L32" i="17"/>
  <c r="J32" i="17"/>
  <c r="I32" i="17" s="1"/>
  <c r="O32" i="17" s="1"/>
  <c r="L35" i="17"/>
  <c r="K35" i="17"/>
  <c r="J35" i="17"/>
  <c r="I35" i="17" s="1"/>
  <c r="O35" i="17" s="1"/>
  <c r="N35" i="17"/>
  <c r="L51" i="17"/>
  <c r="K51" i="17"/>
  <c r="J51" i="17"/>
  <c r="I51" i="17" s="1"/>
  <c r="O51" i="17" s="1"/>
  <c r="N51" i="17"/>
  <c r="L63" i="17"/>
  <c r="K63" i="17"/>
  <c r="J63" i="17"/>
  <c r="I63" i="17" s="1"/>
  <c r="O63" i="17" s="1"/>
  <c r="N63" i="17"/>
  <c r="N10" i="18"/>
  <c r="M10" i="18"/>
  <c r="L10" i="18"/>
  <c r="K10" i="18"/>
  <c r="I10" i="18" s="1"/>
  <c r="O10" i="18" s="1"/>
  <c r="J10" i="18"/>
  <c r="N18" i="18"/>
  <c r="M18" i="18"/>
  <c r="L18" i="18"/>
  <c r="K18" i="18"/>
  <c r="I18" i="18" s="1"/>
  <c r="O18" i="18" s="1"/>
  <c r="J18" i="18"/>
  <c r="H10" i="19"/>
  <c r="N10" i="19"/>
  <c r="M10" i="19"/>
  <c r="L10" i="19"/>
  <c r="K10" i="19"/>
  <c r="I10" i="19" s="1"/>
  <c r="O10" i="19" s="1"/>
  <c r="J10" i="19"/>
  <c r="H26" i="19"/>
  <c r="N26" i="19"/>
  <c r="M26" i="19"/>
  <c r="L26" i="19"/>
  <c r="K26" i="19"/>
  <c r="I26" i="19" s="1"/>
  <c r="O26" i="19" s="1"/>
  <c r="J26" i="19"/>
  <c r="H34" i="19"/>
  <c r="N34" i="19"/>
  <c r="M34" i="19"/>
  <c r="L34" i="19"/>
  <c r="K34" i="19"/>
  <c r="I34" i="19" s="1"/>
  <c r="O34" i="19" s="1"/>
  <c r="J34" i="19"/>
  <c r="H42" i="19"/>
  <c r="N42" i="19"/>
  <c r="M42" i="19"/>
  <c r="L42" i="19"/>
  <c r="K42" i="19"/>
  <c r="I42" i="19" s="1"/>
  <c r="O42" i="19" s="1"/>
  <c r="J42" i="19"/>
  <c r="H30" i="6"/>
  <c r="H142" i="6"/>
  <c r="H150" i="6"/>
  <c r="G4" i="11"/>
  <c r="I4" i="11" s="1"/>
  <c r="I23" i="1" s="1"/>
  <c r="G7" i="14"/>
  <c r="P10" i="16"/>
  <c r="N11" i="16"/>
  <c r="C2" i="27"/>
  <c r="H15" i="16"/>
  <c r="H23" i="16"/>
  <c r="H31" i="16"/>
  <c r="N33" i="16"/>
  <c r="L33" i="16"/>
  <c r="K33" i="16"/>
  <c r="J33" i="16"/>
  <c r="I33" i="16" s="1"/>
  <c r="O33" i="16" s="1"/>
  <c r="H47" i="16"/>
  <c r="N49" i="16"/>
  <c r="L49" i="16"/>
  <c r="K49" i="16"/>
  <c r="J49" i="16"/>
  <c r="H49" i="16"/>
  <c r="H12" i="17"/>
  <c r="K13" i="17"/>
  <c r="I13" i="17" s="1"/>
  <c r="O13" i="17" s="1"/>
  <c r="L19" i="17"/>
  <c r="I19" i="17" s="1"/>
  <c r="O19" i="17" s="1"/>
  <c r="J19" i="17"/>
  <c r="N19" i="17"/>
  <c r="N22" i="17"/>
  <c r="M22" i="17"/>
  <c r="L22" i="17"/>
  <c r="J22" i="17"/>
  <c r="H28" i="17"/>
  <c r="K29" i="17"/>
  <c r="M35" i="17"/>
  <c r="L37" i="17"/>
  <c r="K37" i="17"/>
  <c r="J37" i="17"/>
  <c r="I37" i="17" s="1"/>
  <c r="O37" i="17" s="1"/>
  <c r="N37" i="17"/>
  <c r="M51" i="17"/>
  <c r="L53" i="17"/>
  <c r="K53" i="17"/>
  <c r="J53" i="17"/>
  <c r="I53" i="17" s="1"/>
  <c r="O53" i="17" s="1"/>
  <c r="N53" i="17"/>
  <c r="M63" i="17"/>
  <c r="R11" i="19"/>
  <c r="H11" i="19"/>
  <c r="G11" i="19"/>
  <c r="C23" i="27"/>
  <c r="R19" i="19"/>
  <c r="H19" i="19"/>
  <c r="G19" i="19"/>
  <c r="R27" i="19"/>
  <c r="H27" i="19"/>
  <c r="G27" i="19"/>
  <c r="R35" i="19"/>
  <c r="H35" i="19"/>
  <c r="G35" i="19"/>
  <c r="C27" i="27"/>
  <c r="R43" i="19"/>
  <c r="G43" i="19"/>
  <c r="H43" i="19" s="1"/>
  <c r="H33" i="6"/>
  <c r="H41" i="6"/>
  <c r="H49" i="6"/>
  <c r="H57" i="6"/>
  <c r="H65" i="6"/>
  <c r="H73" i="6"/>
  <c r="H81" i="6"/>
  <c r="H89" i="6"/>
  <c r="H97" i="6"/>
  <c r="H105" i="6"/>
  <c r="H113" i="6"/>
  <c r="H121" i="6"/>
  <c r="H129" i="6"/>
  <c r="H137" i="6"/>
  <c r="H4" i="11"/>
  <c r="F7" i="11"/>
  <c r="J9" i="16"/>
  <c r="I9" i="16" s="1"/>
  <c r="N10" i="16"/>
  <c r="L10" i="16"/>
  <c r="L15" i="16"/>
  <c r="K15" i="16"/>
  <c r="I15" i="16" s="1"/>
  <c r="O15" i="16" s="1"/>
  <c r="J15" i="16"/>
  <c r="J16" i="16"/>
  <c r="N23" i="16"/>
  <c r="L23" i="16"/>
  <c r="K23" i="16"/>
  <c r="J23" i="16"/>
  <c r="I23" i="16" s="1"/>
  <c r="O23" i="16" s="1"/>
  <c r="N31" i="16"/>
  <c r="L31" i="16"/>
  <c r="K31" i="16"/>
  <c r="J31" i="16"/>
  <c r="I31" i="16" s="1"/>
  <c r="O31" i="16" s="1"/>
  <c r="M35" i="16"/>
  <c r="N47" i="16"/>
  <c r="L47" i="16"/>
  <c r="K47" i="16"/>
  <c r="I47" i="16" s="1"/>
  <c r="O47" i="16" s="1"/>
  <c r="J47" i="16"/>
  <c r="L9" i="17"/>
  <c r="J9" i="17"/>
  <c r="I9" i="17" s="1"/>
  <c r="G65" i="17"/>
  <c r="N9" i="17"/>
  <c r="N12" i="17"/>
  <c r="M12" i="17"/>
  <c r="L12" i="17"/>
  <c r="J12" i="17"/>
  <c r="M13" i="17"/>
  <c r="K16" i="17"/>
  <c r="L25" i="17"/>
  <c r="J25" i="17"/>
  <c r="I25" i="17" s="1"/>
  <c r="O25" i="17" s="1"/>
  <c r="N25" i="17"/>
  <c r="N28" i="17"/>
  <c r="M28" i="17"/>
  <c r="L28" i="17"/>
  <c r="J28" i="17"/>
  <c r="M29" i="17"/>
  <c r="K32" i="17"/>
  <c r="L39" i="17"/>
  <c r="K39" i="17"/>
  <c r="J39" i="17"/>
  <c r="I39" i="17"/>
  <c r="O39" i="17" s="1"/>
  <c r="N39" i="17"/>
  <c r="L55" i="17"/>
  <c r="K55" i="17"/>
  <c r="J55" i="17"/>
  <c r="I55" i="17" s="1"/>
  <c r="O55" i="17" s="1"/>
  <c r="N55" i="17"/>
  <c r="F3" i="26"/>
  <c r="P64" i="17"/>
  <c r="P62" i="17"/>
  <c r="P60" i="17"/>
  <c r="P58" i="17"/>
  <c r="P56" i="17"/>
  <c r="P54" i="17"/>
  <c r="P52" i="17"/>
  <c r="P50" i="17"/>
  <c r="P48" i="17"/>
  <c r="P46" i="17"/>
  <c r="P44" i="17"/>
  <c r="P42" i="17"/>
  <c r="P40" i="17"/>
  <c r="P38" i="17"/>
  <c r="P36" i="17"/>
  <c r="P34" i="17"/>
  <c r="P32" i="17"/>
  <c r="P30" i="17"/>
  <c r="P28" i="17"/>
  <c r="P26" i="17"/>
  <c r="P24" i="17"/>
  <c r="P22" i="17"/>
  <c r="P20" i="17"/>
  <c r="P18" i="17"/>
  <c r="P16" i="17"/>
  <c r="P14" i="17"/>
  <c r="P12" i="17"/>
  <c r="P10" i="17"/>
  <c r="P63" i="17"/>
  <c r="P61" i="17"/>
  <c r="P59" i="17"/>
  <c r="P57" i="17"/>
  <c r="P55" i="17"/>
  <c r="P53" i="17"/>
  <c r="P51" i="17"/>
  <c r="P49" i="17"/>
  <c r="P47" i="17"/>
  <c r="P45" i="17"/>
  <c r="P43" i="17"/>
  <c r="P41" i="17"/>
  <c r="P39" i="17"/>
  <c r="P37" i="17"/>
  <c r="P35" i="17"/>
  <c r="P33" i="17"/>
  <c r="P31" i="17"/>
  <c r="P29" i="17"/>
  <c r="P27" i="17"/>
  <c r="P25" i="17"/>
  <c r="P23" i="17"/>
  <c r="P21" i="17"/>
  <c r="P19" i="17"/>
  <c r="P17" i="17"/>
  <c r="P15" i="17"/>
  <c r="P13" i="17"/>
  <c r="P11" i="17"/>
  <c r="P9" i="17"/>
  <c r="N12" i="18"/>
  <c r="M12" i="18"/>
  <c r="L12" i="18"/>
  <c r="I12" i="18" s="1"/>
  <c r="O12" i="18" s="1"/>
  <c r="K12" i="18"/>
  <c r="J12" i="18"/>
  <c r="H28" i="6"/>
  <c r="F6" i="2" s="1"/>
  <c r="H148" i="6"/>
  <c r="G2" i="11"/>
  <c r="G7" i="11" s="1"/>
  <c r="K9" i="16"/>
  <c r="H11" i="16"/>
  <c r="R11" i="16"/>
  <c r="R51" i="16" s="1"/>
  <c r="H14" i="16"/>
  <c r="N14" i="16"/>
  <c r="L14" i="16"/>
  <c r="K16" i="16"/>
  <c r="I16" i="16" s="1"/>
  <c r="O16" i="16" s="1"/>
  <c r="H19" i="16"/>
  <c r="H27" i="16"/>
  <c r="N29" i="16"/>
  <c r="L29" i="16"/>
  <c r="K29" i="16"/>
  <c r="J29" i="16"/>
  <c r="M33" i="16"/>
  <c r="H43" i="16"/>
  <c r="N45" i="16"/>
  <c r="L45" i="16"/>
  <c r="K45" i="16"/>
  <c r="J45" i="16"/>
  <c r="M49" i="16"/>
  <c r="K9" i="17"/>
  <c r="L15" i="17"/>
  <c r="I15" i="17" s="1"/>
  <c r="O15" i="17" s="1"/>
  <c r="J15" i="17"/>
  <c r="N15" i="17"/>
  <c r="N18" i="17"/>
  <c r="M18" i="17"/>
  <c r="L18" i="17"/>
  <c r="J18" i="17"/>
  <c r="M19" i="17"/>
  <c r="K22" i="17"/>
  <c r="H24" i="17"/>
  <c r="K25" i="17"/>
  <c r="I28" i="17"/>
  <c r="O28" i="17" s="1"/>
  <c r="O29" i="17"/>
  <c r="L31" i="17"/>
  <c r="J31" i="17"/>
  <c r="I31" i="17" s="1"/>
  <c r="O31" i="17" s="1"/>
  <c r="N31" i="17"/>
  <c r="N34" i="17"/>
  <c r="M34" i="17"/>
  <c r="L34" i="17"/>
  <c r="J34" i="17"/>
  <c r="M39" i="17"/>
  <c r="L41" i="17"/>
  <c r="K41" i="17"/>
  <c r="J41" i="17"/>
  <c r="I41" i="17" s="1"/>
  <c r="O41" i="17" s="1"/>
  <c r="N41" i="17"/>
  <c r="M55" i="17"/>
  <c r="L57" i="17"/>
  <c r="K57" i="17"/>
  <c r="J57" i="17"/>
  <c r="I57" i="17"/>
  <c r="O57" i="17" s="1"/>
  <c r="N57" i="17"/>
  <c r="H14" i="18"/>
  <c r="C18" i="27"/>
  <c r="R19" i="18"/>
  <c r="H19" i="18"/>
  <c r="G19" i="18"/>
  <c r="H31" i="6"/>
  <c r="F9" i="2" s="1"/>
  <c r="H39" i="6"/>
  <c r="F3" i="2" s="1"/>
  <c r="H47" i="6"/>
  <c r="H55" i="6"/>
  <c r="H63" i="6"/>
  <c r="H71" i="6"/>
  <c r="H79" i="6"/>
  <c r="H87" i="6"/>
  <c r="H95" i="6"/>
  <c r="H103" i="6"/>
  <c r="H111" i="6"/>
  <c r="H119" i="6"/>
  <c r="H127" i="6"/>
  <c r="H135" i="6"/>
  <c r="H143" i="6"/>
  <c r="H2" i="11"/>
  <c r="H7" i="11" s="1"/>
  <c r="L9" i="16"/>
  <c r="M15" i="16"/>
  <c r="M16" i="16"/>
  <c r="N19" i="16"/>
  <c r="L19" i="16"/>
  <c r="K19" i="16"/>
  <c r="J19" i="16"/>
  <c r="I19" i="16" s="1"/>
  <c r="O19" i="16" s="1"/>
  <c r="M23" i="16"/>
  <c r="N27" i="16"/>
  <c r="L27" i="16"/>
  <c r="K27" i="16"/>
  <c r="J27" i="16"/>
  <c r="I27" i="16" s="1"/>
  <c r="O27" i="16" s="1"/>
  <c r="M31" i="16"/>
  <c r="N43" i="16"/>
  <c r="L43" i="16"/>
  <c r="I43" i="16" s="1"/>
  <c r="O43" i="16" s="1"/>
  <c r="K43" i="16"/>
  <c r="J43" i="16"/>
  <c r="M47" i="16"/>
  <c r="M9" i="17"/>
  <c r="K12" i="17"/>
  <c r="I12" i="17" s="1"/>
  <c r="O12" i="17" s="1"/>
  <c r="L21" i="17"/>
  <c r="J21" i="17"/>
  <c r="N21" i="17"/>
  <c r="N24" i="17"/>
  <c r="M24" i="17"/>
  <c r="L24" i="17"/>
  <c r="J24" i="17"/>
  <c r="M25" i="17"/>
  <c r="K28" i="17"/>
  <c r="L43" i="17"/>
  <c r="K43" i="17"/>
  <c r="I43" i="17" s="1"/>
  <c r="O43" i="17" s="1"/>
  <c r="J43" i="17"/>
  <c r="N43" i="17"/>
  <c r="L59" i="17"/>
  <c r="I59" i="17" s="1"/>
  <c r="O59" i="17" s="1"/>
  <c r="K59" i="17"/>
  <c r="J59" i="17"/>
  <c r="N59" i="17"/>
  <c r="N14" i="18"/>
  <c r="M14" i="18"/>
  <c r="L14" i="18"/>
  <c r="K14" i="18"/>
  <c r="J14" i="18"/>
  <c r="I14" i="18" s="1"/>
  <c r="O14" i="18" s="1"/>
  <c r="H14" i="19"/>
  <c r="N14" i="19"/>
  <c r="M14" i="19"/>
  <c r="L14" i="19"/>
  <c r="K14" i="19"/>
  <c r="J14" i="19"/>
  <c r="I14" i="19" s="1"/>
  <c r="O14" i="19" s="1"/>
  <c r="H22" i="19"/>
  <c r="N22" i="19"/>
  <c r="M22" i="19"/>
  <c r="L22" i="19"/>
  <c r="K22" i="19"/>
  <c r="J22" i="19"/>
  <c r="I22" i="19" s="1"/>
  <c r="O22" i="19" s="1"/>
  <c r="H30" i="19"/>
  <c r="N30" i="19"/>
  <c r="M30" i="19"/>
  <c r="L30" i="19"/>
  <c r="K30" i="19"/>
  <c r="J30" i="19"/>
  <c r="I30" i="19" s="1"/>
  <c r="O30" i="19" s="1"/>
  <c r="H38" i="19"/>
  <c r="N38" i="19"/>
  <c r="M38" i="19"/>
  <c r="L38" i="19"/>
  <c r="K38" i="19"/>
  <c r="J38" i="19"/>
  <c r="I38" i="19" s="1"/>
  <c r="O38" i="19" s="1"/>
  <c r="H46" i="19"/>
  <c r="N46" i="19"/>
  <c r="M46" i="19"/>
  <c r="L46" i="19"/>
  <c r="K46" i="19"/>
  <c r="J46" i="19"/>
  <c r="I46" i="19" s="1"/>
  <c r="O46" i="19" s="1"/>
  <c r="H20" i="6"/>
  <c r="F5" i="2" s="1"/>
  <c r="H7" i="6"/>
  <c r="F4" i="2" s="1"/>
  <c r="H15" i="6"/>
  <c r="H23" i="6"/>
  <c r="F8" i="2" s="1"/>
  <c r="G26" i="1"/>
  <c r="H26" i="6"/>
  <c r="C7" i="14"/>
  <c r="M9" i="16"/>
  <c r="J10" i="16"/>
  <c r="G13" i="16"/>
  <c r="G51" i="16" s="1"/>
  <c r="N15" i="16"/>
  <c r="H18" i="16"/>
  <c r="N18" i="16"/>
  <c r="L18" i="16"/>
  <c r="N25" i="16"/>
  <c r="L25" i="16"/>
  <c r="K25" i="16"/>
  <c r="I25" i="16" s="1"/>
  <c r="O25" i="16" s="1"/>
  <c r="J25" i="16"/>
  <c r="N41" i="16"/>
  <c r="L41" i="16"/>
  <c r="K41" i="16"/>
  <c r="J41" i="16"/>
  <c r="I41" i="16" s="1"/>
  <c r="O41" i="16" s="1"/>
  <c r="L11" i="17"/>
  <c r="J11" i="17"/>
  <c r="I11" i="17" s="1"/>
  <c r="O11" i="17" s="1"/>
  <c r="N11" i="17"/>
  <c r="N14" i="17"/>
  <c r="M14" i="17"/>
  <c r="L14" i="17"/>
  <c r="J14" i="17"/>
  <c r="K21" i="17"/>
  <c r="I21" i="17" s="1"/>
  <c r="O21" i="17" s="1"/>
  <c r="L27" i="17"/>
  <c r="J27" i="17"/>
  <c r="N27" i="17"/>
  <c r="N30" i="17"/>
  <c r="M30" i="17"/>
  <c r="L30" i="17"/>
  <c r="J30" i="17"/>
  <c r="I30" i="17" s="1"/>
  <c r="O30" i="17" s="1"/>
  <c r="M43" i="17"/>
  <c r="L45" i="17"/>
  <c r="K45" i="17"/>
  <c r="J45" i="17"/>
  <c r="I45" i="17"/>
  <c r="O45" i="17" s="1"/>
  <c r="N45" i="17"/>
  <c r="M59" i="17"/>
  <c r="H16" i="18"/>
  <c r="R20" i="18"/>
  <c r="G20" i="18"/>
  <c r="H20" i="18" s="1"/>
  <c r="R24" i="18"/>
  <c r="G24" i="18"/>
  <c r="H24" i="18" s="1"/>
  <c r="R28" i="18"/>
  <c r="G28" i="18"/>
  <c r="H28" i="18"/>
  <c r="R32" i="18"/>
  <c r="G32" i="18"/>
  <c r="H32" i="18" s="1"/>
  <c r="R36" i="18"/>
  <c r="G36" i="18"/>
  <c r="H36" i="18"/>
  <c r="R15" i="19"/>
  <c r="G15" i="19"/>
  <c r="H15" i="19" s="1"/>
  <c r="C25" i="27"/>
  <c r="R23" i="19"/>
  <c r="H23" i="19"/>
  <c r="G23" i="19"/>
  <c r="R31" i="19"/>
  <c r="G31" i="19"/>
  <c r="R39" i="19"/>
  <c r="H39" i="19"/>
  <c r="G39" i="19"/>
  <c r="R47" i="19"/>
  <c r="G47" i="19"/>
  <c r="N9" i="16"/>
  <c r="K10" i="16"/>
  <c r="I10" i="16" s="1"/>
  <c r="O10" i="16" s="1"/>
  <c r="K11" i="16"/>
  <c r="I11" i="16" s="1"/>
  <c r="O11" i="16" s="1"/>
  <c r="H17" i="16"/>
  <c r="I18" i="16"/>
  <c r="O18" i="16" s="1"/>
  <c r="M19" i="16"/>
  <c r="M27" i="16"/>
  <c r="H37" i="16"/>
  <c r="N39" i="16"/>
  <c r="L39" i="16"/>
  <c r="K39" i="16"/>
  <c r="J39" i="16"/>
  <c r="M43" i="16"/>
  <c r="H10" i="17"/>
  <c r="K11" i="17"/>
  <c r="I14" i="17"/>
  <c r="O14" i="17" s="1"/>
  <c r="L17" i="17"/>
  <c r="J17" i="17"/>
  <c r="I17" i="17" s="1"/>
  <c r="O17" i="17" s="1"/>
  <c r="N17" i="17"/>
  <c r="N20" i="17"/>
  <c r="M20" i="17"/>
  <c r="L20" i="17"/>
  <c r="J20" i="17"/>
  <c r="M21" i="17"/>
  <c r="K24" i="17"/>
  <c r="I24" i="17" s="1"/>
  <c r="O24" i="17" s="1"/>
  <c r="H26" i="17"/>
  <c r="K27" i="17"/>
  <c r="I27" i="17" s="1"/>
  <c r="O27" i="17" s="1"/>
  <c r="L33" i="17"/>
  <c r="J33" i="17"/>
  <c r="I33" i="17" s="1"/>
  <c r="O33" i="17" s="1"/>
  <c r="N33" i="17"/>
  <c r="M45" i="17"/>
  <c r="L47" i="17"/>
  <c r="K47" i="17"/>
  <c r="J47" i="17"/>
  <c r="I47" i="17"/>
  <c r="O47" i="17" s="1"/>
  <c r="N47" i="17"/>
  <c r="L61" i="17"/>
  <c r="K61" i="17"/>
  <c r="J61" i="17"/>
  <c r="I61" i="17" s="1"/>
  <c r="O61" i="17" s="1"/>
  <c r="N61" i="17"/>
  <c r="N16" i="18"/>
  <c r="M16" i="18"/>
  <c r="L16" i="18"/>
  <c r="K16" i="18"/>
  <c r="J16" i="18"/>
  <c r="I16" i="18" s="1"/>
  <c r="O16" i="18" s="1"/>
  <c r="R21" i="18"/>
  <c r="G21" i="18"/>
  <c r="H21" i="18"/>
  <c r="R25" i="18"/>
  <c r="G25" i="18"/>
  <c r="H25" i="18"/>
  <c r="R29" i="18"/>
  <c r="G29" i="18"/>
  <c r="H29" i="18" s="1"/>
  <c r="R33" i="18"/>
  <c r="G33" i="18"/>
  <c r="H33" i="18" s="1"/>
  <c r="R37" i="18"/>
  <c r="G37" i="18"/>
  <c r="H37" i="18" s="1"/>
  <c r="L12" i="16"/>
  <c r="H21" i="16"/>
  <c r="H25" i="16"/>
  <c r="H45" i="16"/>
  <c r="J36" i="17"/>
  <c r="J38" i="17"/>
  <c r="I38" i="17" s="1"/>
  <c r="O38" i="17" s="1"/>
  <c r="J40" i="17"/>
  <c r="J42" i="17"/>
  <c r="J44" i="17"/>
  <c r="J46" i="17"/>
  <c r="J48" i="17"/>
  <c r="I48" i="17" s="1"/>
  <c r="O48" i="17" s="1"/>
  <c r="J50" i="17"/>
  <c r="I50" i="17" s="1"/>
  <c r="J52" i="17"/>
  <c r="J54" i="17"/>
  <c r="I54" i="17" s="1"/>
  <c r="O54" i="17" s="1"/>
  <c r="J56" i="17"/>
  <c r="J58" i="17"/>
  <c r="J60" i="17"/>
  <c r="J62" i="17"/>
  <c r="J64" i="17"/>
  <c r="I64" i="17" s="1"/>
  <c r="O64" i="17" s="1"/>
  <c r="L9" i="18"/>
  <c r="I9" i="18" s="1"/>
  <c r="L11" i="18"/>
  <c r="I11" i="18" s="1"/>
  <c r="O11" i="18" s="1"/>
  <c r="L13" i="18"/>
  <c r="I13" i="18" s="1"/>
  <c r="O13" i="18" s="1"/>
  <c r="L15" i="18"/>
  <c r="I15" i="18" s="1"/>
  <c r="O15" i="18" s="1"/>
  <c r="L17" i="18"/>
  <c r="I17" i="18" s="1"/>
  <c r="O17" i="18" s="1"/>
  <c r="H18" i="18"/>
  <c r="R18" i="18"/>
  <c r="R40" i="18"/>
  <c r="G40" i="18"/>
  <c r="N12" i="16"/>
  <c r="I12" i="16" s="1"/>
  <c r="O12" i="16" s="1"/>
  <c r="N26" i="16"/>
  <c r="I26" i="16" s="1"/>
  <c r="O26" i="16" s="1"/>
  <c r="N28" i="16"/>
  <c r="I28" i="16" s="1"/>
  <c r="O28" i="16" s="1"/>
  <c r="N30" i="16"/>
  <c r="I30" i="16" s="1"/>
  <c r="O30" i="16" s="1"/>
  <c r="N32" i="16"/>
  <c r="I32" i="16" s="1"/>
  <c r="O32" i="16" s="1"/>
  <c r="N34" i="16"/>
  <c r="I34" i="16" s="1"/>
  <c r="O34" i="16" s="1"/>
  <c r="N36" i="16"/>
  <c r="I36" i="16" s="1"/>
  <c r="O36" i="16" s="1"/>
  <c r="N38" i="16"/>
  <c r="I38" i="16" s="1"/>
  <c r="O38" i="16" s="1"/>
  <c r="N40" i="16"/>
  <c r="I40" i="16" s="1"/>
  <c r="O40" i="16" s="1"/>
  <c r="N42" i="16"/>
  <c r="I42" i="16" s="1"/>
  <c r="O42" i="16" s="1"/>
  <c r="N44" i="16"/>
  <c r="I44" i="16" s="1"/>
  <c r="O44" i="16" s="1"/>
  <c r="N46" i="16"/>
  <c r="I46" i="16" s="1"/>
  <c r="O46" i="16" s="1"/>
  <c r="N48" i="16"/>
  <c r="I48" i="16" s="1"/>
  <c r="O48" i="16" s="1"/>
  <c r="N50" i="16"/>
  <c r="I50" i="16" s="1"/>
  <c r="O50" i="16" s="1"/>
  <c r="H9" i="17"/>
  <c r="H11" i="17"/>
  <c r="H13" i="17"/>
  <c r="H15" i="17"/>
  <c r="H17" i="17"/>
  <c r="H19" i="17"/>
  <c r="H21" i="17"/>
  <c r="H23" i="17"/>
  <c r="H25" i="17"/>
  <c r="H27" i="17"/>
  <c r="H29" i="17"/>
  <c r="H31" i="17"/>
  <c r="H33" i="17"/>
  <c r="H35" i="17"/>
  <c r="L36" i="17"/>
  <c r="H37" i="17"/>
  <c r="L38" i="17"/>
  <c r="H39" i="17"/>
  <c r="L40" i="17"/>
  <c r="H41" i="17"/>
  <c r="L42" i="17"/>
  <c r="H43" i="17"/>
  <c r="L44" i="17"/>
  <c r="H45" i="17"/>
  <c r="L46" i="17"/>
  <c r="H47" i="17"/>
  <c r="L48" i="17"/>
  <c r="H49" i="17"/>
  <c r="L50" i="17"/>
  <c r="H51" i="17"/>
  <c r="L52" i="17"/>
  <c r="H53" i="17"/>
  <c r="L54" i="17"/>
  <c r="H55" i="17"/>
  <c r="L56" i="17"/>
  <c r="H57" i="17"/>
  <c r="L58" i="17"/>
  <c r="H59" i="17"/>
  <c r="L60" i="17"/>
  <c r="L62" i="17"/>
  <c r="L64" i="17"/>
  <c r="F48" i="18"/>
  <c r="N9" i="18"/>
  <c r="N11" i="18"/>
  <c r="N13" i="18"/>
  <c r="N15" i="18"/>
  <c r="N17" i="18"/>
  <c r="G20" i="16"/>
  <c r="G22" i="16"/>
  <c r="R35" i="17"/>
  <c r="R65" i="17" s="1"/>
  <c r="M36" i="17"/>
  <c r="M38" i="17"/>
  <c r="R39" i="17"/>
  <c r="M40" i="17"/>
  <c r="M42" i="17"/>
  <c r="M44" i="17"/>
  <c r="M46" i="17"/>
  <c r="M48" i="17"/>
  <c r="M50" i="17"/>
  <c r="M52" i="17"/>
  <c r="M54" i="17"/>
  <c r="M56" i="17"/>
  <c r="M58" i="17"/>
  <c r="M60" i="17"/>
  <c r="M62" i="17"/>
  <c r="M64" i="17"/>
  <c r="C20" i="27"/>
  <c r="R23" i="18"/>
  <c r="G23" i="18"/>
  <c r="R27" i="18"/>
  <c r="G27" i="18"/>
  <c r="R31" i="18"/>
  <c r="G31" i="18"/>
  <c r="R35" i="18"/>
  <c r="G35" i="18"/>
  <c r="R39" i="18"/>
  <c r="G39" i="18"/>
  <c r="H39" i="18" s="1"/>
  <c r="H12" i="19"/>
  <c r="N12" i="19"/>
  <c r="M12" i="19"/>
  <c r="L12" i="19"/>
  <c r="K12" i="19"/>
  <c r="I12" i="19" s="1"/>
  <c r="O12" i="19" s="1"/>
  <c r="H16" i="19"/>
  <c r="N16" i="19"/>
  <c r="M16" i="19"/>
  <c r="L16" i="19"/>
  <c r="K16" i="19"/>
  <c r="H28" i="19"/>
  <c r="N28" i="19"/>
  <c r="M28" i="19"/>
  <c r="L28" i="19"/>
  <c r="K28" i="19"/>
  <c r="I28" i="19"/>
  <c r="O28" i="19" s="1"/>
  <c r="H32" i="19"/>
  <c r="N32" i="19"/>
  <c r="M32" i="19"/>
  <c r="L32" i="19"/>
  <c r="K32" i="19"/>
  <c r="H36" i="19"/>
  <c r="N36" i="19"/>
  <c r="M36" i="19"/>
  <c r="L36" i="19"/>
  <c r="K36" i="19"/>
  <c r="H40" i="19"/>
  <c r="N40" i="19"/>
  <c r="M40" i="19"/>
  <c r="L40" i="19"/>
  <c r="I40" i="19" s="1"/>
  <c r="O40" i="19" s="1"/>
  <c r="K40" i="19"/>
  <c r="H44" i="19"/>
  <c r="N44" i="19"/>
  <c r="M44" i="19"/>
  <c r="L44" i="19"/>
  <c r="K44" i="19"/>
  <c r="H48" i="19"/>
  <c r="N48" i="19"/>
  <c r="M48" i="19"/>
  <c r="I48" i="19" s="1"/>
  <c r="O48" i="19" s="1"/>
  <c r="L48" i="19"/>
  <c r="K48" i="19"/>
  <c r="N36" i="17"/>
  <c r="N38" i="17"/>
  <c r="N40" i="17"/>
  <c r="N42" i="17"/>
  <c r="N44" i="17"/>
  <c r="N46" i="17"/>
  <c r="N48" i="17"/>
  <c r="N50" i="17"/>
  <c r="N52" i="17"/>
  <c r="N54" i="17"/>
  <c r="N56" i="17"/>
  <c r="N58" i="17"/>
  <c r="N60" i="17"/>
  <c r="N62" i="17"/>
  <c r="N64" i="17"/>
  <c r="H9" i="18"/>
  <c r="H11" i="18"/>
  <c r="H13" i="18"/>
  <c r="H15" i="18"/>
  <c r="H17" i="18"/>
  <c r="H27" i="18"/>
  <c r="H35" i="18"/>
  <c r="J12" i="19"/>
  <c r="J16" i="19"/>
  <c r="I16" i="19" s="1"/>
  <c r="O16" i="19" s="1"/>
  <c r="J28" i="19"/>
  <c r="J32" i="19"/>
  <c r="I32" i="19" s="1"/>
  <c r="O32" i="19" s="1"/>
  <c r="J36" i="19"/>
  <c r="I36" i="19" s="1"/>
  <c r="O36" i="19" s="1"/>
  <c r="J40" i="19"/>
  <c r="J44" i="19"/>
  <c r="I44" i="19" s="1"/>
  <c r="O44" i="19" s="1"/>
  <c r="J48" i="19"/>
  <c r="O50" i="17"/>
  <c r="C19" i="27"/>
  <c r="R22" i="18"/>
  <c r="G22" i="18"/>
  <c r="H22" i="18" s="1"/>
  <c r="R26" i="18"/>
  <c r="G26" i="18"/>
  <c r="R30" i="18"/>
  <c r="G30" i="18"/>
  <c r="H30" i="18" s="1"/>
  <c r="R34" i="18"/>
  <c r="R48" i="18" s="1"/>
  <c r="G34" i="18"/>
  <c r="R38" i="18"/>
  <c r="G38" i="18"/>
  <c r="R9" i="19"/>
  <c r="H9" i="19"/>
  <c r="F49" i="19"/>
  <c r="G9" i="19"/>
  <c r="R13" i="19"/>
  <c r="G13" i="19"/>
  <c r="R17" i="19"/>
  <c r="H17" i="19"/>
  <c r="G17" i="19"/>
  <c r="R21" i="19"/>
  <c r="G21" i="19"/>
  <c r="R25" i="19"/>
  <c r="G25" i="19"/>
  <c r="H25" i="19" s="1"/>
  <c r="R29" i="19"/>
  <c r="G29" i="19"/>
  <c r="R33" i="19"/>
  <c r="H33" i="19"/>
  <c r="G33" i="19"/>
  <c r="R37" i="19"/>
  <c r="H37" i="19"/>
  <c r="G37" i="19"/>
  <c r="R41" i="19"/>
  <c r="H41" i="19"/>
  <c r="G41" i="19"/>
  <c r="R45" i="19"/>
  <c r="G45" i="19"/>
  <c r="I13" i="20"/>
  <c r="H14" i="17"/>
  <c r="H34" i="17"/>
  <c r="H36" i="17"/>
  <c r="H26" i="18"/>
  <c r="H34" i="18"/>
  <c r="H38" i="18"/>
  <c r="H26" i="20"/>
  <c r="G42" i="18"/>
  <c r="G44" i="18"/>
  <c r="G46" i="18"/>
  <c r="R10" i="19"/>
  <c r="R12" i="19"/>
  <c r="R14" i="19"/>
  <c r="R16" i="19"/>
  <c r="R18" i="19"/>
  <c r="R20" i="19"/>
  <c r="R22" i="19"/>
  <c r="R24" i="19"/>
  <c r="R26" i="19"/>
  <c r="R28" i="19"/>
  <c r="R30" i="19"/>
  <c r="R32" i="19"/>
  <c r="R34" i="19"/>
  <c r="R36" i="19"/>
  <c r="R38" i="19"/>
  <c r="R40" i="19"/>
  <c r="R42" i="19"/>
  <c r="R44" i="19"/>
  <c r="R46" i="19"/>
  <c r="R48" i="19"/>
  <c r="F48" i="20"/>
  <c r="G9" i="20"/>
  <c r="R10" i="20"/>
  <c r="G10" i="20"/>
  <c r="H11" i="20"/>
  <c r="J15" i="20"/>
  <c r="R20" i="20"/>
  <c r="G20" i="20"/>
  <c r="H45" i="21"/>
  <c r="R42" i="18"/>
  <c r="J11" i="20"/>
  <c r="R10" i="21"/>
  <c r="H10" i="21"/>
  <c r="G10" i="21"/>
  <c r="R14" i="21"/>
  <c r="H14" i="21"/>
  <c r="G14" i="21"/>
  <c r="C35" i="27"/>
  <c r="R18" i="21"/>
  <c r="G18" i="21"/>
  <c r="H18" i="21" s="1"/>
  <c r="C37" i="27"/>
  <c r="R22" i="21"/>
  <c r="H22" i="21"/>
  <c r="G22" i="21"/>
  <c r="R26" i="21"/>
  <c r="G26" i="21"/>
  <c r="R30" i="21"/>
  <c r="H30" i="21"/>
  <c r="G30" i="21"/>
  <c r="R34" i="21"/>
  <c r="G34" i="21"/>
  <c r="R38" i="21"/>
  <c r="G38" i="21"/>
  <c r="H38" i="21" s="1"/>
  <c r="C39" i="27"/>
  <c r="R42" i="21"/>
  <c r="H42" i="21"/>
  <c r="G42" i="21"/>
  <c r="R46" i="21"/>
  <c r="G46" i="21"/>
  <c r="C29" i="27"/>
  <c r="R18" i="20"/>
  <c r="G18" i="20"/>
  <c r="R24" i="20"/>
  <c r="G24" i="20"/>
  <c r="R28" i="20"/>
  <c r="G28" i="20"/>
  <c r="I29" i="20"/>
  <c r="R32" i="20"/>
  <c r="G32" i="20"/>
  <c r="G41" i="18"/>
  <c r="H41" i="18" s="1"/>
  <c r="G43" i="18"/>
  <c r="G45" i="18"/>
  <c r="G47" i="18"/>
  <c r="H47" i="18" s="1"/>
  <c r="R15" i="20"/>
  <c r="H18" i="20"/>
  <c r="H24" i="20"/>
  <c r="H39" i="21"/>
  <c r="H43" i="18"/>
  <c r="H45" i="18"/>
  <c r="M15" i="20"/>
  <c r="K15" i="20"/>
  <c r="R16" i="20"/>
  <c r="R48" i="20" s="1"/>
  <c r="G16" i="20"/>
  <c r="C31" i="27"/>
  <c r="R22" i="20"/>
  <c r="G22" i="20"/>
  <c r="H22" i="20" s="1"/>
  <c r="C44" i="27"/>
  <c r="R24" i="22"/>
  <c r="H24" i="22"/>
  <c r="G24" i="22"/>
  <c r="G18" i="19"/>
  <c r="G20" i="19"/>
  <c r="G24" i="19"/>
  <c r="R11" i="20"/>
  <c r="M13" i="20"/>
  <c r="K13" i="20"/>
  <c r="O13" i="20"/>
  <c r="R14" i="20"/>
  <c r="G14" i="20"/>
  <c r="H15" i="20"/>
  <c r="H16" i="20"/>
  <c r="N21" i="20"/>
  <c r="M21" i="20"/>
  <c r="K21" i="20"/>
  <c r="I21" i="20" s="1"/>
  <c r="O21" i="20" s="1"/>
  <c r="R12" i="21"/>
  <c r="H12" i="21"/>
  <c r="G12" i="21"/>
  <c r="R16" i="21"/>
  <c r="G16" i="21"/>
  <c r="R20" i="21"/>
  <c r="G20" i="21"/>
  <c r="H20" i="21" s="1"/>
  <c r="R24" i="21"/>
  <c r="G24" i="21"/>
  <c r="R28" i="21"/>
  <c r="H28" i="21"/>
  <c r="G28" i="21"/>
  <c r="R32" i="21"/>
  <c r="H32" i="21"/>
  <c r="G32" i="21"/>
  <c r="R36" i="21"/>
  <c r="H36" i="21"/>
  <c r="G36" i="21"/>
  <c r="R40" i="21"/>
  <c r="G40" i="21"/>
  <c r="R44" i="21"/>
  <c r="H44" i="21"/>
  <c r="G44" i="21"/>
  <c r="M11" i="20"/>
  <c r="K11" i="20"/>
  <c r="R12" i="20"/>
  <c r="G12" i="20"/>
  <c r="H12" i="20" s="1"/>
  <c r="R26" i="20"/>
  <c r="G26" i="20"/>
  <c r="R30" i="20"/>
  <c r="G30" i="20"/>
  <c r="R32" i="22"/>
  <c r="H32" i="22"/>
  <c r="G32" i="22"/>
  <c r="G17" i="20"/>
  <c r="G19" i="20"/>
  <c r="O29" i="20"/>
  <c r="R9" i="21"/>
  <c r="R11" i="21"/>
  <c r="R13" i="21"/>
  <c r="R15" i="21"/>
  <c r="R17" i="21"/>
  <c r="R19" i="21"/>
  <c r="R21" i="21"/>
  <c r="R23" i="21"/>
  <c r="R25" i="21"/>
  <c r="R27" i="21"/>
  <c r="R29" i="21"/>
  <c r="R31" i="21"/>
  <c r="R33" i="21"/>
  <c r="R35" i="21"/>
  <c r="R37" i="21"/>
  <c r="R39" i="21"/>
  <c r="R41" i="21"/>
  <c r="R43" i="21"/>
  <c r="R45" i="21"/>
  <c r="R47" i="21"/>
  <c r="J13" i="22"/>
  <c r="I14" i="22"/>
  <c r="H21" i="22"/>
  <c r="G21" i="22"/>
  <c r="R21" i="22"/>
  <c r="G29" i="22"/>
  <c r="R29" i="22"/>
  <c r="G37" i="22"/>
  <c r="H37" i="22" s="1"/>
  <c r="R37" i="22"/>
  <c r="R40" i="22"/>
  <c r="H40" i="22"/>
  <c r="G40" i="22"/>
  <c r="R44" i="22"/>
  <c r="G44" i="22"/>
  <c r="R48" i="22"/>
  <c r="H48" i="22"/>
  <c r="G48" i="22"/>
  <c r="F9" i="26"/>
  <c r="P53" i="23"/>
  <c r="P51" i="23"/>
  <c r="P49" i="23"/>
  <c r="P47" i="23"/>
  <c r="P45" i="23"/>
  <c r="P43" i="23"/>
  <c r="P41" i="23"/>
  <c r="P39" i="23"/>
  <c r="P37" i="23"/>
  <c r="P35" i="23"/>
  <c r="P33" i="23"/>
  <c r="P31" i="23"/>
  <c r="P29" i="23"/>
  <c r="P27" i="23"/>
  <c r="P25" i="23"/>
  <c r="P23" i="23"/>
  <c r="P52" i="23"/>
  <c r="P50" i="23"/>
  <c r="P48" i="23"/>
  <c r="P46" i="23"/>
  <c r="P44" i="23"/>
  <c r="P42" i="23"/>
  <c r="P40" i="23"/>
  <c r="P38" i="23"/>
  <c r="P36" i="23"/>
  <c r="P26" i="23"/>
  <c r="P24" i="23"/>
  <c r="P28" i="23"/>
  <c r="P22" i="23"/>
  <c r="P20" i="23"/>
  <c r="P18" i="23"/>
  <c r="P16" i="23"/>
  <c r="P14" i="23"/>
  <c r="P12" i="23"/>
  <c r="P10" i="23"/>
  <c r="P34" i="23"/>
  <c r="P30" i="23"/>
  <c r="P32" i="23"/>
  <c r="P13" i="23"/>
  <c r="P21" i="23"/>
  <c r="M42" i="23"/>
  <c r="L42" i="23"/>
  <c r="I42" i="23" s="1"/>
  <c r="O42" i="23" s="1"/>
  <c r="K42" i="23"/>
  <c r="J42" i="23"/>
  <c r="H42" i="23"/>
  <c r="N42" i="23"/>
  <c r="F48" i="21"/>
  <c r="M13" i="22"/>
  <c r="I13" i="22" s="1"/>
  <c r="O13" i="22" s="1"/>
  <c r="C41" i="27"/>
  <c r="G19" i="22"/>
  <c r="H19" i="22" s="1"/>
  <c r="R19" i="22"/>
  <c r="G27" i="22"/>
  <c r="R27" i="22"/>
  <c r="H35" i="22"/>
  <c r="G35" i="22"/>
  <c r="R35" i="22"/>
  <c r="M27" i="25"/>
  <c r="N27" i="25"/>
  <c r="K27" i="25"/>
  <c r="J27" i="25"/>
  <c r="I27" i="25" s="1"/>
  <c r="O27" i="25" s="1"/>
  <c r="H27" i="25"/>
  <c r="L27" i="25"/>
  <c r="F49" i="22"/>
  <c r="K11" i="22"/>
  <c r="R11" i="22"/>
  <c r="R22" i="22"/>
  <c r="H22" i="22"/>
  <c r="G22" i="22"/>
  <c r="R30" i="22"/>
  <c r="G30" i="22"/>
  <c r="R38" i="22"/>
  <c r="G38" i="22"/>
  <c r="H38" i="22" s="1"/>
  <c r="K23" i="20"/>
  <c r="I23" i="20" s="1"/>
  <c r="O23" i="20" s="1"/>
  <c r="K25" i="20"/>
  <c r="K27" i="20"/>
  <c r="I27" i="20" s="1"/>
  <c r="O27" i="20" s="1"/>
  <c r="K29" i="20"/>
  <c r="K31" i="20"/>
  <c r="I31" i="20" s="1"/>
  <c r="O31" i="20" s="1"/>
  <c r="K33" i="20"/>
  <c r="I33" i="20" s="1"/>
  <c r="O33" i="20" s="1"/>
  <c r="G34" i="20"/>
  <c r="K35" i="20"/>
  <c r="I35" i="20" s="1"/>
  <c r="O35" i="20" s="1"/>
  <c r="G36" i="20"/>
  <c r="H36" i="20" s="1"/>
  <c r="K37" i="20"/>
  <c r="I37" i="20" s="1"/>
  <c r="O37" i="20" s="1"/>
  <c r="G38" i="20"/>
  <c r="H38" i="20" s="1"/>
  <c r="K39" i="20"/>
  <c r="I39" i="20" s="1"/>
  <c r="O39" i="20" s="1"/>
  <c r="G40" i="20"/>
  <c r="K41" i="20"/>
  <c r="G42" i="20"/>
  <c r="K43" i="20"/>
  <c r="I43" i="20" s="1"/>
  <c r="O43" i="20" s="1"/>
  <c r="G44" i="20"/>
  <c r="K45" i="20"/>
  <c r="I45" i="20" s="1"/>
  <c r="O45" i="20" s="1"/>
  <c r="G46" i="20"/>
  <c r="K47" i="20"/>
  <c r="I47" i="20" s="1"/>
  <c r="O47" i="20" s="1"/>
  <c r="G9" i="22"/>
  <c r="K10" i="22"/>
  <c r="I10" i="22" s="1"/>
  <c r="O10" i="22" s="1"/>
  <c r="H11" i="22"/>
  <c r="K12" i="22"/>
  <c r="R12" i="22"/>
  <c r="H17" i="22"/>
  <c r="G17" i="22"/>
  <c r="R17" i="22"/>
  <c r="G25" i="22"/>
  <c r="R25" i="22"/>
  <c r="H33" i="22"/>
  <c r="G33" i="22"/>
  <c r="R33" i="22"/>
  <c r="R42" i="22"/>
  <c r="H42" i="22"/>
  <c r="G42" i="22"/>
  <c r="R46" i="22"/>
  <c r="H46" i="22"/>
  <c r="G46" i="22"/>
  <c r="P9" i="23"/>
  <c r="P17" i="23"/>
  <c r="H26" i="23"/>
  <c r="M28" i="23"/>
  <c r="I28" i="23" s="1"/>
  <c r="O28" i="23" s="1"/>
  <c r="L28" i="23"/>
  <c r="J28" i="23"/>
  <c r="N28" i="23"/>
  <c r="K28" i="23"/>
  <c r="M50" i="23"/>
  <c r="L50" i="23"/>
  <c r="I50" i="23" s="1"/>
  <c r="O50" i="23" s="1"/>
  <c r="K50" i="23"/>
  <c r="J50" i="23"/>
  <c r="H50" i="23"/>
  <c r="N50" i="23"/>
  <c r="H34" i="20"/>
  <c r="H40" i="20"/>
  <c r="K13" i="22"/>
  <c r="R13" i="22"/>
  <c r="C42" i="27"/>
  <c r="R20" i="22"/>
  <c r="H20" i="22"/>
  <c r="G20" i="22"/>
  <c r="R28" i="22"/>
  <c r="H28" i="22"/>
  <c r="G28" i="22"/>
  <c r="R36" i="22"/>
  <c r="H36" i="22"/>
  <c r="G36" i="22"/>
  <c r="M26" i="23"/>
  <c r="L26" i="23"/>
  <c r="J26" i="23"/>
  <c r="N26" i="23"/>
  <c r="K26" i="23"/>
  <c r="I26" i="23" s="1"/>
  <c r="O26" i="23" s="1"/>
  <c r="M23" i="20"/>
  <c r="M25" i="20"/>
  <c r="I25" i="20" s="1"/>
  <c r="O25" i="20" s="1"/>
  <c r="M27" i="20"/>
  <c r="M29" i="20"/>
  <c r="M31" i="20"/>
  <c r="M33" i="20"/>
  <c r="M35" i="20"/>
  <c r="M37" i="20"/>
  <c r="M39" i="20"/>
  <c r="M41" i="20"/>
  <c r="I41" i="20" s="1"/>
  <c r="O41" i="20" s="1"/>
  <c r="R42" i="20"/>
  <c r="M43" i="20"/>
  <c r="M45" i="20"/>
  <c r="M47" i="20"/>
  <c r="G9" i="21"/>
  <c r="G11" i="21"/>
  <c r="G13" i="21"/>
  <c r="G15" i="21"/>
  <c r="G17" i="21"/>
  <c r="G19" i="21"/>
  <c r="G21" i="21"/>
  <c r="H21" i="21" s="1"/>
  <c r="G23" i="21"/>
  <c r="G25" i="21"/>
  <c r="H25" i="21" s="1"/>
  <c r="G27" i="21"/>
  <c r="G29" i="21"/>
  <c r="G31" i="21"/>
  <c r="G33" i="21"/>
  <c r="G35" i="21"/>
  <c r="G37" i="21"/>
  <c r="G39" i="21"/>
  <c r="G41" i="21"/>
  <c r="G43" i="21"/>
  <c r="G45" i="21"/>
  <c r="G47" i="21"/>
  <c r="R9" i="22"/>
  <c r="J11" i="22"/>
  <c r="H13" i="22"/>
  <c r="K14" i="22"/>
  <c r="O14" i="22"/>
  <c r="R14" i="22"/>
  <c r="R16" i="22"/>
  <c r="G16" i="22"/>
  <c r="C43" i="27"/>
  <c r="G23" i="22"/>
  <c r="R23" i="22"/>
  <c r="H31" i="22"/>
  <c r="G31" i="22"/>
  <c r="R31" i="22"/>
  <c r="H39" i="22"/>
  <c r="H47" i="22"/>
  <c r="P11" i="23"/>
  <c r="P19" i="23"/>
  <c r="H17" i="21"/>
  <c r="H19" i="21"/>
  <c r="H23" i="21"/>
  <c r="L11" i="22"/>
  <c r="J12" i="22"/>
  <c r="H14" i="22"/>
  <c r="M15" i="22"/>
  <c r="K15" i="22"/>
  <c r="C40" i="27"/>
  <c r="R18" i="22"/>
  <c r="G18" i="22"/>
  <c r="R26" i="22"/>
  <c r="H26" i="22"/>
  <c r="G26" i="22"/>
  <c r="R34" i="22"/>
  <c r="H34" i="22"/>
  <c r="G34" i="22"/>
  <c r="R39" i="22"/>
  <c r="R41" i="22"/>
  <c r="R43" i="22"/>
  <c r="R45" i="22"/>
  <c r="R47" i="22"/>
  <c r="M24" i="23"/>
  <c r="L24" i="23"/>
  <c r="R26" i="23"/>
  <c r="N29" i="23"/>
  <c r="M29" i="23"/>
  <c r="R9" i="23"/>
  <c r="R54" i="23" s="1"/>
  <c r="M10" i="23"/>
  <c r="M12" i="23"/>
  <c r="M14" i="23"/>
  <c r="I14" i="23" s="1"/>
  <c r="O14" i="23" s="1"/>
  <c r="M16" i="23"/>
  <c r="I17" i="23"/>
  <c r="O17" i="23" s="1"/>
  <c r="M18" i="23"/>
  <c r="M20" i="23"/>
  <c r="M22" i="23"/>
  <c r="I22" i="23" s="1"/>
  <c r="O22" i="23" s="1"/>
  <c r="K23" i="23"/>
  <c r="I25" i="23"/>
  <c r="O25" i="23" s="1"/>
  <c r="N25" i="23"/>
  <c r="N27" i="23"/>
  <c r="H28" i="23"/>
  <c r="K29" i="23"/>
  <c r="I29" i="23" s="1"/>
  <c r="O29" i="23" s="1"/>
  <c r="N33" i="23"/>
  <c r="M33" i="23"/>
  <c r="J33" i="23"/>
  <c r="M36" i="23"/>
  <c r="L36" i="23"/>
  <c r="J36" i="23"/>
  <c r="I36" i="23"/>
  <c r="O36" i="23" s="1"/>
  <c r="N36" i="23"/>
  <c r="M20" i="24"/>
  <c r="N20" i="24"/>
  <c r="L20" i="24"/>
  <c r="K20" i="24"/>
  <c r="I20" i="24" s="1"/>
  <c r="O20" i="24" s="1"/>
  <c r="J20" i="24"/>
  <c r="H20" i="24"/>
  <c r="J9" i="23"/>
  <c r="N10" i="23"/>
  <c r="I10" i="23" s="1"/>
  <c r="O10" i="23" s="1"/>
  <c r="J11" i="23"/>
  <c r="N12" i="23"/>
  <c r="J13" i="23"/>
  <c r="I13" i="23" s="1"/>
  <c r="O13" i="23" s="1"/>
  <c r="N14" i="23"/>
  <c r="J15" i="23"/>
  <c r="I15" i="23" s="1"/>
  <c r="O15" i="23" s="1"/>
  <c r="N16" i="23"/>
  <c r="I16" i="23" s="1"/>
  <c r="O16" i="23" s="1"/>
  <c r="J17" i="23"/>
  <c r="N18" i="23"/>
  <c r="I18" i="23" s="1"/>
  <c r="O18" i="23" s="1"/>
  <c r="J19" i="23"/>
  <c r="N20" i="23"/>
  <c r="J21" i="23"/>
  <c r="I21" i="23" s="1"/>
  <c r="O21" i="23" s="1"/>
  <c r="N22" i="23"/>
  <c r="L23" i="23"/>
  <c r="J24" i="23"/>
  <c r="I24" i="23" s="1"/>
  <c r="O24" i="23" s="1"/>
  <c r="L29" i="23"/>
  <c r="M32" i="23"/>
  <c r="L32" i="23"/>
  <c r="J32" i="23"/>
  <c r="I32" i="23" s="1"/>
  <c r="O32" i="23" s="1"/>
  <c r="M38" i="23"/>
  <c r="L38" i="23"/>
  <c r="J38" i="23"/>
  <c r="I38" i="23" s="1"/>
  <c r="O38" i="23" s="1"/>
  <c r="H38" i="23"/>
  <c r="N38" i="23"/>
  <c r="M40" i="23"/>
  <c r="L40" i="23"/>
  <c r="K40" i="23"/>
  <c r="J40" i="23"/>
  <c r="I40" i="23" s="1"/>
  <c r="O40" i="23" s="1"/>
  <c r="H40" i="23"/>
  <c r="N40" i="23"/>
  <c r="M48" i="23"/>
  <c r="L48" i="23"/>
  <c r="K48" i="23"/>
  <c r="J48" i="23"/>
  <c r="I48" i="23"/>
  <c r="O48" i="23" s="1"/>
  <c r="H48" i="23"/>
  <c r="N48" i="23"/>
  <c r="R21" i="24"/>
  <c r="G21" i="24"/>
  <c r="N10" i="25"/>
  <c r="L10" i="25"/>
  <c r="M10" i="25"/>
  <c r="K10" i="25"/>
  <c r="H10" i="25"/>
  <c r="J10" i="25"/>
  <c r="K9" i="23"/>
  <c r="K11" i="23"/>
  <c r="I11" i="23" s="1"/>
  <c r="O11" i="23" s="1"/>
  <c r="K13" i="23"/>
  <c r="K15" i="23"/>
  <c r="K17" i="23"/>
  <c r="K19" i="23"/>
  <c r="I19" i="23" s="1"/>
  <c r="O19" i="23" s="1"/>
  <c r="K21" i="23"/>
  <c r="M23" i="23"/>
  <c r="K24" i="23"/>
  <c r="I51" i="23"/>
  <c r="O51" i="23" s="1"/>
  <c r="N31" i="23"/>
  <c r="M31" i="23"/>
  <c r="N35" i="23"/>
  <c r="M35" i="23"/>
  <c r="J35" i="23"/>
  <c r="I35" i="23" s="1"/>
  <c r="O35" i="23" s="1"/>
  <c r="M46" i="23"/>
  <c r="L46" i="23"/>
  <c r="K46" i="23"/>
  <c r="J46" i="23"/>
  <c r="I46" i="23"/>
  <c r="O46" i="23" s="1"/>
  <c r="H46" i="23"/>
  <c r="N46" i="23"/>
  <c r="G39" i="22"/>
  <c r="G41" i="22"/>
  <c r="G43" i="22"/>
  <c r="G45" i="22"/>
  <c r="G47" i="22"/>
  <c r="M9" i="23"/>
  <c r="M11" i="23"/>
  <c r="I12" i="23"/>
  <c r="O12" i="23" s="1"/>
  <c r="M13" i="23"/>
  <c r="M15" i="23"/>
  <c r="M17" i="23"/>
  <c r="M19" i="23"/>
  <c r="I20" i="23"/>
  <c r="O20" i="23" s="1"/>
  <c r="M21" i="23"/>
  <c r="M25" i="23"/>
  <c r="M27" i="23"/>
  <c r="I27" i="23" s="1"/>
  <c r="O27" i="23" s="1"/>
  <c r="G30" i="23"/>
  <c r="J31" i="23"/>
  <c r="I31" i="23" s="1"/>
  <c r="O31" i="23" s="1"/>
  <c r="N32" i="23"/>
  <c r="K35" i="23"/>
  <c r="M12" i="24"/>
  <c r="O12" i="24"/>
  <c r="N12" i="24"/>
  <c r="L12" i="24"/>
  <c r="K12" i="24"/>
  <c r="I12" i="24" s="1"/>
  <c r="J12" i="24"/>
  <c r="H12" i="24"/>
  <c r="H43" i="22"/>
  <c r="N9" i="23"/>
  <c r="R23" i="23"/>
  <c r="H23" i="23"/>
  <c r="H30" i="23"/>
  <c r="K31" i="23"/>
  <c r="M34" i="23"/>
  <c r="I34" i="23" s="1"/>
  <c r="O34" i="23" s="1"/>
  <c r="L34" i="23"/>
  <c r="J34" i="23"/>
  <c r="N34" i="23"/>
  <c r="L35" i="23"/>
  <c r="N37" i="23"/>
  <c r="M37" i="23"/>
  <c r="L37" i="23"/>
  <c r="I37" i="23" s="1"/>
  <c r="O37" i="23" s="1"/>
  <c r="J37" i="23"/>
  <c r="N39" i="23"/>
  <c r="M39" i="23"/>
  <c r="I39" i="23" s="1"/>
  <c r="O39" i="23" s="1"/>
  <c r="L39" i="23"/>
  <c r="J39" i="23"/>
  <c r="M44" i="23"/>
  <c r="L44" i="23"/>
  <c r="K44" i="23"/>
  <c r="J44" i="23"/>
  <c r="H44" i="23"/>
  <c r="N44" i="23"/>
  <c r="M52" i="23"/>
  <c r="L52" i="23"/>
  <c r="I52" i="23" s="1"/>
  <c r="O52" i="23" s="1"/>
  <c r="K52" i="23"/>
  <c r="J52" i="23"/>
  <c r="H52" i="23"/>
  <c r="N52" i="23"/>
  <c r="R13" i="24"/>
  <c r="G13" i="24"/>
  <c r="J41" i="23"/>
  <c r="J43" i="23"/>
  <c r="I43" i="23" s="1"/>
  <c r="O43" i="23" s="1"/>
  <c r="J45" i="23"/>
  <c r="I45" i="23" s="1"/>
  <c r="O45" i="23" s="1"/>
  <c r="J47" i="23"/>
  <c r="J49" i="23"/>
  <c r="I49" i="23" s="1"/>
  <c r="O49" i="23" s="1"/>
  <c r="J51" i="23"/>
  <c r="J53" i="23"/>
  <c r="I11" i="24"/>
  <c r="O11" i="24" s="1"/>
  <c r="M11" i="24"/>
  <c r="K16" i="24"/>
  <c r="M19" i="24"/>
  <c r="K24" i="24"/>
  <c r="I24" i="24" s="1"/>
  <c r="O24" i="24" s="1"/>
  <c r="L27" i="24"/>
  <c r="R33" i="24"/>
  <c r="G33" i="24"/>
  <c r="R37" i="24"/>
  <c r="G37" i="24"/>
  <c r="R41" i="24"/>
  <c r="G41" i="24"/>
  <c r="R44" i="24"/>
  <c r="G44" i="24"/>
  <c r="K9" i="25"/>
  <c r="J9" i="25"/>
  <c r="M9" i="25"/>
  <c r="N9" i="25"/>
  <c r="L9" i="25"/>
  <c r="R15" i="25"/>
  <c r="G15" i="25"/>
  <c r="H15" i="25" s="1"/>
  <c r="L41" i="23"/>
  <c r="L43" i="23"/>
  <c r="L45" i="23"/>
  <c r="L47" i="23"/>
  <c r="I47" i="23" s="1"/>
  <c r="L49" i="23"/>
  <c r="L51" i="23"/>
  <c r="L53" i="23"/>
  <c r="I53" i="23" s="1"/>
  <c r="O53" i="23" s="1"/>
  <c r="F54" i="24"/>
  <c r="R9" i="24"/>
  <c r="N16" i="24"/>
  <c r="N24" i="24"/>
  <c r="R32" i="24"/>
  <c r="G32" i="24"/>
  <c r="R36" i="24"/>
  <c r="G36" i="24"/>
  <c r="R40" i="24"/>
  <c r="G40" i="24"/>
  <c r="N30" i="25"/>
  <c r="L30" i="25"/>
  <c r="K30" i="25"/>
  <c r="H30" i="25"/>
  <c r="J30" i="25"/>
  <c r="I30" i="25" s="1"/>
  <c r="O30" i="25" s="1"/>
  <c r="R34" i="23"/>
  <c r="M41" i="23"/>
  <c r="I41" i="23" s="1"/>
  <c r="O41" i="23" s="1"/>
  <c r="M43" i="23"/>
  <c r="M45" i="23"/>
  <c r="M47" i="23"/>
  <c r="M49" i="23"/>
  <c r="M51" i="23"/>
  <c r="M53" i="23"/>
  <c r="G9" i="24"/>
  <c r="K11" i="24"/>
  <c r="G14" i="24"/>
  <c r="K19" i="24"/>
  <c r="I19" i="24" s="1"/>
  <c r="G22" i="24"/>
  <c r="R30" i="24"/>
  <c r="G30" i="24"/>
  <c r="G31" i="24"/>
  <c r="H31" i="24" s="1"/>
  <c r="H40" i="24"/>
  <c r="M30" i="25"/>
  <c r="G37" i="25"/>
  <c r="R37" i="25"/>
  <c r="H37" i="25"/>
  <c r="G53" i="25"/>
  <c r="H53" i="25" s="1"/>
  <c r="R53" i="25"/>
  <c r="N41" i="23"/>
  <c r="N43" i="23"/>
  <c r="N45" i="23"/>
  <c r="N47" i="23"/>
  <c r="N49" i="23"/>
  <c r="N51" i="23"/>
  <c r="N53" i="23"/>
  <c r="H9" i="24"/>
  <c r="L11" i="24"/>
  <c r="H14" i="24"/>
  <c r="G15" i="24"/>
  <c r="L19" i="24"/>
  <c r="H22" i="24"/>
  <c r="G23" i="24"/>
  <c r="R28" i="24"/>
  <c r="G28" i="24"/>
  <c r="G29" i="24"/>
  <c r="C50" i="27"/>
  <c r="R35" i="24"/>
  <c r="G35" i="24"/>
  <c r="R39" i="24"/>
  <c r="G39" i="24"/>
  <c r="O47" i="23"/>
  <c r="M16" i="24"/>
  <c r="I16" i="24"/>
  <c r="O16" i="24" s="1"/>
  <c r="M24" i="24"/>
  <c r="R26" i="24"/>
  <c r="G26" i="24"/>
  <c r="M27" i="24"/>
  <c r="K27" i="24"/>
  <c r="H25" i="23"/>
  <c r="H27" i="23"/>
  <c r="H29" i="23"/>
  <c r="H31" i="23"/>
  <c r="H33" i="23"/>
  <c r="H35" i="23"/>
  <c r="H37" i="23"/>
  <c r="H39" i="23"/>
  <c r="H41" i="23"/>
  <c r="H43" i="23"/>
  <c r="H45" i="23"/>
  <c r="H47" i="23"/>
  <c r="H49" i="23"/>
  <c r="H51" i="23"/>
  <c r="H53" i="23"/>
  <c r="G10" i="24"/>
  <c r="H16" i="24"/>
  <c r="G17" i="24"/>
  <c r="O19" i="24"/>
  <c r="H24" i="24"/>
  <c r="G25" i="24"/>
  <c r="H27" i="24"/>
  <c r="C49" i="27"/>
  <c r="R34" i="24"/>
  <c r="G34" i="24"/>
  <c r="R38" i="24"/>
  <c r="G38" i="24"/>
  <c r="R42" i="24"/>
  <c r="G42" i="24"/>
  <c r="H42" i="24" s="1"/>
  <c r="M43" i="25"/>
  <c r="N43" i="25"/>
  <c r="L43" i="25"/>
  <c r="K43" i="25"/>
  <c r="J43" i="25"/>
  <c r="H43" i="25"/>
  <c r="R35" i="23"/>
  <c r="R43" i="23"/>
  <c r="H10" i="24"/>
  <c r="J16" i="24"/>
  <c r="H17" i="24"/>
  <c r="G18" i="24"/>
  <c r="J24" i="24"/>
  <c r="H25" i="24"/>
  <c r="J27" i="24"/>
  <c r="I27" i="24" s="1"/>
  <c r="O27" i="24" s="1"/>
  <c r="H34" i="24"/>
  <c r="N14" i="25"/>
  <c r="L14" i="25"/>
  <c r="M14" i="25"/>
  <c r="K14" i="25"/>
  <c r="J14" i="25"/>
  <c r="H14" i="25"/>
  <c r="N18" i="25"/>
  <c r="L18" i="25"/>
  <c r="K18" i="25"/>
  <c r="I18" i="25" s="1"/>
  <c r="O18" i="25" s="1"/>
  <c r="M18" i="25"/>
  <c r="H18" i="25"/>
  <c r="M29" i="25"/>
  <c r="I29" i="25"/>
  <c r="O29" i="25" s="1"/>
  <c r="H29" i="25"/>
  <c r="N29" i="25"/>
  <c r="K29" i="25"/>
  <c r="L29" i="25"/>
  <c r="J29" i="25"/>
  <c r="K46" i="24"/>
  <c r="K48" i="24"/>
  <c r="K50" i="24"/>
  <c r="K52" i="24"/>
  <c r="F54" i="25"/>
  <c r="H9" i="25"/>
  <c r="R41" i="25"/>
  <c r="H41" i="25"/>
  <c r="G41" i="25"/>
  <c r="M47" i="25"/>
  <c r="L47" i="25"/>
  <c r="K47" i="25"/>
  <c r="J47" i="25"/>
  <c r="H47" i="25"/>
  <c r="M49" i="25"/>
  <c r="O49" i="25"/>
  <c r="N49" i="25"/>
  <c r="L49" i="25"/>
  <c r="K49" i="25"/>
  <c r="M51" i="25"/>
  <c r="J51" i="25"/>
  <c r="I51" i="25" s="1"/>
  <c r="H51" i="25"/>
  <c r="O51" i="25"/>
  <c r="L51" i="25"/>
  <c r="H13" i="25"/>
  <c r="G17" i="25"/>
  <c r="R24" i="25"/>
  <c r="G24" i="25"/>
  <c r="R26" i="25"/>
  <c r="H26" i="25"/>
  <c r="G26" i="25"/>
  <c r="J32" i="25"/>
  <c r="H32" i="25"/>
  <c r="N32" i="25"/>
  <c r="L32" i="25"/>
  <c r="I32" i="25" s="1"/>
  <c r="O32" i="25" s="1"/>
  <c r="R39" i="25"/>
  <c r="G39" i="25"/>
  <c r="J49" i="25"/>
  <c r="I49" i="25" s="1"/>
  <c r="N51" i="25"/>
  <c r="F9" i="36"/>
  <c r="B93" i="9" s="1"/>
  <c r="K13" i="25"/>
  <c r="J13" i="25"/>
  <c r="M13" i="25"/>
  <c r="R44" i="25"/>
  <c r="H44" i="25"/>
  <c r="G44" i="25"/>
  <c r="H19" i="29"/>
  <c r="G43" i="24"/>
  <c r="G45" i="24"/>
  <c r="M46" i="24"/>
  <c r="I46" i="24" s="1"/>
  <c r="O46" i="24" s="1"/>
  <c r="R46" i="24"/>
  <c r="R48" i="24"/>
  <c r="R50" i="24"/>
  <c r="R52" i="24"/>
  <c r="N12" i="25"/>
  <c r="L12" i="25"/>
  <c r="G19" i="25"/>
  <c r="R28" i="25"/>
  <c r="G28" i="25"/>
  <c r="M31" i="25"/>
  <c r="L31" i="25"/>
  <c r="K31" i="25"/>
  <c r="I31" i="25" s="1"/>
  <c r="O31" i="25" s="1"/>
  <c r="H31" i="25"/>
  <c r="M34" i="25"/>
  <c r="L34" i="25"/>
  <c r="J34" i="25"/>
  <c r="H34" i="25"/>
  <c r="N46" i="25"/>
  <c r="M46" i="25"/>
  <c r="L46" i="25"/>
  <c r="K46" i="25"/>
  <c r="H46" i="25"/>
  <c r="B19" i="29"/>
  <c r="B55" i="9" s="1"/>
  <c r="C19" i="29"/>
  <c r="H17" i="29"/>
  <c r="U24" i="1" s="1"/>
  <c r="E15" i="37" s="1"/>
  <c r="M48" i="24"/>
  <c r="J48" i="24"/>
  <c r="M50" i="24"/>
  <c r="J50" i="24"/>
  <c r="M52" i="24"/>
  <c r="J52" i="24"/>
  <c r="I52" i="24" s="1"/>
  <c r="O52" i="24" s="1"/>
  <c r="H11" i="25"/>
  <c r="L13" i="25"/>
  <c r="N16" i="25"/>
  <c r="L16" i="25"/>
  <c r="K16" i="25"/>
  <c r="I16" i="25"/>
  <c r="O16" i="25" s="1"/>
  <c r="M21" i="25"/>
  <c r="N21" i="25"/>
  <c r="L21" i="25"/>
  <c r="J21" i="25"/>
  <c r="R40" i="25"/>
  <c r="G40" i="25"/>
  <c r="J46" i="25"/>
  <c r="I46" i="25" s="1"/>
  <c r="O46" i="25" s="1"/>
  <c r="I50" i="25"/>
  <c r="O50" i="25" s="1"/>
  <c r="M50" i="25"/>
  <c r="L50" i="25"/>
  <c r="K50" i="25"/>
  <c r="J50" i="25"/>
  <c r="H50" i="25"/>
  <c r="R43" i="24"/>
  <c r="I47" i="24"/>
  <c r="O47" i="24" s="1"/>
  <c r="N47" i="24"/>
  <c r="K47" i="24"/>
  <c r="H48" i="24"/>
  <c r="N49" i="24"/>
  <c r="I49" i="24" s="1"/>
  <c r="O49" i="24" s="1"/>
  <c r="K49" i="24"/>
  <c r="H50" i="24"/>
  <c r="I51" i="24"/>
  <c r="O51" i="24" s="1"/>
  <c r="N51" i="24"/>
  <c r="K51" i="24"/>
  <c r="H52" i="24"/>
  <c r="N53" i="24"/>
  <c r="I53" i="24" s="1"/>
  <c r="O53" i="24" s="1"/>
  <c r="K53" i="24"/>
  <c r="R9" i="25"/>
  <c r="G11" i="25"/>
  <c r="J12" i="25"/>
  <c r="I12" i="25" s="1"/>
  <c r="O12" i="25" s="1"/>
  <c r="N13" i="25"/>
  <c r="H16" i="25"/>
  <c r="H21" i="25"/>
  <c r="R23" i="25"/>
  <c r="G23" i="25"/>
  <c r="R25" i="25"/>
  <c r="G25" i="25"/>
  <c r="N31" i="25"/>
  <c r="M33" i="25"/>
  <c r="L33" i="25"/>
  <c r="K33" i="25"/>
  <c r="I33" i="25" s="1"/>
  <c r="O33" i="25" s="1"/>
  <c r="N34" i="25"/>
  <c r="N50" i="25"/>
  <c r="R10" i="25"/>
  <c r="R12" i="25"/>
  <c r="R14" i="25"/>
  <c r="R16" i="25"/>
  <c r="R18" i="25"/>
  <c r="K45" i="25"/>
  <c r="L48" i="25"/>
  <c r="F19" i="29"/>
  <c r="N45" i="25"/>
  <c r="I45" i="25" s="1"/>
  <c r="O45" i="25" s="1"/>
  <c r="N48" i="25"/>
  <c r="G22" i="25"/>
  <c r="G35" i="25"/>
  <c r="G38" i="25"/>
  <c r="H15" i="29"/>
  <c r="U22" i="1" s="1"/>
  <c r="C15" i="37" s="1"/>
  <c r="D9" i="36"/>
  <c r="C52" i="27"/>
  <c r="G42" i="25"/>
  <c r="H45" i="25"/>
  <c r="H48" i="25"/>
  <c r="D8" i="35"/>
  <c r="C8" i="35"/>
  <c r="E8" i="35" s="1"/>
  <c r="F8" i="35"/>
  <c r="G20" i="25"/>
  <c r="G36" i="25"/>
  <c r="H42" i="25"/>
  <c r="J48" i="25"/>
  <c r="I48" i="25" s="1"/>
  <c r="O48" i="25" s="1"/>
  <c r="G52" i="25"/>
  <c r="E10" i="29"/>
  <c r="B7" i="31" s="1"/>
  <c r="D19" i="29"/>
  <c r="B9" i="35"/>
  <c r="C6" i="35"/>
  <c r="D7" i="35"/>
  <c r="F7" i="35" s="1"/>
  <c r="C38" i="35"/>
  <c r="D6" i="35"/>
  <c r="F6" i="35" s="1"/>
  <c r="D5" i="35"/>
  <c r="F5" i="35" s="1"/>
  <c r="C35" i="35"/>
  <c r="C39" i="35"/>
  <c r="D4" i="35"/>
  <c r="C37" i="35"/>
  <c r="F7" i="32" l="1"/>
  <c r="H24" i="1"/>
  <c r="I13" i="25"/>
  <c r="O13" i="25" s="1"/>
  <c r="M38" i="24"/>
  <c r="K38" i="24"/>
  <c r="N38" i="24"/>
  <c r="J38" i="24"/>
  <c r="I38" i="24" s="1"/>
  <c r="O38" i="24" s="1"/>
  <c r="L38" i="24"/>
  <c r="H38" i="24"/>
  <c r="I34" i="25"/>
  <c r="O34" i="25" s="1"/>
  <c r="K45" i="24"/>
  <c r="J45" i="24"/>
  <c r="I45" i="24" s="1"/>
  <c r="O45" i="24" s="1"/>
  <c r="H45" i="24"/>
  <c r="M45" i="24"/>
  <c r="N45" i="24"/>
  <c r="L45" i="24"/>
  <c r="I14" i="25"/>
  <c r="O14" i="25" s="1"/>
  <c r="I43" i="25"/>
  <c r="O43" i="25" s="1"/>
  <c r="M30" i="24"/>
  <c r="L30" i="24"/>
  <c r="K30" i="24"/>
  <c r="J30" i="24"/>
  <c r="I30" i="24" s="1"/>
  <c r="O30" i="24" s="1"/>
  <c r="N30" i="24"/>
  <c r="H30" i="24"/>
  <c r="I9" i="23"/>
  <c r="G6" i="26"/>
  <c r="I6" i="26"/>
  <c r="B50" i="20"/>
  <c r="B52" i="20" s="1"/>
  <c r="E7" i="2"/>
  <c r="I20" i="25"/>
  <c r="O20" i="25" s="1"/>
  <c r="M20" i="25"/>
  <c r="L20" i="25"/>
  <c r="J20" i="25"/>
  <c r="N20" i="25"/>
  <c r="K20" i="25"/>
  <c r="H20" i="25"/>
  <c r="M18" i="24"/>
  <c r="N18" i="24"/>
  <c r="L18" i="24"/>
  <c r="I18" i="24" s="1"/>
  <c r="O18" i="24" s="1"/>
  <c r="K18" i="24"/>
  <c r="H18" i="24"/>
  <c r="J18" i="24"/>
  <c r="M13" i="24"/>
  <c r="N13" i="24"/>
  <c r="L13" i="24"/>
  <c r="K13" i="24"/>
  <c r="I13" i="24" s="1"/>
  <c r="O13" i="24" s="1"/>
  <c r="J13" i="24"/>
  <c r="H13" i="24"/>
  <c r="O9" i="16"/>
  <c r="D13" i="37"/>
  <c r="G4" i="14"/>
  <c r="I9" i="25"/>
  <c r="M33" i="24"/>
  <c r="K33" i="24"/>
  <c r="N33" i="24"/>
  <c r="L33" i="24"/>
  <c r="J33" i="24"/>
  <c r="I33" i="24" s="1"/>
  <c r="O33" i="24" s="1"/>
  <c r="H33" i="24"/>
  <c r="G4" i="26"/>
  <c r="I4" i="26"/>
  <c r="B50" i="18"/>
  <c r="B52" i="18" s="1"/>
  <c r="E5" i="2"/>
  <c r="C13" i="37"/>
  <c r="G3" i="14"/>
  <c r="J22" i="1"/>
  <c r="F8" i="32"/>
  <c r="H25" i="1"/>
  <c r="K11" i="25"/>
  <c r="I11" i="25" s="1"/>
  <c r="O11" i="25" s="1"/>
  <c r="J11" i="25"/>
  <c r="J54" i="25" s="1"/>
  <c r="M11" i="25"/>
  <c r="L11" i="25"/>
  <c r="N11" i="25"/>
  <c r="G54" i="25"/>
  <c r="I44" i="23"/>
  <c r="O44" i="23" s="1"/>
  <c r="I10" i="25"/>
  <c r="O10" i="25" s="1"/>
  <c r="I11" i="22"/>
  <c r="O11" i="22" s="1"/>
  <c r="F4" i="32"/>
  <c r="C40" i="35"/>
  <c r="B83" i="9" s="1"/>
  <c r="H21" i="1"/>
  <c r="R54" i="25"/>
  <c r="I48" i="24"/>
  <c r="O48" i="24" s="1"/>
  <c r="I47" i="25"/>
  <c r="O47" i="25" s="1"/>
  <c r="M26" i="24"/>
  <c r="J26" i="24"/>
  <c r="I26" i="24" s="1"/>
  <c r="O26" i="24" s="1"/>
  <c r="N26" i="24"/>
  <c r="K26" i="24"/>
  <c r="L26" i="24"/>
  <c r="H26" i="24"/>
  <c r="N39" i="22"/>
  <c r="M39" i="22"/>
  <c r="L39" i="22"/>
  <c r="K39" i="22"/>
  <c r="J39" i="22"/>
  <c r="I39" i="22" s="1"/>
  <c r="O39" i="22" s="1"/>
  <c r="O9" i="17"/>
  <c r="N52" i="25"/>
  <c r="M52" i="25"/>
  <c r="L52" i="25"/>
  <c r="I52" i="25" s="1"/>
  <c r="O52" i="25" s="1"/>
  <c r="J52" i="25"/>
  <c r="K52" i="25"/>
  <c r="H52" i="25"/>
  <c r="K38" i="25"/>
  <c r="J38" i="25"/>
  <c r="M38" i="25"/>
  <c r="I38" i="25" s="1"/>
  <c r="O38" i="25" s="1"/>
  <c r="L38" i="25"/>
  <c r="N38" i="25"/>
  <c r="H38" i="25"/>
  <c r="M23" i="25"/>
  <c r="N23" i="25"/>
  <c r="L23" i="25"/>
  <c r="J23" i="25"/>
  <c r="I23" i="25" s="1"/>
  <c r="O23" i="25" s="1"/>
  <c r="K23" i="25"/>
  <c r="H23" i="25"/>
  <c r="I33" i="23"/>
  <c r="O33" i="23" s="1"/>
  <c r="I23" i="23"/>
  <c r="O23" i="23" s="1"/>
  <c r="L16" i="22"/>
  <c r="K16" i="22"/>
  <c r="I16" i="22"/>
  <c r="O16" i="22" s="1"/>
  <c r="N16" i="22"/>
  <c r="J16" i="22"/>
  <c r="M16" i="22"/>
  <c r="H16" i="22"/>
  <c r="N47" i="21"/>
  <c r="M47" i="21"/>
  <c r="L47" i="21"/>
  <c r="K47" i="21"/>
  <c r="J47" i="21"/>
  <c r="I47" i="21" s="1"/>
  <c r="O47" i="21" s="1"/>
  <c r="H47" i="21"/>
  <c r="N31" i="21"/>
  <c r="M31" i="21"/>
  <c r="L31" i="21"/>
  <c r="K31" i="21"/>
  <c r="J31" i="21"/>
  <c r="I31" i="21" s="1"/>
  <c r="O31" i="21" s="1"/>
  <c r="H31" i="21"/>
  <c r="N15" i="21"/>
  <c r="M15" i="21"/>
  <c r="L15" i="21"/>
  <c r="K15" i="21"/>
  <c r="J15" i="21"/>
  <c r="I15" i="21" s="1"/>
  <c r="O15" i="21" s="1"/>
  <c r="H15" i="21"/>
  <c r="I3" i="26"/>
  <c r="G3" i="26"/>
  <c r="E4" i="2"/>
  <c r="B67" i="17"/>
  <c r="B69" i="17" s="1"/>
  <c r="O9" i="18"/>
  <c r="I21" i="25"/>
  <c r="O21" i="25" s="1"/>
  <c r="L28" i="25"/>
  <c r="K28" i="25"/>
  <c r="N28" i="25"/>
  <c r="M28" i="25"/>
  <c r="J28" i="25"/>
  <c r="I28" i="25" s="1"/>
  <c r="O28" i="25" s="1"/>
  <c r="H28" i="25"/>
  <c r="M36" i="24"/>
  <c r="K36" i="24"/>
  <c r="N36" i="24"/>
  <c r="L36" i="24"/>
  <c r="J36" i="24"/>
  <c r="I36" i="24" s="1"/>
  <c r="O36" i="24" s="1"/>
  <c r="H36" i="24"/>
  <c r="H54" i="23"/>
  <c r="I9" i="26"/>
  <c r="G9" i="26"/>
  <c r="B56" i="23"/>
  <c r="B58" i="23" s="1"/>
  <c r="E10" i="2"/>
  <c r="G2" i="26"/>
  <c r="I2" i="26"/>
  <c r="B53" i="16"/>
  <c r="B55" i="16" s="1"/>
  <c r="E3" i="2"/>
  <c r="F13" i="37"/>
  <c r="G6" i="14"/>
  <c r="N43" i="24"/>
  <c r="M43" i="24"/>
  <c r="K43" i="24"/>
  <c r="L43" i="24"/>
  <c r="J43" i="24"/>
  <c r="I43" i="24" s="1"/>
  <c r="O43" i="24" s="1"/>
  <c r="H43" i="24"/>
  <c r="N24" i="25"/>
  <c r="M24" i="25"/>
  <c r="K24" i="25"/>
  <c r="I24" i="25" s="1"/>
  <c r="O24" i="25" s="1"/>
  <c r="J24" i="25"/>
  <c r="L24" i="25"/>
  <c r="H24" i="25"/>
  <c r="M41" i="25"/>
  <c r="K41" i="25"/>
  <c r="J41" i="25"/>
  <c r="I41" i="25" s="1"/>
  <c r="O41" i="25" s="1"/>
  <c r="N41" i="25"/>
  <c r="L41" i="25"/>
  <c r="M34" i="24"/>
  <c r="K34" i="24"/>
  <c r="I34" i="24"/>
  <c r="O34" i="24" s="1"/>
  <c r="N34" i="24"/>
  <c r="J34" i="24"/>
  <c r="L34" i="24"/>
  <c r="M17" i="24"/>
  <c r="N17" i="24"/>
  <c r="I17" i="24" s="1"/>
  <c r="O17" i="24" s="1"/>
  <c r="L17" i="24"/>
  <c r="J17" i="24"/>
  <c r="K17" i="24"/>
  <c r="M30" i="23"/>
  <c r="L30" i="23"/>
  <c r="L54" i="23" s="1"/>
  <c r="J30" i="23"/>
  <c r="I30" i="23"/>
  <c r="O30" i="23" s="1"/>
  <c r="K30" i="23"/>
  <c r="N30" i="23"/>
  <c r="N54" i="23" s="1"/>
  <c r="G54" i="23"/>
  <c r="N45" i="21"/>
  <c r="M45" i="21"/>
  <c r="L45" i="21"/>
  <c r="K45" i="21"/>
  <c r="I45" i="21" s="1"/>
  <c r="O45" i="21" s="1"/>
  <c r="J45" i="21"/>
  <c r="N29" i="21"/>
  <c r="M29" i="21"/>
  <c r="L29" i="21"/>
  <c r="K29" i="21"/>
  <c r="I29" i="21" s="1"/>
  <c r="O29" i="21" s="1"/>
  <c r="J29" i="21"/>
  <c r="N13" i="21"/>
  <c r="M13" i="21"/>
  <c r="L13" i="21"/>
  <c r="K13" i="21"/>
  <c r="I13" i="21"/>
  <c r="O13" i="21" s="1"/>
  <c r="J13" i="21"/>
  <c r="L36" i="22"/>
  <c r="K36" i="22"/>
  <c r="M36" i="22"/>
  <c r="N36" i="22"/>
  <c r="J36" i="22"/>
  <c r="I36" i="22" s="1"/>
  <c r="O36" i="22" s="1"/>
  <c r="M25" i="22"/>
  <c r="L25" i="22"/>
  <c r="K25" i="22"/>
  <c r="I25" i="22" s="1"/>
  <c r="O25" i="22" s="1"/>
  <c r="N25" i="22"/>
  <c r="J25" i="22"/>
  <c r="J42" i="20"/>
  <c r="I42" i="20" s="1"/>
  <c r="O42" i="20" s="1"/>
  <c r="H42" i="20"/>
  <c r="N42" i="20"/>
  <c r="M42" i="20"/>
  <c r="K42" i="20"/>
  <c r="L42" i="20"/>
  <c r="J34" i="20"/>
  <c r="I34" i="20" s="1"/>
  <c r="O34" i="20" s="1"/>
  <c r="N34" i="20"/>
  <c r="M34" i="20"/>
  <c r="K34" i="20"/>
  <c r="L34" i="20"/>
  <c r="L44" i="22"/>
  <c r="K44" i="22"/>
  <c r="I44" i="22" s="1"/>
  <c r="O44" i="22" s="1"/>
  <c r="J44" i="22"/>
  <c r="M44" i="22"/>
  <c r="N44" i="22"/>
  <c r="L40" i="21"/>
  <c r="K40" i="21"/>
  <c r="J40" i="21"/>
  <c r="I40" i="21" s="1"/>
  <c r="O40" i="21" s="1"/>
  <c r="M40" i="21"/>
  <c r="N40" i="21"/>
  <c r="K14" i="20"/>
  <c r="H14" i="20"/>
  <c r="N14" i="20"/>
  <c r="M14" i="20"/>
  <c r="J14" i="20"/>
  <c r="L14" i="20"/>
  <c r="I14" i="20" s="1"/>
  <c r="O14" i="20" s="1"/>
  <c r="H18" i="19"/>
  <c r="N18" i="19"/>
  <c r="M18" i="19"/>
  <c r="L18" i="19"/>
  <c r="K18" i="19"/>
  <c r="J18" i="19"/>
  <c r="I18" i="19" s="1"/>
  <c r="O18" i="19" s="1"/>
  <c r="J45" i="18"/>
  <c r="I45" i="18" s="1"/>
  <c r="O45" i="18" s="1"/>
  <c r="N45" i="18"/>
  <c r="M45" i="18"/>
  <c r="K45" i="18"/>
  <c r="L45" i="18"/>
  <c r="J28" i="20"/>
  <c r="I28" i="20" s="1"/>
  <c r="O28" i="20" s="1"/>
  <c r="M28" i="20"/>
  <c r="K28" i="20"/>
  <c r="N28" i="20"/>
  <c r="L28" i="20"/>
  <c r="L46" i="21"/>
  <c r="K46" i="21"/>
  <c r="J46" i="21"/>
  <c r="I46" i="21" s="1"/>
  <c r="O46" i="21" s="1"/>
  <c r="M46" i="21"/>
  <c r="N46" i="21"/>
  <c r="L26" i="21"/>
  <c r="K26" i="21"/>
  <c r="J26" i="21"/>
  <c r="I26" i="21" s="1"/>
  <c r="O26" i="21" s="1"/>
  <c r="M26" i="21"/>
  <c r="N26" i="21"/>
  <c r="H29" i="21"/>
  <c r="I15" i="20"/>
  <c r="O15" i="20" s="1"/>
  <c r="L45" i="19"/>
  <c r="K45" i="19"/>
  <c r="J45" i="19"/>
  <c r="I45" i="19" s="1"/>
  <c r="O45" i="19" s="1"/>
  <c r="M45" i="19"/>
  <c r="N45" i="19"/>
  <c r="L13" i="19"/>
  <c r="K13" i="19"/>
  <c r="J13" i="19"/>
  <c r="I13" i="19" s="1"/>
  <c r="O13" i="19" s="1"/>
  <c r="M13" i="19"/>
  <c r="N13" i="19"/>
  <c r="M31" i="18"/>
  <c r="K31" i="18"/>
  <c r="I31" i="18" s="1"/>
  <c r="O31" i="18" s="1"/>
  <c r="L31" i="18"/>
  <c r="J31" i="18"/>
  <c r="N31" i="18"/>
  <c r="I62" i="17"/>
  <c r="O62" i="17" s="1"/>
  <c r="I46" i="17"/>
  <c r="O46" i="17" s="1"/>
  <c r="M21" i="18"/>
  <c r="K21" i="18"/>
  <c r="N21" i="18"/>
  <c r="L21" i="18"/>
  <c r="J21" i="18"/>
  <c r="I21" i="18" s="1"/>
  <c r="O21" i="18" s="1"/>
  <c r="L31" i="19"/>
  <c r="K31" i="19"/>
  <c r="J31" i="19"/>
  <c r="I31" i="19"/>
  <c r="O31" i="19" s="1"/>
  <c r="M31" i="19"/>
  <c r="N31" i="19"/>
  <c r="F7" i="2"/>
  <c r="F13" i="2" s="1"/>
  <c r="L65" i="17"/>
  <c r="I49" i="16"/>
  <c r="O49" i="16" s="1"/>
  <c r="C55" i="27"/>
  <c r="H2" i="26"/>
  <c r="I26" i="17"/>
  <c r="O26" i="17" s="1"/>
  <c r="I24" i="16"/>
  <c r="O24" i="16" s="1"/>
  <c r="I2" i="11"/>
  <c r="B5" i="31"/>
  <c r="B40" i="9"/>
  <c r="P21" i="1"/>
  <c r="B47" i="9"/>
  <c r="M15" i="24"/>
  <c r="K15" i="24"/>
  <c r="J15" i="24"/>
  <c r="I15" i="24" s="1"/>
  <c r="O15" i="24" s="1"/>
  <c r="H15" i="24"/>
  <c r="L15" i="24"/>
  <c r="N15" i="24"/>
  <c r="M37" i="25"/>
  <c r="N37" i="25"/>
  <c r="L37" i="25"/>
  <c r="J37" i="25"/>
  <c r="I37" i="25" s="1"/>
  <c r="O37" i="25" s="1"/>
  <c r="K37" i="25"/>
  <c r="M22" i="24"/>
  <c r="L22" i="24"/>
  <c r="K22" i="24"/>
  <c r="J22" i="24"/>
  <c r="I22" i="24" s="1"/>
  <c r="O22" i="24" s="1"/>
  <c r="N22" i="24"/>
  <c r="M32" i="24"/>
  <c r="K32" i="24"/>
  <c r="N32" i="24"/>
  <c r="L32" i="24"/>
  <c r="J32" i="24"/>
  <c r="I32" i="24" s="1"/>
  <c r="O32" i="24" s="1"/>
  <c r="M44" i="24"/>
  <c r="L44" i="24"/>
  <c r="K44" i="24"/>
  <c r="I44" i="24" s="1"/>
  <c r="O44" i="24" s="1"/>
  <c r="J44" i="24"/>
  <c r="N44" i="24"/>
  <c r="H44" i="24"/>
  <c r="K54" i="23"/>
  <c r="L26" i="22"/>
  <c r="K26" i="22"/>
  <c r="M26" i="22"/>
  <c r="J26" i="22"/>
  <c r="I26" i="22" s="1"/>
  <c r="O26" i="22" s="1"/>
  <c r="N26" i="22"/>
  <c r="I15" i="22"/>
  <c r="O15" i="22" s="1"/>
  <c r="M31" i="22"/>
  <c r="L31" i="22"/>
  <c r="K31" i="22"/>
  <c r="J31" i="22"/>
  <c r="I31" i="22" s="1"/>
  <c r="O31" i="22" s="1"/>
  <c r="N31" i="22"/>
  <c r="N43" i="21"/>
  <c r="M43" i="21"/>
  <c r="L43" i="21"/>
  <c r="K43" i="21"/>
  <c r="J43" i="21"/>
  <c r="I43" i="21" s="1"/>
  <c r="O43" i="21" s="1"/>
  <c r="N27" i="21"/>
  <c r="M27" i="21"/>
  <c r="L27" i="21"/>
  <c r="I27" i="21" s="1"/>
  <c r="O27" i="21" s="1"/>
  <c r="K27" i="21"/>
  <c r="J27" i="21"/>
  <c r="N11" i="21"/>
  <c r="M11" i="21"/>
  <c r="L11" i="21"/>
  <c r="K11" i="21"/>
  <c r="J11" i="21"/>
  <c r="I11" i="21" s="1"/>
  <c r="O11" i="21" s="1"/>
  <c r="L42" i="22"/>
  <c r="K42" i="22"/>
  <c r="I42" i="22" s="1"/>
  <c r="O42" i="22" s="1"/>
  <c r="J42" i="22"/>
  <c r="M42" i="22"/>
  <c r="N42" i="22"/>
  <c r="H25" i="22"/>
  <c r="M35" i="22"/>
  <c r="L35" i="22"/>
  <c r="K35" i="22"/>
  <c r="N35" i="22"/>
  <c r="J35" i="22"/>
  <c r="I35" i="22" s="1"/>
  <c r="O35" i="22" s="1"/>
  <c r="H44" i="22"/>
  <c r="H40" i="21"/>
  <c r="L28" i="21"/>
  <c r="K28" i="21"/>
  <c r="J28" i="21"/>
  <c r="I28" i="21" s="1"/>
  <c r="O28" i="21" s="1"/>
  <c r="M28" i="21"/>
  <c r="N28" i="21"/>
  <c r="L24" i="22"/>
  <c r="K24" i="22"/>
  <c r="I24" i="22" s="1"/>
  <c r="O24" i="22" s="1"/>
  <c r="M24" i="22"/>
  <c r="N24" i="22"/>
  <c r="J24" i="22"/>
  <c r="K16" i="20"/>
  <c r="J16" i="20"/>
  <c r="I16" i="20" s="1"/>
  <c r="O16" i="20" s="1"/>
  <c r="N16" i="20"/>
  <c r="L16" i="20"/>
  <c r="M16" i="20"/>
  <c r="H11" i="21"/>
  <c r="J43" i="18"/>
  <c r="I43" i="18" s="1"/>
  <c r="O43" i="18" s="1"/>
  <c r="N43" i="18"/>
  <c r="M43" i="18"/>
  <c r="K43" i="18"/>
  <c r="L43" i="18"/>
  <c r="H46" i="21"/>
  <c r="H26" i="21"/>
  <c r="H45" i="19"/>
  <c r="L33" i="19"/>
  <c r="K33" i="19"/>
  <c r="J33" i="19"/>
  <c r="I33" i="19" s="1"/>
  <c r="O33" i="19" s="1"/>
  <c r="M33" i="19"/>
  <c r="N33" i="19"/>
  <c r="H13" i="19"/>
  <c r="M34" i="18"/>
  <c r="K34" i="18"/>
  <c r="L34" i="18"/>
  <c r="I34" i="18" s="1"/>
  <c r="O34" i="18" s="1"/>
  <c r="N34" i="18"/>
  <c r="J34" i="18"/>
  <c r="I60" i="17"/>
  <c r="O60" i="17" s="1"/>
  <c r="I44" i="17"/>
  <c r="O44" i="17" s="1"/>
  <c r="H31" i="19"/>
  <c r="M28" i="18"/>
  <c r="K28" i="18"/>
  <c r="N28" i="18"/>
  <c r="L28" i="18"/>
  <c r="J28" i="18"/>
  <c r="I28" i="18" s="1"/>
  <c r="O28" i="18" s="1"/>
  <c r="L19" i="19"/>
  <c r="K19" i="19"/>
  <c r="J19" i="19"/>
  <c r="I19" i="19" s="1"/>
  <c r="O19" i="19" s="1"/>
  <c r="M19" i="19"/>
  <c r="N19" i="19"/>
  <c r="I10" i="17"/>
  <c r="O10" i="17" s="1"/>
  <c r="I21" i="16"/>
  <c r="O21" i="16" s="1"/>
  <c r="N40" i="25"/>
  <c r="M40" i="25"/>
  <c r="L40" i="25"/>
  <c r="K40" i="25"/>
  <c r="I40" i="25" s="1"/>
  <c r="O40" i="25" s="1"/>
  <c r="J40" i="25"/>
  <c r="K19" i="25"/>
  <c r="J19" i="25"/>
  <c r="M19" i="25"/>
  <c r="L19" i="25"/>
  <c r="I19" i="25"/>
  <c r="O19" i="25" s="1"/>
  <c r="N19" i="25"/>
  <c r="K17" i="25"/>
  <c r="J17" i="25"/>
  <c r="M17" i="25"/>
  <c r="N17" i="25"/>
  <c r="L17" i="25"/>
  <c r="I17" i="25"/>
  <c r="O17" i="25" s="1"/>
  <c r="M54" i="23"/>
  <c r="M21" i="24"/>
  <c r="N21" i="24"/>
  <c r="L21" i="24"/>
  <c r="K21" i="24"/>
  <c r="J21" i="24"/>
  <c r="I21" i="24" s="1"/>
  <c r="O21" i="24" s="1"/>
  <c r="N41" i="21"/>
  <c r="M41" i="21"/>
  <c r="L41" i="21"/>
  <c r="K41" i="21"/>
  <c r="J41" i="21"/>
  <c r="I41" i="21" s="1"/>
  <c r="O41" i="21" s="1"/>
  <c r="N25" i="21"/>
  <c r="M25" i="21"/>
  <c r="L25" i="21"/>
  <c r="K25" i="21"/>
  <c r="I25" i="21"/>
  <c r="O25" i="21" s="1"/>
  <c r="J25" i="21"/>
  <c r="O9" i="21"/>
  <c r="N9" i="21"/>
  <c r="M9" i="21"/>
  <c r="G48" i="21"/>
  <c r="L9" i="21"/>
  <c r="K9" i="21"/>
  <c r="I9" i="21"/>
  <c r="J9" i="21"/>
  <c r="G49" i="22"/>
  <c r="J9" i="22"/>
  <c r="N9" i="22"/>
  <c r="M9" i="22"/>
  <c r="K9" i="22"/>
  <c r="L9" i="22"/>
  <c r="J40" i="20"/>
  <c r="I40" i="20" s="1"/>
  <c r="O40" i="20" s="1"/>
  <c r="N40" i="20"/>
  <c r="M40" i="20"/>
  <c r="K40" i="20"/>
  <c r="L40" i="20"/>
  <c r="L30" i="22"/>
  <c r="K30" i="22"/>
  <c r="I30" i="22" s="1"/>
  <c r="O30" i="22" s="1"/>
  <c r="M30" i="22"/>
  <c r="N30" i="22"/>
  <c r="J30" i="22"/>
  <c r="M29" i="22"/>
  <c r="L29" i="22"/>
  <c r="K29" i="22"/>
  <c r="N29" i="22"/>
  <c r="J29" i="22"/>
  <c r="I29" i="22" s="1"/>
  <c r="O29" i="22" s="1"/>
  <c r="J30" i="20"/>
  <c r="M30" i="20"/>
  <c r="I30" i="20" s="1"/>
  <c r="O30" i="20" s="1"/>
  <c r="K30" i="20"/>
  <c r="N30" i="20"/>
  <c r="L30" i="20"/>
  <c r="L16" i="21"/>
  <c r="K16" i="21"/>
  <c r="J16" i="21"/>
  <c r="I16" i="21" s="1"/>
  <c r="O16" i="21" s="1"/>
  <c r="M16" i="21"/>
  <c r="N16" i="21"/>
  <c r="N41" i="18"/>
  <c r="M41" i="18"/>
  <c r="K41" i="18"/>
  <c r="J41" i="18"/>
  <c r="I41" i="18" s="1"/>
  <c r="O41" i="18" s="1"/>
  <c r="L41" i="18"/>
  <c r="L34" i="21"/>
  <c r="K34" i="21"/>
  <c r="J34" i="21"/>
  <c r="I34" i="21" s="1"/>
  <c r="O34" i="21" s="1"/>
  <c r="M34" i="21"/>
  <c r="N34" i="21"/>
  <c r="I11" i="20"/>
  <c r="O11" i="20" s="1"/>
  <c r="K10" i="20"/>
  <c r="N10" i="20"/>
  <c r="M10" i="20"/>
  <c r="L10" i="20"/>
  <c r="J10" i="20"/>
  <c r="I10" i="20" s="1"/>
  <c r="O10" i="20" s="1"/>
  <c r="H10" i="20"/>
  <c r="N46" i="18"/>
  <c r="M46" i="18"/>
  <c r="L46" i="18"/>
  <c r="K46" i="18"/>
  <c r="J46" i="18"/>
  <c r="I46" i="18" s="1"/>
  <c r="O46" i="18" s="1"/>
  <c r="H46" i="18"/>
  <c r="L21" i="19"/>
  <c r="K21" i="19"/>
  <c r="J21" i="19"/>
  <c r="I21" i="19" s="1"/>
  <c r="O21" i="19" s="1"/>
  <c r="M21" i="19"/>
  <c r="N21" i="19"/>
  <c r="M27" i="18"/>
  <c r="K27" i="18"/>
  <c r="L27" i="18"/>
  <c r="I27" i="18" s="1"/>
  <c r="O27" i="18" s="1"/>
  <c r="J27" i="18"/>
  <c r="N27" i="18"/>
  <c r="I58" i="17"/>
  <c r="O58" i="17" s="1"/>
  <c r="I42" i="17"/>
  <c r="O42" i="17" s="1"/>
  <c r="M29" i="18"/>
  <c r="K29" i="18"/>
  <c r="N29" i="18"/>
  <c r="L29" i="18"/>
  <c r="J29" i="18"/>
  <c r="I29" i="18" s="1"/>
  <c r="O29" i="18" s="1"/>
  <c r="L47" i="19"/>
  <c r="K47" i="19"/>
  <c r="J47" i="19"/>
  <c r="I47" i="19" s="1"/>
  <c r="O47" i="19" s="1"/>
  <c r="M47" i="19"/>
  <c r="N47" i="19"/>
  <c r="H13" i="16"/>
  <c r="H51" i="16" s="1"/>
  <c r="I45" i="16"/>
  <c r="O45" i="16" s="1"/>
  <c r="B6" i="31"/>
  <c r="B5" i="28"/>
  <c r="B48" i="9"/>
  <c r="B32" i="9"/>
  <c r="B41" i="9"/>
  <c r="M35" i="25"/>
  <c r="J35" i="25"/>
  <c r="I35" i="25" s="1"/>
  <c r="O35" i="25" s="1"/>
  <c r="L35" i="25"/>
  <c r="N35" i="25"/>
  <c r="K35" i="25"/>
  <c r="H35" i="25"/>
  <c r="H19" i="25"/>
  <c r="L44" i="25"/>
  <c r="K44" i="25"/>
  <c r="I44" i="25" s="1"/>
  <c r="O44" i="25" s="1"/>
  <c r="J44" i="25"/>
  <c r="N44" i="25"/>
  <c r="M44" i="25"/>
  <c r="H17" i="25"/>
  <c r="M10" i="24"/>
  <c r="N10" i="24"/>
  <c r="L10" i="24"/>
  <c r="I10" i="24" s="1"/>
  <c r="O10" i="24" s="1"/>
  <c r="K10" i="24"/>
  <c r="J10" i="24"/>
  <c r="M29" i="24"/>
  <c r="K29" i="24"/>
  <c r="L29" i="24"/>
  <c r="J29" i="24"/>
  <c r="I29" i="24" s="1"/>
  <c r="O29" i="24" s="1"/>
  <c r="H29" i="24"/>
  <c r="N29" i="24"/>
  <c r="M14" i="24"/>
  <c r="L14" i="24"/>
  <c r="K14" i="24"/>
  <c r="J14" i="24"/>
  <c r="I14" i="24" s="1"/>
  <c r="O14" i="24" s="1"/>
  <c r="N14" i="24"/>
  <c r="M41" i="24"/>
  <c r="I41" i="24" s="1"/>
  <c r="O41" i="24" s="1"/>
  <c r="K41" i="24"/>
  <c r="N41" i="24"/>
  <c r="L41" i="24"/>
  <c r="J41" i="24"/>
  <c r="H41" i="24"/>
  <c r="N47" i="22"/>
  <c r="M47" i="22"/>
  <c r="L47" i="22"/>
  <c r="K47" i="22"/>
  <c r="J47" i="22"/>
  <c r="I47" i="22" s="1"/>
  <c r="O47" i="22" s="1"/>
  <c r="H21" i="24"/>
  <c r="N39" i="21"/>
  <c r="M39" i="21"/>
  <c r="L39" i="21"/>
  <c r="K39" i="21"/>
  <c r="J39" i="21"/>
  <c r="I39" i="21" s="1"/>
  <c r="O39" i="21" s="1"/>
  <c r="N23" i="21"/>
  <c r="M23" i="21"/>
  <c r="L23" i="21"/>
  <c r="I23" i="21" s="1"/>
  <c r="O23" i="21" s="1"/>
  <c r="K23" i="21"/>
  <c r="J23" i="21"/>
  <c r="L28" i="22"/>
  <c r="K28" i="22"/>
  <c r="M28" i="22"/>
  <c r="N28" i="22"/>
  <c r="J28" i="22"/>
  <c r="I28" i="22" s="1"/>
  <c r="O28" i="22" s="1"/>
  <c r="M17" i="22"/>
  <c r="L17" i="22"/>
  <c r="K17" i="22"/>
  <c r="N17" i="22"/>
  <c r="J17" i="22"/>
  <c r="I17" i="22" s="1"/>
  <c r="O17" i="22" s="1"/>
  <c r="H30" i="22"/>
  <c r="F8" i="26"/>
  <c r="P47" i="22"/>
  <c r="P45" i="22"/>
  <c r="P43" i="22"/>
  <c r="P41" i="22"/>
  <c r="P39" i="22"/>
  <c r="P37" i="22"/>
  <c r="P35" i="22"/>
  <c r="P33" i="22"/>
  <c r="P31" i="22"/>
  <c r="P29" i="22"/>
  <c r="P27" i="22"/>
  <c r="P25" i="22"/>
  <c r="P23" i="22"/>
  <c r="P21" i="22"/>
  <c r="P19" i="22"/>
  <c r="P17" i="22"/>
  <c r="P15" i="22"/>
  <c r="P48" i="22"/>
  <c r="P46" i="22"/>
  <c r="P44" i="22"/>
  <c r="P42" i="22"/>
  <c r="P40" i="22"/>
  <c r="P38" i="22"/>
  <c r="P36" i="22"/>
  <c r="P34" i="22"/>
  <c r="P32" i="22"/>
  <c r="P30" i="22"/>
  <c r="P28" i="22"/>
  <c r="P26" i="22"/>
  <c r="P24" i="22"/>
  <c r="P22" i="22"/>
  <c r="P20" i="22"/>
  <c r="P18" i="22"/>
  <c r="P14" i="22"/>
  <c r="P9" i="22"/>
  <c r="P13" i="22"/>
  <c r="P16" i="22"/>
  <c r="P12" i="22"/>
  <c r="P11" i="22"/>
  <c r="P10" i="22"/>
  <c r="F7" i="26"/>
  <c r="P47" i="21"/>
  <c r="P45" i="21"/>
  <c r="P43" i="21"/>
  <c r="P41" i="21"/>
  <c r="P39" i="21"/>
  <c r="P37" i="21"/>
  <c r="P35" i="21"/>
  <c r="P33" i="21"/>
  <c r="P31" i="21"/>
  <c r="P29" i="21"/>
  <c r="P27" i="21"/>
  <c r="P25" i="21"/>
  <c r="P23" i="21"/>
  <c r="P21" i="21"/>
  <c r="P19" i="21"/>
  <c r="P17" i="21"/>
  <c r="P15" i="21"/>
  <c r="P13" i="21"/>
  <c r="P11" i="21"/>
  <c r="P9" i="21"/>
  <c r="P46" i="21"/>
  <c r="P44" i="21"/>
  <c r="P42" i="21"/>
  <c r="P40" i="21"/>
  <c r="P38" i="21"/>
  <c r="P36" i="21"/>
  <c r="P34" i="21"/>
  <c r="P32" i="21"/>
  <c r="P30" i="21"/>
  <c r="P28" i="21"/>
  <c r="P26" i="21"/>
  <c r="P24" i="21"/>
  <c r="P22" i="21"/>
  <c r="P20" i="21"/>
  <c r="P18" i="21"/>
  <c r="P16" i="21"/>
  <c r="P14" i="21"/>
  <c r="P12" i="21"/>
  <c r="P10" i="21"/>
  <c r="L40" i="22"/>
  <c r="K40" i="22"/>
  <c r="J40" i="22"/>
  <c r="I40" i="22" s="1"/>
  <c r="O40" i="22" s="1"/>
  <c r="M40" i="22"/>
  <c r="N40" i="22"/>
  <c r="H29" i="22"/>
  <c r="N19" i="20"/>
  <c r="M19" i="20"/>
  <c r="K19" i="20"/>
  <c r="L19" i="20"/>
  <c r="I19" i="20" s="1"/>
  <c r="O19" i="20" s="1"/>
  <c r="J19" i="20"/>
  <c r="H19" i="20"/>
  <c r="L36" i="21"/>
  <c r="K36" i="21"/>
  <c r="J36" i="21"/>
  <c r="I36" i="21" s="1"/>
  <c r="O36" i="21" s="1"/>
  <c r="M36" i="21"/>
  <c r="N36" i="21"/>
  <c r="H16" i="21"/>
  <c r="H43" i="21"/>
  <c r="H28" i="20"/>
  <c r="J24" i="20"/>
  <c r="I24" i="20" s="1"/>
  <c r="O24" i="20" s="1"/>
  <c r="M24" i="20"/>
  <c r="K24" i="20"/>
  <c r="N24" i="20"/>
  <c r="L24" i="20"/>
  <c r="L42" i="21"/>
  <c r="K42" i="21"/>
  <c r="J42" i="21"/>
  <c r="I42" i="21"/>
  <c r="O42" i="21" s="1"/>
  <c r="M42" i="21"/>
  <c r="N42" i="21"/>
  <c r="H34" i="21"/>
  <c r="L22" i="21"/>
  <c r="K22" i="21"/>
  <c r="J22" i="21"/>
  <c r="I22" i="21"/>
  <c r="O22" i="21" s="1"/>
  <c r="M22" i="21"/>
  <c r="N22" i="21"/>
  <c r="L14" i="21"/>
  <c r="K14" i="21"/>
  <c r="J14" i="21"/>
  <c r="I14" i="21" s="1"/>
  <c r="O14" i="21" s="1"/>
  <c r="M14" i="21"/>
  <c r="N14" i="21"/>
  <c r="H13" i="21"/>
  <c r="N44" i="18"/>
  <c r="M44" i="18"/>
  <c r="L44" i="18"/>
  <c r="K44" i="18"/>
  <c r="J44" i="18"/>
  <c r="I44" i="18" s="1"/>
  <c r="O44" i="18" s="1"/>
  <c r="H44" i="18"/>
  <c r="L41" i="19"/>
  <c r="K41" i="19"/>
  <c r="J41" i="19"/>
  <c r="I41" i="19" s="1"/>
  <c r="O41" i="19" s="1"/>
  <c r="M41" i="19"/>
  <c r="N41" i="19"/>
  <c r="H21" i="19"/>
  <c r="L9" i="19"/>
  <c r="K9" i="19"/>
  <c r="J9" i="19"/>
  <c r="I9" i="19" s="1"/>
  <c r="G49" i="19"/>
  <c r="M9" i="19"/>
  <c r="N9" i="19"/>
  <c r="M30" i="18"/>
  <c r="K30" i="18"/>
  <c r="L30" i="18"/>
  <c r="N30" i="18"/>
  <c r="J30" i="18"/>
  <c r="I30" i="18" s="1"/>
  <c r="O30" i="18" s="1"/>
  <c r="H31" i="18"/>
  <c r="I56" i="17"/>
  <c r="O56" i="17" s="1"/>
  <c r="I40" i="17"/>
  <c r="O40" i="17" s="1"/>
  <c r="I39" i="16"/>
  <c r="O39" i="16" s="1"/>
  <c r="H47" i="19"/>
  <c r="L23" i="19"/>
  <c r="K23" i="19"/>
  <c r="J23" i="19"/>
  <c r="I23" i="19" s="1"/>
  <c r="O23" i="19" s="1"/>
  <c r="M23" i="19"/>
  <c r="N23" i="19"/>
  <c r="M36" i="18"/>
  <c r="K36" i="18"/>
  <c r="I36" i="18" s="1"/>
  <c r="O36" i="18" s="1"/>
  <c r="N36" i="18"/>
  <c r="L36" i="18"/>
  <c r="J36" i="18"/>
  <c r="H7" i="14"/>
  <c r="I7" i="14" s="1"/>
  <c r="K7" i="14" s="1"/>
  <c r="K26" i="1" s="1"/>
  <c r="I29" i="16"/>
  <c r="O29" i="16" s="1"/>
  <c r="L35" i="19"/>
  <c r="K35" i="19"/>
  <c r="J35" i="19"/>
  <c r="I35" i="19" s="1"/>
  <c r="O35" i="19" s="1"/>
  <c r="M35" i="19"/>
  <c r="N35" i="19"/>
  <c r="I22" i="17"/>
  <c r="O22" i="17" s="1"/>
  <c r="F6" i="32"/>
  <c r="H23" i="1"/>
  <c r="N42" i="25"/>
  <c r="M42" i="25"/>
  <c r="K42" i="25"/>
  <c r="L42" i="25"/>
  <c r="J42" i="25"/>
  <c r="I42" i="25" s="1"/>
  <c r="O42" i="25" s="1"/>
  <c r="K22" i="25"/>
  <c r="J22" i="25"/>
  <c r="M22" i="25"/>
  <c r="M54" i="25" s="1"/>
  <c r="N22" i="25"/>
  <c r="L22" i="25"/>
  <c r="I22" i="25" s="1"/>
  <c r="O22" i="25" s="1"/>
  <c r="H22" i="25"/>
  <c r="H54" i="25" s="1"/>
  <c r="H40" i="25"/>
  <c r="M25" i="25"/>
  <c r="K25" i="25"/>
  <c r="J25" i="25"/>
  <c r="N25" i="25"/>
  <c r="I25" i="25" s="1"/>
  <c r="O25" i="25" s="1"/>
  <c r="L25" i="25"/>
  <c r="I50" i="24"/>
  <c r="O50" i="24" s="1"/>
  <c r="M39" i="25"/>
  <c r="N39" i="25"/>
  <c r="L39" i="25"/>
  <c r="J39" i="25"/>
  <c r="K39" i="25"/>
  <c r="I39" i="25" s="1"/>
  <c r="O39" i="25" s="1"/>
  <c r="P52" i="25"/>
  <c r="P49" i="25"/>
  <c r="P36" i="25"/>
  <c r="P33" i="25"/>
  <c r="P20" i="25"/>
  <c r="P42" i="25"/>
  <c r="P39" i="25"/>
  <c r="P26" i="25"/>
  <c r="P23" i="25"/>
  <c r="P48" i="25"/>
  <c r="P45" i="25"/>
  <c r="P51" i="25"/>
  <c r="P38" i="25"/>
  <c r="P35" i="25"/>
  <c r="P22" i="25"/>
  <c r="P19" i="25"/>
  <c r="P17" i="25"/>
  <c r="P15" i="25"/>
  <c r="P13" i="25"/>
  <c r="P11" i="25"/>
  <c r="P9" i="25"/>
  <c r="P44" i="25"/>
  <c r="P41" i="25"/>
  <c r="P28" i="25"/>
  <c r="P25" i="25"/>
  <c r="F11" i="26"/>
  <c r="P53" i="25"/>
  <c r="P40" i="25"/>
  <c r="P37" i="25"/>
  <c r="P24" i="25"/>
  <c r="P21" i="25"/>
  <c r="P46" i="25"/>
  <c r="P14" i="25"/>
  <c r="P32" i="25"/>
  <c r="P29" i="25"/>
  <c r="P10" i="25"/>
  <c r="P18" i="25"/>
  <c r="P47" i="25"/>
  <c r="P30" i="25"/>
  <c r="P27" i="25"/>
  <c r="P43" i="25"/>
  <c r="P31" i="25"/>
  <c r="P50" i="25"/>
  <c r="P34" i="25"/>
  <c r="P16" i="25"/>
  <c r="P12" i="25"/>
  <c r="M42" i="24"/>
  <c r="I42" i="24" s="1"/>
  <c r="O42" i="24" s="1"/>
  <c r="K42" i="24"/>
  <c r="N42" i="24"/>
  <c r="J42" i="24"/>
  <c r="L42" i="24"/>
  <c r="M39" i="24"/>
  <c r="K39" i="24"/>
  <c r="L39" i="24"/>
  <c r="J39" i="24"/>
  <c r="I39" i="24" s="1"/>
  <c r="O39" i="24" s="1"/>
  <c r="H39" i="24"/>
  <c r="N39" i="24"/>
  <c r="M28" i="24"/>
  <c r="I28" i="24"/>
  <c r="O28" i="24" s="1"/>
  <c r="K28" i="24"/>
  <c r="J28" i="24"/>
  <c r="H28" i="24"/>
  <c r="L28" i="24"/>
  <c r="N28" i="24"/>
  <c r="N45" i="22"/>
  <c r="M45" i="22"/>
  <c r="L45" i="22"/>
  <c r="K45" i="22"/>
  <c r="J45" i="22"/>
  <c r="I45" i="22" s="1"/>
  <c r="O45" i="22" s="1"/>
  <c r="L18" i="22"/>
  <c r="K18" i="22"/>
  <c r="I18" i="22" s="1"/>
  <c r="O18" i="22" s="1"/>
  <c r="M18" i="22"/>
  <c r="J18" i="22"/>
  <c r="N18" i="22"/>
  <c r="M23" i="22"/>
  <c r="L23" i="22"/>
  <c r="I23" i="22" s="1"/>
  <c r="O23" i="22" s="1"/>
  <c r="K23" i="22"/>
  <c r="J23" i="22"/>
  <c r="N23" i="22"/>
  <c r="N37" i="21"/>
  <c r="M37" i="21"/>
  <c r="L37" i="21"/>
  <c r="I37" i="21" s="1"/>
  <c r="O37" i="21" s="1"/>
  <c r="K37" i="21"/>
  <c r="J37" i="21"/>
  <c r="N21" i="21"/>
  <c r="M21" i="21"/>
  <c r="L21" i="21"/>
  <c r="K21" i="21"/>
  <c r="J21" i="21"/>
  <c r="I21" i="21" s="1"/>
  <c r="O21" i="21" s="1"/>
  <c r="J46" i="20"/>
  <c r="H46" i="20"/>
  <c r="N46" i="20"/>
  <c r="M46" i="20"/>
  <c r="K46" i="20"/>
  <c r="I46" i="20" s="1"/>
  <c r="O46" i="20" s="1"/>
  <c r="L46" i="20"/>
  <c r="J38" i="20"/>
  <c r="N38" i="20"/>
  <c r="M38" i="20"/>
  <c r="K38" i="20"/>
  <c r="I38" i="20" s="1"/>
  <c r="O38" i="20" s="1"/>
  <c r="L38" i="20"/>
  <c r="M27" i="22"/>
  <c r="L27" i="22"/>
  <c r="K27" i="22"/>
  <c r="N27" i="22"/>
  <c r="J27" i="22"/>
  <c r="I27" i="22" s="1"/>
  <c r="O27" i="22" s="1"/>
  <c r="H9" i="26"/>
  <c r="N17" i="20"/>
  <c r="M17" i="20"/>
  <c r="K17" i="20"/>
  <c r="J17" i="20"/>
  <c r="I17" i="20" s="1"/>
  <c r="O17" i="20" s="1"/>
  <c r="H17" i="20"/>
  <c r="L17" i="20"/>
  <c r="L24" i="21"/>
  <c r="K24" i="21"/>
  <c r="J24" i="21"/>
  <c r="I24" i="21" s="1"/>
  <c r="O24" i="21" s="1"/>
  <c r="M24" i="21"/>
  <c r="N24" i="21"/>
  <c r="J32" i="20"/>
  <c r="I32" i="20"/>
  <c r="O32" i="20" s="1"/>
  <c r="N32" i="20"/>
  <c r="M32" i="20"/>
  <c r="K32" i="20"/>
  <c r="L32" i="20"/>
  <c r="H9" i="21"/>
  <c r="M9" i="20"/>
  <c r="G48" i="20"/>
  <c r="K9" i="20"/>
  <c r="N9" i="20"/>
  <c r="L9" i="20"/>
  <c r="J9" i="20"/>
  <c r="I9" i="20"/>
  <c r="H9" i="20"/>
  <c r="N42" i="18"/>
  <c r="M42" i="18"/>
  <c r="L42" i="18"/>
  <c r="K42" i="18"/>
  <c r="J42" i="18"/>
  <c r="I42" i="18" s="1"/>
  <c r="O42" i="18" s="1"/>
  <c r="H42" i="18"/>
  <c r="L29" i="19"/>
  <c r="K29" i="19"/>
  <c r="J29" i="19"/>
  <c r="I29" i="19" s="1"/>
  <c r="O29" i="19" s="1"/>
  <c r="M29" i="19"/>
  <c r="N29" i="19"/>
  <c r="F5" i="26"/>
  <c r="P48" i="19"/>
  <c r="P46" i="19"/>
  <c r="P44" i="19"/>
  <c r="P42" i="19"/>
  <c r="P40" i="19"/>
  <c r="P38" i="19"/>
  <c r="P36" i="19"/>
  <c r="P34" i="19"/>
  <c r="P32" i="19"/>
  <c r="P30" i="19"/>
  <c r="P28" i="19"/>
  <c r="P26" i="19"/>
  <c r="P24" i="19"/>
  <c r="P22" i="19"/>
  <c r="P20" i="19"/>
  <c r="P18" i="19"/>
  <c r="P16" i="19"/>
  <c r="P14" i="19"/>
  <c r="P12" i="19"/>
  <c r="P10" i="19"/>
  <c r="P47" i="19"/>
  <c r="P45" i="19"/>
  <c r="P43" i="19"/>
  <c r="P41" i="19"/>
  <c r="P39" i="19"/>
  <c r="P37" i="19"/>
  <c r="P35" i="19"/>
  <c r="P33" i="19"/>
  <c r="P31" i="19"/>
  <c r="P29" i="19"/>
  <c r="P27" i="19"/>
  <c r="P25" i="19"/>
  <c r="P23" i="19"/>
  <c r="P21" i="19"/>
  <c r="P19" i="19"/>
  <c r="P17" i="19"/>
  <c r="P15" i="19"/>
  <c r="P13" i="19"/>
  <c r="P11" i="19"/>
  <c r="P9" i="19"/>
  <c r="M39" i="18"/>
  <c r="K39" i="18"/>
  <c r="L39" i="18"/>
  <c r="J39" i="18"/>
  <c r="N39" i="18"/>
  <c r="I39" i="18" s="1"/>
  <c r="O39" i="18" s="1"/>
  <c r="M23" i="18"/>
  <c r="K23" i="18"/>
  <c r="L23" i="18"/>
  <c r="J23" i="18"/>
  <c r="I23" i="18" s="1"/>
  <c r="O23" i="18" s="1"/>
  <c r="N23" i="18"/>
  <c r="M37" i="18"/>
  <c r="K37" i="18"/>
  <c r="N37" i="18"/>
  <c r="L37" i="18"/>
  <c r="I37" i="18" s="1"/>
  <c r="O37" i="18" s="1"/>
  <c r="J37" i="18"/>
  <c r="M24" i="18"/>
  <c r="I24" i="18" s="1"/>
  <c r="O24" i="18" s="1"/>
  <c r="K24" i="18"/>
  <c r="N24" i="18"/>
  <c r="L24" i="18"/>
  <c r="J24" i="18"/>
  <c r="I34" i="17"/>
  <c r="O34" i="17" s="1"/>
  <c r="I18" i="17"/>
  <c r="O18" i="17" s="1"/>
  <c r="N65" i="17"/>
  <c r="B9" i="37"/>
  <c r="H5" i="37"/>
  <c r="D9" i="35"/>
  <c r="B88" i="9" s="1"/>
  <c r="G4" i="35"/>
  <c r="F4" i="35"/>
  <c r="E6" i="35"/>
  <c r="E9" i="35" s="1"/>
  <c r="C9" i="35"/>
  <c r="M36" i="25"/>
  <c r="L36" i="25"/>
  <c r="J36" i="25"/>
  <c r="I36" i="25" s="1"/>
  <c r="O36" i="25" s="1"/>
  <c r="H36" i="25"/>
  <c r="N36" i="25"/>
  <c r="K36" i="25"/>
  <c r="H25" i="25"/>
  <c r="H39" i="25"/>
  <c r="N26" i="25"/>
  <c r="M26" i="25"/>
  <c r="K26" i="25"/>
  <c r="I26" i="25" s="1"/>
  <c r="O26" i="25" s="1"/>
  <c r="L26" i="25"/>
  <c r="J26" i="25"/>
  <c r="M25" i="24"/>
  <c r="K25" i="24"/>
  <c r="N25" i="24"/>
  <c r="J25" i="24"/>
  <c r="I25" i="24" s="1"/>
  <c r="O25" i="24" s="1"/>
  <c r="L25" i="24"/>
  <c r="H32" i="24"/>
  <c r="G54" i="24"/>
  <c r="K9" i="24"/>
  <c r="J9" i="24"/>
  <c r="I9" i="24" s="1"/>
  <c r="N9" i="24"/>
  <c r="L9" i="24"/>
  <c r="M9" i="24"/>
  <c r="M40" i="24"/>
  <c r="K40" i="24"/>
  <c r="N40" i="24"/>
  <c r="L40" i="24"/>
  <c r="J40" i="24"/>
  <c r="I40" i="24" s="1"/>
  <c r="O40" i="24" s="1"/>
  <c r="R54" i="24"/>
  <c r="M37" i="24"/>
  <c r="K37" i="24"/>
  <c r="I37" i="24" s="1"/>
  <c r="O37" i="24" s="1"/>
  <c r="N37" i="24"/>
  <c r="L37" i="24"/>
  <c r="J37" i="24"/>
  <c r="H37" i="24"/>
  <c r="N43" i="22"/>
  <c r="M43" i="22"/>
  <c r="L43" i="22"/>
  <c r="I43" i="22" s="1"/>
  <c r="O43" i="22" s="1"/>
  <c r="K43" i="22"/>
  <c r="J43" i="22"/>
  <c r="J54" i="23"/>
  <c r="H18" i="22"/>
  <c r="H23" i="22"/>
  <c r="N35" i="21"/>
  <c r="M35" i="21"/>
  <c r="L35" i="21"/>
  <c r="I35" i="21" s="1"/>
  <c r="O35" i="21" s="1"/>
  <c r="K35" i="21"/>
  <c r="J35" i="21"/>
  <c r="N19" i="21"/>
  <c r="M19" i="21"/>
  <c r="L19" i="21"/>
  <c r="K19" i="21"/>
  <c r="J19" i="21"/>
  <c r="I19" i="21" s="1"/>
  <c r="O19" i="21" s="1"/>
  <c r="M33" i="22"/>
  <c r="L33" i="22"/>
  <c r="K33" i="22"/>
  <c r="I33" i="22" s="1"/>
  <c r="O33" i="22" s="1"/>
  <c r="N33" i="22"/>
  <c r="J33" i="22"/>
  <c r="L22" i="22"/>
  <c r="K22" i="22"/>
  <c r="M22" i="22"/>
  <c r="N22" i="22"/>
  <c r="J22" i="22"/>
  <c r="I22" i="22" s="1"/>
  <c r="O22" i="22" s="1"/>
  <c r="H27" i="22"/>
  <c r="L48" i="22"/>
  <c r="K48" i="22"/>
  <c r="J48" i="22"/>
  <c r="I48" i="22" s="1"/>
  <c r="O48" i="22" s="1"/>
  <c r="M48" i="22"/>
  <c r="N48" i="22"/>
  <c r="M21" i="22"/>
  <c r="L21" i="22"/>
  <c r="K21" i="22"/>
  <c r="N21" i="22"/>
  <c r="J21" i="22"/>
  <c r="I21" i="22" s="1"/>
  <c r="O21" i="22" s="1"/>
  <c r="R48" i="21"/>
  <c r="L32" i="22"/>
  <c r="K32" i="22"/>
  <c r="M32" i="22"/>
  <c r="N32" i="22"/>
  <c r="J32" i="22"/>
  <c r="I32" i="22" s="1"/>
  <c r="O32" i="22" s="1"/>
  <c r="J26" i="20"/>
  <c r="I26" i="20" s="1"/>
  <c r="O26" i="20" s="1"/>
  <c r="M26" i="20"/>
  <c r="K26" i="20"/>
  <c r="N26" i="20"/>
  <c r="L26" i="20"/>
  <c r="L44" i="21"/>
  <c r="K44" i="21"/>
  <c r="I44" i="21" s="1"/>
  <c r="O44" i="21" s="1"/>
  <c r="J44" i="21"/>
  <c r="M44" i="21"/>
  <c r="N44" i="21"/>
  <c r="H24" i="21"/>
  <c r="L12" i="21"/>
  <c r="K12" i="21"/>
  <c r="I12" i="21" s="1"/>
  <c r="O12" i="21" s="1"/>
  <c r="J12" i="21"/>
  <c r="M12" i="21"/>
  <c r="N12" i="21"/>
  <c r="H35" i="21"/>
  <c r="H32" i="20"/>
  <c r="J18" i="20"/>
  <c r="I18" i="20" s="1"/>
  <c r="O18" i="20" s="1"/>
  <c r="K18" i="20"/>
  <c r="N18" i="20"/>
  <c r="M18" i="20"/>
  <c r="L18" i="20"/>
  <c r="L30" i="21"/>
  <c r="K30" i="21"/>
  <c r="I30" i="21" s="1"/>
  <c r="O30" i="21" s="1"/>
  <c r="J30" i="21"/>
  <c r="M30" i="21"/>
  <c r="N30" i="21"/>
  <c r="H41" i="21"/>
  <c r="F6" i="26"/>
  <c r="H6" i="26" s="1"/>
  <c r="P46" i="20"/>
  <c r="P44" i="20"/>
  <c r="P42" i="20"/>
  <c r="P40" i="20"/>
  <c r="P38" i="20"/>
  <c r="P36" i="20"/>
  <c r="P34" i="20"/>
  <c r="P32" i="20"/>
  <c r="P43" i="20"/>
  <c r="P28" i="20"/>
  <c r="P24" i="20"/>
  <c r="P41" i="20"/>
  <c r="P19" i="20"/>
  <c r="P10" i="20"/>
  <c r="P9" i="20"/>
  <c r="P39" i="20"/>
  <c r="P29" i="20"/>
  <c r="P25" i="20"/>
  <c r="P20" i="20"/>
  <c r="P12" i="20"/>
  <c r="P11" i="20"/>
  <c r="P37" i="20"/>
  <c r="P14" i="20"/>
  <c r="P13" i="20"/>
  <c r="P35" i="20"/>
  <c r="P30" i="20"/>
  <c r="P26" i="20"/>
  <c r="P21" i="20"/>
  <c r="P16" i="20"/>
  <c r="P15" i="20"/>
  <c r="P33" i="20"/>
  <c r="P22" i="20"/>
  <c r="P45" i="20"/>
  <c r="P18" i="20"/>
  <c r="P31" i="20"/>
  <c r="P27" i="20"/>
  <c r="P23" i="20"/>
  <c r="P17" i="20"/>
  <c r="P47" i="20"/>
  <c r="H30" i="20"/>
  <c r="H29" i="19"/>
  <c r="L17" i="19"/>
  <c r="K17" i="19"/>
  <c r="J17" i="19"/>
  <c r="M17" i="19"/>
  <c r="I17" i="19" s="1"/>
  <c r="O17" i="19" s="1"/>
  <c r="N17" i="19"/>
  <c r="M26" i="18"/>
  <c r="K26" i="18"/>
  <c r="L26" i="18"/>
  <c r="N26" i="18"/>
  <c r="N48" i="18" s="1"/>
  <c r="J26" i="18"/>
  <c r="I26" i="18" s="1"/>
  <c r="O26" i="18" s="1"/>
  <c r="H23" i="18"/>
  <c r="H48" i="18" s="1"/>
  <c r="J22" i="16"/>
  <c r="H22" i="16"/>
  <c r="N22" i="16"/>
  <c r="L22" i="16"/>
  <c r="K22" i="16"/>
  <c r="I22" i="16" s="1"/>
  <c r="O22" i="16" s="1"/>
  <c r="M22" i="16"/>
  <c r="F4" i="26"/>
  <c r="H4" i="26" s="1"/>
  <c r="P47" i="18"/>
  <c r="P45" i="18"/>
  <c r="P43" i="18"/>
  <c r="P41" i="18"/>
  <c r="P39" i="18"/>
  <c r="P36" i="18"/>
  <c r="P32" i="18"/>
  <c r="P28" i="18"/>
  <c r="P24" i="18"/>
  <c r="P20" i="18"/>
  <c r="P46" i="18"/>
  <c r="P40" i="18"/>
  <c r="P37" i="18"/>
  <c r="P33" i="18"/>
  <c r="P29" i="18"/>
  <c r="P25" i="18"/>
  <c r="P21" i="18"/>
  <c r="P17" i="18"/>
  <c r="P15" i="18"/>
  <c r="P13" i="18"/>
  <c r="P11" i="18"/>
  <c r="P9" i="18"/>
  <c r="P42" i="18"/>
  <c r="P38" i="18"/>
  <c r="P34" i="18"/>
  <c r="P30" i="18"/>
  <c r="P26" i="18"/>
  <c r="P22" i="18"/>
  <c r="P35" i="18"/>
  <c r="P31" i="18"/>
  <c r="P27" i="18"/>
  <c r="P23" i="18"/>
  <c r="P19" i="18"/>
  <c r="P16" i="18"/>
  <c r="P14" i="18"/>
  <c r="P12" i="18"/>
  <c r="P10" i="18"/>
  <c r="P44" i="18"/>
  <c r="P18" i="18"/>
  <c r="G48" i="18"/>
  <c r="I52" i="17"/>
  <c r="O52" i="17" s="1"/>
  <c r="I36" i="17"/>
  <c r="O36" i="17" s="1"/>
  <c r="M25" i="18"/>
  <c r="K25" i="18"/>
  <c r="N25" i="18"/>
  <c r="L25" i="18"/>
  <c r="J25" i="18"/>
  <c r="I25" i="18" s="1"/>
  <c r="O25" i="18" s="1"/>
  <c r="L39" i="19"/>
  <c r="K39" i="19"/>
  <c r="J39" i="19"/>
  <c r="I39" i="19"/>
  <c r="O39" i="19" s="1"/>
  <c r="M39" i="19"/>
  <c r="N39" i="19"/>
  <c r="M65" i="17"/>
  <c r="K19" i="18"/>
  <c r="K48" i="18" s="1"/>
  <c r="M19" i="18"/>
  <c r="M48" i="18" s="1"/>
  <c r="L19" i="18"/>
  <c r="J19" i="18"/>
  <c r="I19" i="18" s="1"/>
  <c r="N19" i="18"/>
  <c r="L11" i="19"/>
  <c r="K11" i="19"/>
  <c r="J11" i="19"/>
  <c r="I11" i="19" s="1"/>
  <c r="O11" i="19" s="1"/>
  <c r="M11" i="19"/>
  <c r="N11" i="19"/>
  <c r="I17" i="16"/>
  <c r="O17" i="16" s="1"/>
  <c r="I13" i="2"/>
  <c r="J2" i="2"/>
  <c r="M35" i="24"/>
  <c r="K35" i="24"/>
  <c r="L35" i="24"/>
  <c r="I35" i="24" s="1"/>
  <c r="O35" i="24" s="1"/>
  <c r="J35" i="24"/>
  <c r="H35" i="24"/>
  <c r="N35" i="24"/>
  <c r="M23" i="24"/>
  <c r="K23" i="24"/>
  <c r="I23" i="24" s="1"/>
  <c r="O23" i="24" s="1"/>
  <c r="J23" i="24"/>
  <c r="H23" i="24"/>
  <c r="H54" i="24" s="1"/>
  <c r="L23" i="24"/>
  <c r="N23" i="24"/>
  <c r="M53" i="25"/>
  <c r="N53" i="25"/>
  <c r="L53" i="25"/>
  <c r="K53" i="25"/>
  <c r="J53" i="25"/>
  <c r="I53" i="25" s="1"/>
  <c r="O53" i="25" s="1"/>
  <c r="M31" i="24"/>
  <c r="K31" i="24"/>
  <c r="N31" i="24"/>
  <c r="L31" i="24"/>
  <c r="J31" i="24"/>
  <c r="I31" i="24" s="1"/>
  <c r="O31" i="24" s="1"/>
  <c r="F10" i="26"/>
  <c r="P43" i="24"/>
  <c r="P53" i="24"/>
  <c r="P51" i="24"/>
  <c r="P49" i="24"/>
  <c r="P47" i="24"/>
  <c r="P52" i="24"/>
  <c r="P50" i="24"/>
  <c r="P48" i="24"/>
  <c r="P46" i="24"/>
  <c r="P45" i="24"/>
  <c r="P40" i="24"/>
  <c r="P36" i="24"/>
  <c r="P32" i="24"/>
  <c r="P19" i="24"/>
  <c r="P11" i="24"/>
  <c r="P18" i="24"/>
  <c r="P10" i="24"/>
  <c r="P41" i="24"/>
  <c r="P37" i="24"/>
  <c r="P33" i="24"/>
  <c r="P17" i="24"/>
  <c r="P25" i="24"/>
  <c r="P24" i="24"/>
  <c r="P16" i="24"/>
  <c r="P9" i="24"/>
  <c r="P44" i="24"/>
  <c r="P42" i="24"/>
  <c r="P38" i="24"/>
  <c r="P34" i="24"/>
  <c r="P27" i="24"/>
  <c r="P26" i="24"/>
  <c r="P23" i="24"/>
  <c r="P15" i="24"/>
  <c r="P29" i="24"/>
  <c r="P28" i="24"/>
  <c r="P22" i="24"/>
  <c r="P14" i="24"/>
  <c r="P20" i="24"/>
  <c r="P12" i="24"/>
  <c r="P21" i="24"/>
  <c r="P31" i="24"/>
  <c r="P39" i="24"/>
  <c r="P30" i="24"/>
  <c r="P13" i="24"/>
  <c r="P35" i="24"/>
  <c r="K15" i="25"/>
  <c r="K54" i="25" s="1"/>
  <c r="J15" i="25"/>
  <c r="M15" i="25"/>
  <c r="N15" i="25"/>
  <c r="N54" i="25" s="1"/>
  <c r="L15" i="25"/>
  <c r="L54" i="25" s="1"/>
  <c r="I15" i="25"/>
  <c r="O15" i="25" s="1"/>
  <c r="N41" i="22"/>
  <c r="M41" i="22"/>
  <c r="L41" i="22"/>
  <c r="I41" i="22" s="1"/>
  <c r="O41" i="22" s="1"/>
  <c r="K41" i="22"/>
  <c r="J41" i="22"/>
  <c r="L34" i="22"/>
  <c r="I34" i="22" s="1"/>
  <c r="O34" i="22" s="1"/>
  <c r="K34" i="22"/>
  <c r="M34" i="22"/>
  <c r="J34" i="22"/>
  <c r="N34" i="22"/>
  <c r="I12" i="22"/>
  <c r="O12" i="22" s="1"/>
  <c r="R49" i="22"/>
  <c r="N33" i="21"/>
  <c r="M33" i="21"/>
  <c r="L33" i="21"/>
  <c r="I33" i="21" s="1"/>
  <c r="O33" i="21" s="1"/>
  <c r="K33" i="21"/>
  <c r="J33" i="21"/>
  <c r="N17" i="21"/>
  <c r="M17" i="21"/>
  <c r="L17" i="21"/>
  <c r="K17" i="21"/>
  <c r="J17" i="21"/>
  <c r="I17" i="21" s="1"/>
  <c r="O17" i="21" s="1"/>
  <c r="L20" i="22"/>
  <c r="K20" i="22"/>
  <c r="I20" i="22" s="1"/>
  <c r="O20" i="22" s="1"/>
  <c r="M20" i="22"/>
  <c r="N20" i="22"/>
  <c r="J20" i="22"/>
  <c r="H9" i="22"/>
  <c r="H49" i="22" s="1"/>
  <c r="L46" i="22"/>
  <c r="K46" i="22"/>
  <c r="I46" i="22" s="1"/>
  <c r="O46" i="22" s="1"/>
  <c r="J46" i="22"/>
  <c r="M46" i="22"/>
  <c r="N46" i="22"/>
  <c r="J44" i="20"/>
  <c r="I44" i="20" s="1"/>
  <c r="O44" i="20" s="1"/>
  <c r="H44" i="20"/>
  <c r="N44" i="20"/>
  <c r="M44" i="20"/>
  <c r="K44" i="20"/>
  <c r="L44" i="20"/>
  <c r="J36" i="20"/>
  <c r="I36" i="20" s="1"/>
  <c r="O36" i="20" s="1"/>
  <c r="N36" i="20"/>
  <c r="M36" i="20"/>
  <c r="K36" i="20"/>
  <c r="L36" i="20"/>
  <c r="H45" i="22"/>
  <c r="L32" i="21"/>
  <c r="K32" i="21"/>
  <c r="J32" i="21"/>
  <c r="I32" i="21" s="1"/>
  <c r="O32" i="21" s="1"/>
  <c r="M32" i="21"/>
  <c r="N32" i="21"/>
  <c r="H24" i="19"/>
  <c r="N24" i="19"/>
  <c r="M24" i="19"/>
  <c r="L24" i="19"/>
  <c r="K24" i="19"/>
  <c r="J24" i="19"/>
  <c r="I24" i="19" s="1"/>
  <c r="O24" i="19" s="1"/>
  <c r="J22" i="20"/>
  <c r="K22" i="20"/>
  <c r="I22" i="20" s="1"/>
  <c r="O22" i="20" s="1"/>
  <c r="L22" i="20"/>
  <c r="M22" i="20"/>
  <c r="N22" i="20"/>
  <c r="L10" i="21"/>
  <c r="K10" i="21"/>
  <c r="J10" i="21"/>
  <c r="I10" i="21" s="1"/>
  <c r="O10" i="21" s="1"/>
  <c r="M10" i="21"/>
  <c r="N10" i="21"/>
  <c r="H37" i="21"/>
  <c r="J20" i="20"/>
  <c r="I20" i="20" s="1"/>
  <c r="O20" i="20" s="1"/>
  <c r="K20" i="20"/>
  <c r="N20" i="20"/>
  <c r="M20" i="20"/>
  <c r="L20" i="20"/>
  <c r="H20" i="20"/>
  <c r="L37" i="19"/>
  <c r="K37" i="19"/>
  <c r="J37" i="19"/>
  <c r="I37" i="19" s="1"/>
  <c r="O37" i="19" s="1"/>
  <c r="M37" i="19"/>
  <c r="N37" i="19"/>
  <c r="R49" i="19"/>
  <c r="M35" i="18"/>
  <c r="K35" i="18"/>
  <c r="L35" i="18"/>
  <c r="I35" i="18" s="1"/>
  <c r="O35" i="18" s="1"/>
  <c r="J35" i="18"/>
  <c r="N35" i="18"/>
  <c r="J20" i="16"/>
  <c r="H20" i="16"/>
  <c r="N20" i="16"/>
  <c r="L20" i="16"/>
  <c r="M20" i="16"/>
  <c r="I20" i="16" s="1"/>
  <c r="O20" i="16" s="1"/>
  <c r="K20" i="16"/>
  <c r="H65" i="17"/>
  <c r="M40" i="18"/>
  <c r="L40" i="18"/>
  <c r="K40" i="18"/>
  <c r="N40" i="18"/>
  <c r="J40" i="18"/>
  <c r="I40" i="18" s="1"/>
  <c r="O40" i="18" s="1"/>
  <c r="H40" i="18"/>
  <c r="I20" i="17"/>
  <c r="O20" i="17" s="1"/>
  <c r="M32" i="18"/>
  <c r="K32" i="18"/>
  <c r="I32" i="18"/>
  <c r="O32" i="18" s="1"/>
  <c r="N32" i="18"/>
  <c r="L32" i="18"/>
  <c r="J32" i="18"/>
  <c r="L13" i="16"/>
  <c r="L51" i="16" s="1"/>
  <c r="K13" i="16"/>
  <c r="K51" i="16" s="1"/>
  <c r="J13" i="16"/>
  <c r="I13" i="16"/>
  <c r="I51" i="16" s="1"/>
  <c r="N13" i="16"/>
  <c r="N51" i="16" s="1"/>
  <c r="M13" i="16"/>
  <c r="M51" i="16" s="1"/>
  <c r="I14" i="16"/>
  <c r="O14" i="16" s="1"/>
  <c r="H3" i="26"/>
  <c r="J51" i="16"/>
  <c r="L27" i="19"/>
  <c r="K27" i="19"/>
  <c r="I27" i="19" s="1"/>
  <c r="O27" i="19" s="1"/>
  <c r="J27" i="19"/>
  <c r="M27" i="19"/>
  <c r="N27" i="19"/>
  <c r="I37" i="16"/>
  <c r="O37" i="16" s="1"/>
  <c r="U27" i="1"/>
  <c r="L38" i="22"/>
  <c r="I38" i="22" s="1"/>
  <c r="O38" i="22" s="1"/>
  <c r="K38" i="22"/>
  <c r="M38" i="22"/>
  <c r="N38" i="22"/>
  <c r="J38" i="22"/>
  <c r="H41" i="22"/>
  <c r="O19" i="22"/>
  <c r="M19" i="22"/>
  <c r="L19" i="22"/>
  <c r="K19" i="22"/>
  <c r="I19" i="22"/>
  <c r="N19" i="22"/>
  <c r="J19" i="22"/>
  <c r="M37" i="22"/>
  <c r="L37" i="22"/>
  <c r="K37" i="22"/>
  <c r="I37" i="22" s="1"/>
  <c r="O37" i="22" s="1"/>
  <c r="N37" i="22"/>
  <c r="J37" i="22"/>
  <c r="K12" i="20"/>
  <c r="N12" i="20"/>
  <c r="M12" i="20"/>
  <c r="L12" i="20"/>
  <c r="J12" i="20"/>
  <c r="I12" i="20" s="1"/>
  <c r="O12" i="20" s="1"/>
  <c r="L20" i="21"/>
  <c r="K20" i="21"/>
  <c r="J20" i="21"/>
  <c r="I20" i="21"/>
  <c r="O20" i="21" s="1"/>
  <c r="M20" i="21"/>
  <c r="N20" i="21"/>
  <c r="H20" i="19"/>
  <c r="H49" i="19" s="1"/>
  <c r="N20" i="19"/>
  <c r="M20" i="19"/>
  <c r="L20" i="19"/>
  <c r="I20" i="19" s="1"/>
  <c r="O20" i="19" s="1"/>
  <c r="K20" i="19"/>
  <c r="J20" i="19"/>
  <c r="H27" i="21"/>
  <c r="J47" i="18"/>
  <c r="N47" i="18"/>
  <c r="M47" i="18"/>
  <c r="K47" i="18"/>
  <c r="I47" i="18" s="1"/>
  <c r="O47" i="18" s="1"/>
  <c r="L47" i="18"/>
  <c r="L38" i="21"/>
  <c r="K38" i="21"/>
  <c r="J38" i="21"/>
  <c r="I38" i="21" s="1"/>
  <c r="O38" i="21" s="1"/>
  <c r="M38" i="21"/>
  <c r="N38" i="21"/>
  <c r="L18" i="21"/>
  <c r="K18" i="21"/>
  <c r="I18" i="21" s="1"/>
  <c r="O18" i="21" s="1"/>
  <c r="J18" i="21"/>
  <c r="M18" i="21"/>
  <c r="N18" i="21"/>
  <c r="H33" i="21"/>
  <c r="L25" i="19"/>
  <c r="K25" i="19"/>
  <c r="I25" i="19" s="1"/>
  <c r="O25" i="19" s="1"/>
  <c r="J25" i="19"/>
  <c r="M25" i="19"/>
  <c r="N25" i="19"/>
  <c r="M38" i="18"/>
  <c r="K38" i="18"/>
  <c r="L38" i="18"/>
  <c r="N38" i="18"/>
  <c r="J38" i="18"/>
  <c r="I38" i="18" s="1"/>
  <c r="O38" i="18" s="1"/>
  <c r="M22" i="18"/>
  <c r="K22" i="18"/>
  <c r="I22" i="18" s="1"/>
  <c r="O22" i="18" s="1"/>
  <c r="L22" i="18"/>
  <c r="N22" i="18"/>
  <c r="J22" i="18"/>
  <c r="I33" i="18"/>
  <c r="O33" i="18" s="1"/>
  <c r="M33" i="18"/>
  <c r="K33" i="18"/>
  <c r="N33" i="18"/>
  <c r="L33" i="18"/>
  <c r="J33" i="18"/>
  <c r="L15" i="19"/>
  <c r="K15" i="19"/>
  <c r="I15" i="19" s="1"/>
  <c r="O15" i="19" s="1"/>
  <c r="J15" i="19"/>
  <c r="M15" i="19"/>
  <c r="N15" i="19"/>
  <c r="M20" i="18"/>
  <c r="K20" i="18"/>
  <c r="I20" i="18"/>
  <c r="O20" i="18" s="1"/>
  <c r="N20" i="18"/>
  <c r="L20" i="18"/>
  <c r="J20" i="18"/>
  <c r="K65" i="17"/>
  <c r="J65" i="17"/>
  <c r="L43" i="19"/>
  <c r="K43" i="19"/>
  <c r="I43" i="19" s="1"/>
  <c r="O43" i="19" s="1"/>
  <c r="J43" i="19"/>
  <c r="M43" i="19"/>
  <c r="N43" i="19"/>
  <c r="E13" i="37"/>
  <c r="G5" i="14"/>
  <c r="H15" i="37"/>
  <c r="I49" i="19" l="1"/>
  <c r="O9" i="19"/>
  <c r="O49" i="19" s="1"/>
  <c r="I54" i="24"/>
  <c r="O9" i="24"/>
  <c r="O54" i="24" s="1"/>
  <c r="O19" i="18"/>
  <c r="I48" i="18"/>
  <c r="G5" i="26"/>
  <c r="I5" i="26"/>
  <c r="B51" i="19"/>
  <c r="B53" i="19" s="1"/>
  <c r="E6" i="2"/>
  <c r="E13" i="2" s="1"/>
  <c r="G10" i="26"/>
  <c r="B56" i="24"/>
  <c r="B58" i="24" s="1"/>
  <c r="I10" i="26"/>
  <c r="E11" i="2"/>
  <c r="M54" i="24"/>
  <c r="K48" i="20"/>
  <c r="N49" i="19"/>
  <c r="J49" i="22"/>
  <c r="N48" i="21"/>
  <c r="O48" i="18"/>
  <c r="O65" i="17"/>
  <c r="K5" i="2"/>
  <c r="H5" i="2"/>
  <c r="J5" i="2" s="1"/>
  <c r="L5" i="2" s="1"/>
  <c r="M5" i="2" s="1"/>
  <c r="Q5" i="2"/>
  <c r="G5" i="2"/>
  <c r="I54" i="23"/>
  <c r="O9" i="23"/>
  <c r="O54" i="23" s="1"/>
  <c r="I7" i="26"/>
  <c r="G7" i="26"/>
  <c r="B50" i="21"/>
  <c r="B52" i="21" s="1"/>
  <c r="E8" i="2"/>
  <c r="L54" i="24"/>
  <c r="D11" i="37"/>
  <c r="E4" i="14"/>
  <c r="F4" i="14" s="1"/>
  <c r="J23" i="1"/>
  <c r="M49" i="19"/>
  <c r="O48" i="21"/>
  <c r="I7" i="11"/>
  <c r="I21" i="1"/>
  <c r="J21" i="1" s="1"/>
  <c r="I65" i="17"/>
  <c r="O51" i="16"/>
  <c r="O13" i="16"/>
  <c r="N54" i="24"/>
  <c r="H5" i="26"/>
  <c r="H48" i="20"/>
  <c r="M48" i="20"/>
  <c r="L49" i="22"/>
  <c r="J48" i="21"/>
  <c r="H10" i="2"/>
  <c r="J10" i="2" s="1"/>
  <c r="L10" i="2" s="1"/>
  <c r="M10" i="2" s="1"/>
  <c r="Q10" i="2"/>
  <c r="K10" i="2"/>
  <c r="G10" i="2"/>
  <c r="J48" i="18"/>
  <c r="K49" i="22"/>
  <c r="I48" i="21"/>
  <c r="Q4" i="2"/>
  <c r="G4" i="2"/>
  <c r="H4" i="2" s="1"/>
  <c r="J4" i="2" s="1"/>
  <c r="L4" i="2" s="1"/>
  <c r="M4" i="2" s="1"/>
  <c r="K4" i="2"/>
  <c r="F11" i="37"/>
  <c r="E6" i="14"/>
  <c r="F6" i="14" s="1"/>
  <c r="J25" i="1"/>
  <c r="I48" i="20"/>
  <c r="H48" i="21"/>
  <c r="H4" i="35"/>
  <c r="G5" i="35"/>
  <c r="J48" i="20"/>
  <c r="M49" i="22"/>
  <c r="K48" i="21"/>
  <c r="I11" i="26"/>
  <c r="I12" i="26" s="1"/>
  <c r="B56" i="25"/>
  <c r="B58" i="25" s="1"/>
  <c r="G11" i="26"/>
  <c r="H11" i="26" s="1"/>
  <c r="E12" i="2"/>
  <c r="Q7" i="2"/>
  <c r="G7" i="2"/>
  <c r="K7" i="2"/>
  <c r="H7" i="2"/>
  <c r="J7" i="2" s="1"/>
  <c r="L7" i="2" s="1"/>
  <c r="M7" i="2" s="1"/>
  <c r="J54" i="24"/>
  <c r="L48" i="20"/>
  <c r="G14" i="37"/>
  <c r="G17" i="37" s="1"/>
  <c r="L26" i="1"/>
  <c r="W26" i="1" s="1"/>
  <c r="Z26" i="1" s="1"/>
  <c r="J49" i="19"/>
  <c r="N49" i="22"/>
  <c r="L48" i="21"/>
  <c r="F12" i="26"/>
  <c r="B27" i="9" s="1"/>
  <c r="K3" i="2"/>
  <c r="Q3" i="2"/>
  <c r="G3" i="2"/>
  <c r="O3" i="2"/>
  <c r="O4" i="2" s="1"/>
  <c r="O5" i="2" s="1"/>
  <c r="O6" i="2" s="1"/>
  <c r="O7" i="2" s="1"/>
  <c r="B11" i="37"/>
  <c r="H27" i="1"/>
  <c r="E2" i="14"/>
  <c r="I54" i="25"/>
  <c r="O9" i="25"/>
  <c r="O54" i="25" s="1"/>
  <c r="G8" i="26"/>
  <c r="H8" i="26" s="1"/>
  <c r="I8" i="26"/>
  <c r="B51" i="22"/>
  <c r="B53" i="22" s="1"/>
  <c r="E9" i="2"/>
  <c r="L2" i="2"/>
  <c r="K54" i="24"/>
  <c r="N48" i="20"/>
  <c r="K49" i="19"/>
  <c r="B19" i="37"/>
  <c r="H19" i="37" s="1"/>
  <c r="P27" i="1"/>
  <c r="T21" i="1"/>
  <c r="B63" i="9"/>
  <c r="B31" i="9"/>
  <c r="E11" i="37"/>
  <c r="E5" i="14"/>
  <c r="F5" i="14" s="1"/>
  <c r="J24" i="1"/>
  <c r="L48" i="18"/>
  <c r="H10" i="26"/>
  <c r="O9" i="20"/>
  <c r="O48" i="20" s="1"/>
  <c r="L49" i="19"/>
  <c r="H7" i="26"/>
  <c r="I9" i="22"/>
  <c r="M48" i="21"/>
  <c r="F9" i="32"/>
  <c r="J27" i="1" l="1"/>
  <c r="H12" i="26"/>
  <c r="B28" i="9" s="1"/>
  <c r="E8" i="32"/>
  <c r="B25" i="1" s="1"/>
  <c r="E6" i="32"/>
  <c r="B23" i="1" s="1"/>
  <c r="E4" i="32"/>
  <c r="E7" i="32"/>
  <c r="B24" i="1" s="1"/>
  <c r="E5" i="32"/>
  <c r="B22" i="1" s="1"/>
  <c r="B33" i="9"/>
  <c r="B7" i="9"/>
  <c r="B8" i="9" s="1"/>
  <c r="H11" i="37"/>
  <c r="Q9" i="2"/>
  <c r="G9" i="2"/>
  <c r="H9" i="2" s="1"/>
  <c r="J9" i="2" s="1"/>
  <c r="L9" i="2" s="1"/>
  <c r="M9" i="2" s="1"/>
  <c r="K9" i="2"/>
  <c r="O8" i="2"/>
  <c r="O9" i="2" s="1"/>
  <c r="O10" i="2" s="1"/>
  <c r="O11" i="2" s="1"/>
  <c r="O12" i="2" s="1"/>
  <c r="O13" i="2" s="1"/>
  <c r="N21" i="1"/>
  <c r="G12" i="26"/>
  <c r="K11" i="2"/>
  <c r="K13" i="2" s="1"/>
  <c r="H11" i="2"/>
  <c r="J11" i="2" s="1"/>
  <c r="G11" i="2"/>
  <c r="Q11" i="2"/>
  <c r="H12" i="2"/>
  <c r="J12" i="2" s="1"/>
  <c r="Q12" i="2"/>
  <c r="G12" i="2"/>
  <c r="K12" i="2"/>
  <c r="H5" i="35"/>
  <c r="G6" i="35"/>
  <c r="I49" i="22"/>
  <c r="O9" i="22"/>
  <c r="O49" i="22" s="1"/>
  <c r="N2" i="2"/>
  <c r="M2" i="2"/>
  <c r="Q13" i="2"/>
  <c r="H3" i="2"/>
  <c r="F2" i="14"/>
  <c r="F8" i="14" s="1"/>
  <c r="E8" i="14"/>
  <c r="B13" i="37"/>
  <c r="H13" i="37" s="1"/>
  <c r="G2" i="14"/>
  <c r="G8" i="14" s="1"/>
  <c r="I27" i="1"/>
  <c r="K8" i="2"/>
  <c r="Q8" i="2"/>
  <c r="G8" i="2"/>
  <c r="H8" i="2"/>
  <c r="J8" i="2" s="1"/>
  <c r="L8" i="2" s="1"/>
  <c r="M8" i="2" s="1"/>
  <c r="K6" i="2"/>
  <c r="Q6" i="2"/>
  <c r="G6" i="2"/>
  <c r="G13" i="2" s="1"/>
  <c r="D10" i="12"/>
  <c r="D2" i="12"/>
  <c r="D9" i="12"/>
  <c r="D8" i="12"/>
  <c r="D7" i="12"/>
  <c r="D6" i="12"/>
  <c r="D5" i="12"/>
  <c r="D4" i="12"/>
  <c r="D3" i="12"/>
  <c r="B10" i="9" l="1"/>
  <c r="B18" i="9"/>
  <c r="F22" i="1"/>
  <c r="E22" i="1"/>
  <c r="D22" i="1"/>
  <c r="Q23" i="1"/>
  <c r="D11" i="12"/>
  <c r="J3" i="2"/>
  <c r="D24" i="1"/>
  <c r="F24" i="1"/>
  <c r="E24" i="1"/>
  <c r="Q25" i="1"/>
  <c r="G7" i="35"/>
  <c r="H6" i="35"/>
  <c r="E9" i="32"/>
  <c r="B21" i="1"/>
  <c r="L11" i="2"/>
  <c r="M11" i="2" s="1"/>
  <c r="F23" i="1"/>
  <c r="D23" i="1"/>
  <c r="E23" i="1" s="1"/>
  <c r="Q24" i="1"/>
  <c r="F25" i="1"/>
  <c r="D25" i="1"/>
  <c r="E25" i="1"/>
  <c r="Q26" i="1"/>
  <c r="H6" i="2"/>
  <c r="J6" i="2" s="1"/>
  <c r="L6" i="2" s="1"/>
  <c r="M6" i="2" s="1"/>
  <c r="L12" i="2"/>
  <c r="M12" i="2" s="1"/>
  <c r="R24" i="1" l="1"/>
  <c r="E6" i="37" s="1"/>
  <c r="E9" i="37" s="1"/>
  <c r="G23" i="1"/>
  <c r="R26" i="1"/>
  <c r="G6" i="37" s="1"/>
  <c r="G25" i="1"/>
  <c r="F7" i="37"/>
  <c r="D7" i="37"/>
  <c r="C4" i="14"/>
  <c r="H4" i="14" s="1"/>
  <c r="I4" i="14" s="1"/>
  <c r="R25" i="1"/>
  <c r="F6" i="37" s="1"/>
  <c r="F9" i="37" s="1"/>
  <c r="G24" i="1"/>
  <c r="C6" i="14"/>
  <c r="H6" i="14" s="1"/>
  <c r="I6" i="14" s="1"/>
  <c r="G22" i="1"/>
  <c r="R23" i="1"/>
  <c r="D6" i="37" s="1"/>
  <c r="D9" i="37" s="1"/>
  <c r="C5" i="14"/>
  <c r="H5" i="14" s="1"/>
  <c r="I5" i="14" s="1"/>
  <c r="B2" i="14"/>
  <c r="D21" i="1"/>
  <c r="D27" i="1" s="1"/>
  <c r="F21" i="1"/>
  <c r="B27" i="1"/>
  <c r="Q22" i="1"/>
  <c r="C3" i="14"/>
  <c r="H3" i="14" s="1"/>
  <c r="I3" i="14" s="1"/>
  <c r="E7" i="37"/>
  <c r="H13" i="2"/>
  <c r="L3" i="2"/>
  <c r="J13" i="2"/>
  <c r="G7" i="37"/>
  <c r="G8" i="35"/>
  <c r="H7" i="35"/>
  <c r="D5" i="14" l="1"/>
  <c r="J5" i="14" s="1"/>
  <c r="D4" i="14"/>
  <c r="J4" i="14" s="1"/>
  <c r="D3" i="14"/>
  <c r="J3" i="14" s="1"/>
  <c r="D6" i="14"/>
  <c r="J6" i="14" s="1"/>
  <c r="K6" i="14" s="1"/>
  <c r="K25" i="1" s="1"/>
  <c r="T23" i="1"/>
  <c r="C7" i="37"/>
  <c r="H7" i="37" s="1"/>
  <c r="Q27" i="1"/>
  <c r="M3" i="2"/>
  <c r="M13" i="2" s="1"/>
  <c r="L13" i="2"/>
  <c r="B9" i="9" s="1"/>
  <c r="N3" i="2"/>
  <c r="N4" i="2" s="1"/>
  <c r="N5" i="2" s="1"/>
  <c r="N6" i="2" s="1"/>
  <c r="N7" i="2" s="1"/>
  <c r="N8" i="2" s="1"/>
  <c r="N9" i="2" s="1"/>
  <c r="N10" i="2" s="1"/>
  <c r="N11" i="2" s="1"/>
  <c r="N12" i="2" s="1"/>
  <c r="N13" i="2" s="1"/>
  <c r="F27" i="1"/>
  <c r="S26" i="1"/>
  <c r="T25" i="1"/>
  <c r="T24" i="1"/>
  <c r="E21" i="1"/>
  <c r="B8" i="14"/>
  <c r="D2" i="14"/>
  <c r="C2" i="14"/>
  <c r="H8" i="35"/>
  <c r="G9" i="35"/>
  <c r="K3" i="14"/>
  <c r="K22" i="1" s="1"/>
  <c r="K5" i="14"/>
  <c r="K24" i="1" s="1"/>
  <c r="K4" i="14"/>
  <c r="K23" i="1" s="1"/>
  <c r="R22" i="1" l="1"/>
  <c r="G21" i="1"/>
  <c r="G27" i="1" s="1"/>
  <c r="E27" i="1"/>
  <c r="H2" i="14"/>
  <c r="C8" i="14"/>
  <c r="X25" i="1"/>
  <c r="E14" i="37"/>
  <c r="E17" i="37" s="1"/>
  <c r="E20" i="37" s="1"/>
  <c r="L24" i="1"/>
  <c r="W24" i="1" s="1"/>
  <c r="Z24" i="1" s="1"/>
  <c r="AA24" i="1" s="1"/>
  <c r="F14" i="37"/>
  <c r="F17" i="37" s="1"/>
  <c r="F20" i="37" s="1"/>
  <c r="L25" i="1"/>
  <c r="W25" i="1" s="1"/>
  <c r="Z25" i="1" s="1"/>
  <c r="AA25" i="1" s="1"/>
  <c r="C14" i="37"/>
  <c r="C17" i="37" s="1"/>
  <c r="L22" i="1"/>
  <c r="W22" i="1" s="1"/>
  <c r="Z22" i="1" s="1"/>
  <c r="J2" i="14"/>
  <c r="J8" i="14" s="1"/>
  <c r="D8" i="14"/>
  <c r="G8" i="37"/>
  <c r="B78" i="9"/>
  <c r="S27" i="1"/>
  <c r="B49" i="9" s="1"/>
  <c r="T26" i="1"/>
  <c r="D14" i="37"/>
  <c r="D17" i="37" s="1"/>
  <c r="D20" i="37" s="1"/>
  <c r="L23" i="1"/>
  <c r="M23" i="1" s="1"/>
  <c r="M24" i="1" l="1"/>
  <c r="B12" i="9"/>
  <c r="B20" i="9"/>
  <c r="X26" i="1"/>
  <c r="AA26" i="1"/>
  <c r="M26" i="1"/>
  <c r="H8" i="14"/>
  <c r="I2" i="14"/>
  <c r="C6" i="37"/>
  <c r="R27" i="1"/>
  <c r="T22" i="1"/>
  <c r="B19" i="9"/>
  <c r="W23" i="1"/>
  <c r="H8" i="37"/>
  <c r="G9" i="37"/>
  <c r="G20" i="37" s="1"/>
  <c r="X24" i="1"/>
  <c r="M25" i="1"/>
  <c r="I8" i="14" l="1"/>
  <c r="K2" i="14"/>
  <c r="Z23" i="1"/>
  <c r="AA23" i="1" s="1"/>
  <c r="X23" i="1"/>
  <c r="H6" i="37"/>
  <c r="C9" i="37"/>
  <c r="AA22" i="1"/>
  <c r="X22" i="1"/>
  <c r="M22" i="1"/>
  <c r="T27" i="1"/>
  <c r="N22" i="1"/>
  <c r="N23" i="1" s="1"/>
  <c r="N24" i="1" s="1"/>
  <c r="N25" i="1" s="1"/>
  <c r="N26" i="1" s="1"/>
  <c r="N27" i="1" s="1"/>
  <c r="C20" i="37" l="1"/>
  <c r="H9" i="37"/>
  <c r="K8" i="14"/>
  <c r="K21" i="1"/>
  <c r="B14" i="37" l="1"/>
  <c r="K27" i="1"/>
  <c r="L21" i="1"/>
  <c r="H14" i="37" l="1"/>
  <c r="B17" i="37"/>
  <c r="W21" i="1"/>
  <c r="L27" i="1"/>
  <c r="M21" i="1"/>
  <c r="O21" i="1" l="1"/>
  <c r="O22" i="1" s="1"/>
  <c r="O23" i="1" s="1"/>
  <c r="M27" i="1"/>
  <c r="W27" i="1"/>
  <c r="Z21" i="1"/>
  <c r="X21" i="1"/>
  <c r="X27" i="1" s="1"/>
  <c r="H17" i="37"/>
  <c r="B20" i="37"/>
  <c r="Z27" i="1" l="1"/>
  <c r="AA21" i="1"/>
  <c r="AA27" i="1" s="1"/>
  <c r="B9" i="31" s="1"/>
  <c r="B21" i="37"/>
  <c r="C21" i="37" s="1"/>
  <c r="D21" i="37" s="1"/>
  <c r="E21" i="37" s="1"/>
  <c r="F21" i="37" s="1"/>
  <c r="G21" i="37" s="1"/>
  <c r="H21" i="37" s="1"/>
  <c r="B94" i="9" s="1"/>
  <c r="H20" i="37"/>
  <c r="O24" i="1"/>
  <c r="O25" i="1" s="1"/>
  <c r="O26" i="1" s="1"/>
  <c r="O27" i="1" s="1"/>
  <c r="B50" i="9" s="1"/>
  <c r="B25" i="9"/>
  <c r="B12" i="31" l="1"/>
  <c r="B79" i="9"/>
  <c r="B70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B3" authorId="0" shapeId="0" xr:uid="{00000000-0006-0000-0000-000001000000}">
      <text>
        <r>
          <rPr>
            <sz val="10"/>
            <rFont val="Arial"/>
            <family val="2"/>
          </rPr>
          <t>Общая площадь пола взята из ценовой таблицы полы.</t>
        </r>
      </text>
    </comment>
    <comment ref="B4" authorId="0" shapeId="0" xr:uid="{00000000-0006-0000-0000-000002000000}">
      <text>
        <r>
          <rPr>
            <sz val="10"/>
            <rFont val="Arial"/>
            <family val="2"/>
          </rPr>
          <t>Сумма фактических площадей участков 1-7 из вкладки 'СВОД полы 1 очередь': 570+677+374+550+250+140+933.</t>
        </r>
      </text>
    </comment>
  </commentList>
</comments>
</file>

<file path=xl/sharedStrings.xml><?xml version="1.0" encoding="utf-8"?>
<sst xmlns="http://schemas.openxmlformats.org/spreadsheetml/2006/main" count="4555" uniqueCount="678">
  <si>
    <t>Cash Flow М10 — производство 5 месяцев, 3500 м²/мес</t>
  </si>
  <si>
    <t>Площадь полов по ценовой таблице, м²</t>
  </si>
  <si>
    <t>Площадь первых 7 участков, м²</t>
  </si>
  <si>
    <t>Остаток площади, м²</t>
  </si>
  <si>
    <t>Договор с заказчиком без НДС</t>
  </si>
  <si>
    <t>НДС</t>
  </si>
  <si>
    <t>Договор с заказчиком с НДС</t>
  </si>
  <si>
    <t>Аванс, %</t>
  </si>
  <si>
    <t>Гарантийное удержание, %</t>
  </si>
  <si>
    <t>Аванс, сумма</t>
  </si>
  <si>
    <t>Удержание банком депозита от аванса</t>
  </si>
  <si>
    <t>Депозит банка по авансу</t>
  </si>
  <si>
    <t>Свободный аванс после депозита</t>
  </si>
  <si>
    <t>Отсрочка оплаты Заказчиком, рабочих дней</t>
  </si>
  <si>
    <t>Подписание выполнения</t>
  </si>
  <si>
    <t>25-е числа каждого месяца</t>
  </si>
  <si>
    <t>Возврат депозита банка</t>
  </si>
  <si>
    <t>Через 10 дней после подписания выполнения</t>
  </si>
  <si>
    <t>Завершение производства работ</t>
  </si>
  <si>
    <t>31.10.2026</t>
  </si>
  <si>
    <t>Платежный хвост</t>
  </si>
  <si>
    <t>Ноябрь 2026</t>
  </si>
  <si>
    <t>Аванс</t>
  </si>
  <si>
    <t>Зачет аванса</t>
  </si>
  <si>
    <t>Оплата после зачета</t>
  </si>
  <si>
    <t>Гарант. удержание 5%</t>
  </si>
  <si>
    <t>Поступление ДС</t>
  </si>
  <si>
    <t>Расход материалов</t>
  </si>
  <si>
    <t>ФОТ с налогами</t>
  </si>
  <si>
    <t>Всего расходов</t>
  </si>
  <si>
    <t>Прочие налоги</t>
  </si>
  <si>
    <t>Всего расходы+налоги</t>
  </si>
  <si>
    <t>Чистый поток</t>
  </si>
  <si>
    <t>Накопительно ДС</t>
  </si>
  <si>
    <t>Накопительно чистый поток</t>
  </si>
  <si>
    <t>Удержано банком</t>
  </si>
  <si>
    <t>Возврат депозита</t>
  </si>
  <si>
    <t>Оплата с отсрочкой 20 раб. дней</t>
  </si>
  <si>
    <t>Возврат гарантийного удержания</t>
  </si>
  <si>
    <t>Фактическое поступление</t>
  </si>
  <si>
    <t>Ежемесячные расходы</t>
  </si>
  <si>
    <t>Утилизация демонтажа</t>
  </si>
  <si>
    <t>Расходы всего с ежемес.</t>
  </si>
  <si>
    <t>Чистый поток с ежемес. расходами</t>
  </si>
  <si>
    <t>Разовые затраты</t>
  </si>
  <si>
    <t>Общие расходы</t>
  </si>
  <si>
    <t>Чистый поток после всех затрат</t>
  </si>
  <si>
    <t>Период</t>
  </si>
  <si>
    <t>Актирование с НДС</t>
  </si>
  <si>
    <t>Июнь 2026</t>
  </si>
  <si>
    <t>Июль 2026</t>
  </si>
  <si>
    <t>Август 2026</t>
  </si>
  <si>
    <t>Сентябрь 2026</t>
  </si>
  <si>
    <t>Октябрь 2026</t>
  </si>
  <si>
    <t>ИТОГО</t>
  </si>
  <si>
    <t>Этап</t>
  </si>
  <si>
    <t>Тип</t>
  </si>
  <si>
    <t>Площадь, м²</t>
  </si>
  <si>
    <t>Поступление до удержания</t>
  </si>
  <si>
    <t>Гарантийное удержание</t>
  </si>
  <si>
    <t>Накопительно актирование</t>
  </si>
  <si>
    <t>Не получено от Заказчика</t>
  </si>
  <si>
    <t>Расчетная сумма до исключения</t>
  </si>
  <si>
    <t>Аванс 30%</t>
  </si>
  <si>
    <t>Финансирование</t>
  </si>
  <si>
    <t>Локальный участок 1 (Н-С/3-4*)</t>
  </si>
  <si>
    <t>Первые 7 участков</t>
  </si>
  <si>
    <t>Локальный участок 2 (Н-Р/11-24)</t>
  </si>
  <si>
    <t>Локальный участок 3 (В-Д/11-15)</t>
  </si>
  <si>
    <t>Локальный участок 4 (Д-Ж/16-24)</t>
  </si>
  <si>
    <t>Локальный участок 5 (Ж-К/6-10)</t>
  </si>
  <si>
    <t>Локальный участок 6 (Л-У/5*-6*)</t>
  </si>
  <si>
    <t>Локальный участок 7 (Ж-К/11-24)</t>
  </si>
  <si>
    <t>Основной массив пола — захватка 1</t>
  </si>
  <si>
    <t>Захватки по ~4500 м²</t>
  </si>
  <si>
    <t>Основной массив пола — захватка 2</t>
  </si>
  <si>
    <t>Основной массив пола — захватка 3</t>
  </si>
  <si>
    <t>Участок</t>
  </si>
  <si>
    <t>Оси</t>
  </si>
  <si>
    <t>V пола/демонтажа, м³</t>
  </si>
  <si>
    <t>Комментарий</t>
  </si>
  <si>
    <t>Выручка с НДС</t>
  </si>
  <si>
    <t>Н-С/3-4*</t>
  </si>
  <si>
    <t>доп-так же просят сделать 3фнд под краны, объем 3х(1,3х1,3х1,5)м</t>
  </si>
  <si>
    <t>Н-Р/11-24</t>
  </si>
  <si>
    <t>смежник делает 3фнд, завод вывезет станок и можно приступать</t>
  </si>
  <si>
    <t>В-Д/11-15</t>
  </si>
  <si>
    <t>доп дополнительно учесть вывод воды на улицу и установить отдельную емкость, а так же подвод воды(по верху)</t>
  </si>
  <si>
    <t>Д-Ж/16-24</t>
  </si>
  <si>
    <t>сейчас там участок контовки</t>
  </si>
  <si>
    <t>Ж-К/6-10</t>
  </si>
  <si>
    <t>доп-нужен еще такой же фундамент под еще одну печь и подвод коммуникаций</t>
  </si>
  <si>
    <t>Л-У/5*-6*</t>
  </si>
  <si>
    <t>зону производства работ покинут до июня</t>
  </si>
  <si>
    <t>Ж-К/11-24</t>
  </si>
  <si>
    <t>на данный момент стоят станки и прочее оборудование, участок "плавающий", нет четкой планировки куда это уедет</t>
  </si>
  <si>
    <t>Файл</t>
  </si>
  <si>
    <t>Работы без НДС</t>
  </si>
  <si>
    <t>Материалы без НДС</t>
  </si>
  <si>
    <t>Итого без НДС</t>
  </si>
  <si>
    <t>Итого с НДС</t>
  </si>
  <si>
    <t>Приложение №2 – Ценовая таблица полы.xlsx</t>
  </si>
  <si>
    <t>Приложение №2 – Ценовая таблица фундаменты.xlsx</t>
  </si>
  <si>
    <t>Материал из прайса</t>
  </si>
  <si>
    <t>Ед. прайса</t>
  </si>
  <si>
    <t>Цена с НДС</t>
  </si>
  <si>
    <t>Песок по ГОСТ 8736-93</t>
  </si>
  <si>
    <t>куб.м.</t>
  </si>
  <si>
    <t>Щебень М400 по ГОСТ 8267-93</t>
  </si>
  <si>
    <t>Бетон кл. В7,5</t>
  </si>
  <si>
    <t>Бетон кл. В25</t>
  </si>
  <si>
    <t>Мастика гидроизоляционная Технониколь №24 МГТН</t>
  </si>
  <si>
    <t>кг</t>
  </si>
  <si>
    <t>Пруток 1Ф-НД-10-А500С по ГОСТ 34028-2016</t>
  </si>
  <si>
    <t>Пруток 1Ф-НД-8-А500С по ГОСТ 34028-2016</t>
  </si>
  <si>
    <t>Пруток 1Ф-НД-12-А500С по ГОСТ 34028-2016</t>
  </si>
  <si>
    <t>Пруток 1Ф-НД-16-А500С по ГОСТ 34028-2016</t>
  </si>
  <si>
    <t>Пруток 1Ф-НД-8-А240С по ГОСТ 34028-2016</t>
  </si>
  <si>
    <t>Пруток 1Ф-НД-6-А240С по ГОСТ 34028-2016</t>
  </si>
  <si>
    <t>Уголок равнополочный 50х50х5 по ГОСТ 8509-93</t>
  </si>
  <si>
    <t>Гильза Ф159х4,5 по ГОСТ 10704-91</t>
  </si>
  <si>
    <t>Сталь рифленая толщ. 5 мм по ГОСТ 8568-57*</t>
  </si>
  <si>
    <t>Лоток бетонный ЛКБ Optima 300H350</t>
  </si>
  <si>
    <t>п.м.</t>
  </si>
  <si>
    <t>Крышка стальная Aguastok КС Optima 300 C250</t>
  </si>
  <si>
    <t>Топпинг серого цвета, расход 4,0 кг/м²</t>
  </si>
  <si>
    <t>кв.м.</t>
  </si>
  <si>
    <t>Вспененный полиэтилен толщ. 8–10 мм для изоляционных швов</t>
  </si>
  <si>
    <t>Жгут Вилатерм Ф6 мм из вспененного полиэтилена</t>
  </si>
  <si>
    <t>ВИБРОФАМ SD10(12,5), полиуретановый эластомер</t>
  </si>
  <si>
    <t>Шпаклевка композитная на основе портландцемента М400</t>
  </si>
  <si>
    <t>Герметик, расход 30 мл/м</t>
  </si>
  <si>
    <t>л</t>
  </si>
  <si>
    <t>Экструдированный полистирол</t>
  </si>
  <si>
    <t>Грунтовка MasterSeal P117</t>
  </si>
  <si>
    <t>Герметик MasterSeal CR171</t>
  </si>
  <si>
    <t>Вкладка</t>
  </si>
  <si>
    <t>Материал в файле</t>
  </si>
  <si>
    <t>Ключ материала</t>
  </si>
  <si>
    <t>Ед.</t>
  </si>
  <si>
    <t>Кол-во</t>
  </si>
  <si>
    <t>Стоимость с НДС</t>
  </si>
  <si>
    <t>Цена найдена</t>
  </si>
  <si>
    <t>фундаменты</t>
  </si>
  <si>
    <t>Виброфам SD10(12,5)</t>
  </si>
  <si>
    <t>м2</t>
  </si>
  <si>
    <t>м3</t>
  </si>
  <si>
    <t>Фундаментный болт М16х650</t>
  </si>
  <si>
    <t>шт</t>
  </si>
  <si>
    <t>Гофрированная труба ф300мм</t>
  </si>
  <si>
    <t>м</t>
  </si>
  <si>
    <t>лотки</t>
  </si>
  <si>
    <t>полы + топпинг</t>
  </si>
  <si>
    <t>Песок</t>
  </si>
  <si>
    <t>Бетон В7,5</t>
  </si>
  <si>
    <t>Технониколь №24 МГТН</t>
  </si>
  <si>
    <t>Арматура ф 10</t>
  </si>
  <si>
    <t>Арматура ф 8</t>
  </si>
  <si>
    <t>Бетон В25</t>
  </si>
  <si>
    <t>Топинг MONOPOL TOP200</t>
  </si>
  <si>
    <t>Топпинг MONOPOL TOP200</t>
  </si>
  <si>
    <t>Герметик Master Seal CR171 (360 мл/м), л</t>
  </si>
  <si>
    <t>Герметик Master Seal CR171</t>
  </si>
  <si>
    <t>Герметик Master Seal CR117 (15 мл/м), л</t>
  </si>
  <si>
    <t>Герметик Master Seal CR117</t>
  </si>
  <si>
    <t>деф шов</t>
  </si>
  <si>
    <t>Вспененый полиэтилен толщ 8-10, Н=0,3 м</t>
  </si>
  <si>
    <t>Вспененный полиэтилен</t>
  </si>
  <si>
    <t>Устройство деформационного шва</t>
  </si>
  <si>
    <t>Показатель</t>
  </si>
  <si>
    <t>Значение</t>
  </si>
  <si>
    <t>Фактическая сумма площадей 7 участков</t>
  </si>
  <si>
    <t>Материалы пола и швов по 7 участкам</t>
  </si>
  <si>
    <t>Вкладки 'полы + топпинг' и 'деф шов'</t>
  </si>
  <si>
    <t>Удельный расход материалов, руб/м²</t>
  </si>
  <si>
    <t>Применен к оставшимся захваткам</t>
  </si>
  <si>
    <t>15201 - 3494 = 11707</t>
  </si>
  <si>
    <t>Источник</t>
  </si>
  <si>
    <t>Раздел</t>
  </si>
  <si>
    <t>№ ВОР</t>
  </si>
  <si>
    <t>Наименование работ</t>
  </si>
  <si>
    <t>НДС 22%</t>
  </si>
  <si>
    <t>Демонтаж рельсов</t>
  </si>
  <si>
    <t>Рельс Р65 по ГОСТ 51685-2013</t>
  </si>
  <si>
    <t>Демонтаж существующего пола</t>
  </si>
  <si>
    <t>Демонтаж ж/б плиты пола из бетона кл. В25 толщиной 300мм</t>
  </si>
  <si>
    <t>Разработка грунта (песка) глубиной  150мм с погрузкой на самосвалы</t>
  </si>
  <si>
    <t>Вывози утилизация строительного мусора на расстояние 47 км</t>
  </si>
  <si>
    <t>т</t>
  </si>
  <si>
    <t>Демонтаж конструкций встроенного  помещения №1 в осях К-Л/4'-5'</t>
  </si>
  <si>
    <t>Демонтаж ограждения (Пруток 1Ф-НД- 10-А240С по ГОСТ 34028-2016)</t>
  </si>
  <si>
    <t>п.м</t>
  </si>
  <si>
    <t>Демонтаж плит покрытия ПК 58-12-8</t>
  </si>
  <si>
    <t>шт.</t>
  </si>
  <si>
    <t>Демонтаж балок покрытия из швеллера №30П</t>
  </si>
  <si>
    <t>Демонтаж оштукатуренной кирпичной стены толщиной 280мм высотой 4,7м</t>
  </si>
  <si>
    <t>Демонтаж колонны из стальной квадратной трубы 160х160х5</t>
  </si>
  <si>
    <t>Демонтаж обшивки из стального листа  толщиной 1мм</t>
  </si>
  <si>
    <t>Демонтаж лестницы: Демонтаж ограждения (Пруток 1Ф-НД-10-А240С  по ГОСТ 34028-2016)</t>
  </si>
  <si>
    <t>Демонтаж лестницы: Демонтаж ступеней (Пруток 1Ф-НД-10-А240С по  ГОСТ 34028-2016)</t>
  </si>
  <si>
    <t>Демонтаж лестницы: Демонтаж  косоуров (сварной швеллер из уголка 40х40х3 и 70х40х3)</t>
  </si>
  <si>
    <t>Демонтаж лестницы: Демонтаж балок  площадки из швеллера №20П</t>
  </si>
  <si>
    <t>Демонтаж лестницы: Демонтаж балок  площадки из швеллера №10П</t>
  </si>
  <si>
    <t>Демонтаж усиления дверного проема: Демонтаж боковых стоек из швеллера  №18П</t>
  </si>
  <si>
    <t>Демонтаж усиления дверного проема: Демонтаж перемычки из швеллера №18П</t>
  </si>
  <si>
    <t>Демонтаж усиления дверного проема: Демонтаж перемычки из швеллера  №10П</t>
  </si>
  <si>
    <t>Демонтаж конструкций встроенного помещения №2 в осях Ф-Т/4'-5'</t>
  </si>
  <si>
    <t>Демонтаж покрытия: Стальной лист 1мм (над балками)</t>
  </si>
  <si>
    <t>Демонтаж покрытия: Стальной лист 1мм (под балками)</t>
  </si>
  <si>
    <t>Демонтаж покрытия: Швеллер №16П</t>
  </si>
  <si>
    <t>Демонтаж оштукатуренной кирпичной  стены толщиной 140мм высотой 3,0м</t>
  </si>
  <si>
    <t>Демонтаж откатных ворот металлических 1400х2200мм (ШхВ) из уголка 40х40х3мм и стального листа  1,5мм (1 шт)</t>
  </si>
  <si>
    <t>Демонтаж усиления дверного проема: Демонтаж боковых стоек из уголка 50х50х3</t>
  </si>
  <si>
    <t>Демонтаж усиления дверного проема: Демонтаж перемычки из швеллера  №16П</t>
  </si>
  <si>
    <t>Демонтаж конструкций встроенного помещения №3 в осях Ч-У/4'-5'</t>
  </si>
  <si>
    <t>Демонтаж монолитного железобетонного покрытия толщиной 120мм в осях Ф-Х</t>
  </si>
  <si>
    <t>Демонтаж балок покрытия из швеллера №18П в осях Ф-Х</t>
  </si>
  <si>
    <t>Демонтаж оштукатуренной кирпичной стены толщиной 180мм высотой 3,0м в осях Ф-Х</t>
  </si>
  <si>
    <t>Демонтаж деревянных дверей с размером проема 900х2100мм (ШхВ) в  осях Ф-Х</t>
  </si>
  <si>
    <t>Демонтаж монолитного  железобетонного покрытия толщиной 120мм в осях Ц-Ч</t>
  </si>
  <si>
    <t>Демонтаж балок покрытия из швеллера №24П в осях Ц-Ч</t>
  </si>
  <si>
    <t>Демонтаж оштукатуренной кирпичной стены толщиной 180мм высотой 3,8м в  осях Ц-Ч</t>
  </si>
  <si>
    <t>Демонтаж откатных ворот металлических 2740х2800мм (ШхВ) из уголка 40х40х3мм и стального листа  1,5мм (1 шт)</t>
  </si>
  <si>
    <t>Демонтаж усиления дверного проема демонтаж перемычки из швеллера  №16П</t>
  </si>
  <si>
    <t>Демонтаж конструкций встроенного помещения №4 в осях Ш-Ц/23-24</t>
  </si>
  <si>
    <t>Демонтаж плит покрытия ПК 30-6-8</t>
  </si>
  <si>
    <t>Демонтаж прогонов покрытия из сварного двутавра – из двух швеллеров  №16П</t>
  </si>
  <si>
    <t>Демонтаж прогонов покрытия из  швеллера №16П</t>
  </si>
  <si>
    <t>Демонтаж кран-балки (расстоянием между осями подкрановых путей – 4,2м, длина подкрановых путей – 9,3м, балка подкрановых путей – 25К1) с подвесным оборудованием (1 шт)</t>
  </si>
  <si>
    <t>Демонтаж кирпичной стены толщиной  380мм высотой 5,0м</t>
  </si>
  <si>
    <t>Демонтаж витража 2250х3800мм (ШхВ) с заполнением из однослойного стекла и металла с металлической дверью  2250х2200мм (ШхВ)</t>
  </si>
  <si>
    <t>Демонтаж витража 3380х2800мм (ШхВ)  с заполнением из однослойного стекла и металла</t>
  </si>
  <si>
    <t>Демонтаж сборных колонн в пространстве витража: из двух труб  квадратных 100х100х5мм</t>
  </si>
  <si>
    <t>Демонтаж сборных колонн в пространстве витража: стальной лист  толщиной 1,5мм</t>
  </si>
  <si>
    <t>Демонтаж колонны сборной: два  швеллера №16 П</t>
  </si>
  <si>
    <t>Демонтаж балки покрытия сборной: два швеллера №16 П</t>
  </si>
  <si>
    <t>Демонтаж конструкций встроенного помещения №5 в осях Г-В/22-24</t>
  </si>
  <si>
    <t>Демонтаж плит покрытия ПК 64-12-8</t>
  </si>
  <si>
    <t>Демонтаж балок покрытия сборных: два швеллера №20П</t>
  </si>
  <si>
    <t>Демонтаж балки покрытия из швеллера №20П</t>
  </si>
  <si>
    <t>Демонтаж колонн из швеллера №18П</t>
  </si>
  <si>
    <t>Демонтаж кирпичной стены толщиной 250мм высотой 3,8м</t>
  </si>
  <si>
    <t>Демонтаж металлических дверей  2100х900мм (ШхВ)</t>
  </si>
  <si>
    <t>Устройство котлованов ниже отм.  -0.450 под специальные фундаменты для оборудования, приямки для слива воды и коммуникационные лотки</t>
  </si>
  <si>
    <t>Разработка грунта с погрузкой на самосвалы следующей глубины:  - Под Фундаменты под токарный станок ОЦ с ЧПУ 600М – 350мм,  - Под Фундаменты под токарно- фрезерный станок ОЦ с ЧПУ ТМ- 2500ST – 400мм,  - Под Фундамент для электропечи шахтной ПШО 6.20/8И1-К – 1792мм,  - Под коммуникационные лотки –  110мм,  - Под Фундаменты под многофункциональный станок ОЦ Puma SMX3100ST – 400мм,  - Под Фундамент для фрезерного с ЧПУ UMBG VMC120/604А – 200мм,  - Под Фундамент для токарного с ЧПУ  SPL330MS – 400мм,  - Приямки для слива воды – 550мм.</t>
  </si>
  <si>
    <t>Вывоз и утилизация строительного мусора (грунта) на  расстояние 47 км</t>
  </si>
  <si>
    <t>Монтаж коммуникационного лотка</t>
  </si>
  <si>
    <t>Уплотнение основания грунта вибротрамбовками послойно в 1 слой с коэффициентом уплотнения 0,98</t>
  </si>
  <si>
    <t>Укладка и уплотнение песка с  коэффициентом уплотнения 0,98 (ГОСТ 8736-93)</t>
  </si>
  <si>
    <t>Укладка и уплотнение щебня М400 с  коэффициентом уплотнения 0,98 (ГОСТ 8267-93)</t>
  </si>
  <si>
    <t>Монтаж коммуникационного лотка бетонного ЛКБ Optima 300H350</t>
  </si>
  <si>
    <t>Обмазочная гидроизоляция лотка бетонного ЛКБ Optima 300H350 мастикой Технониколь № 24 МГТН в 3  слоя, расход 1,0кг/м2 на каждый слой</t>
  </si>
  <si>
    <t>Укладка крышки стальной Aguastok КС  Optima 300 С250</t>
  </si>
  <si>
    <t>Монтаж пола</t>
  </si>
  <si>
    <t>Укладка песка толщиной 100мм (ГОСТ 8736-93) с уплотнением вибротрамбовкой, коэффициент уплотнения - 0,98</t>
  </si>
  <si>
    <t>Устройство подбетонки из бетона В7,5 толщиной 50мм</t>
  </si>
  <si>
    <t>Обмазочная гидроизоляция подбетонки мастикой гидроизоляционной Технониколь №24 МГТН в 3 слоя, расход 1,0кг/м2 на каждый слой</t>
  </si>
  <si>
    <t>Армирование подстилающих слоев бетонных</t>
  </si>
  <si>
    <t>Устройство подстилающих слоев: бетонных кл. В25 толщиной 300мм с устройством деформационных швов</t>
  </si>
  <si>
    <t>Укладка топпинга серого цвета, расход=4,0кг/м2</t>
  </si>
  <si>
    <t>Монтаж 5-ти приямков для слива  воды</t>
  </si>
  <si>
    <t>Уплотнение основания грунта  вибротрамбовками послойно в 1 слой с коэффициентом уплотнения 0,98</t>
  </si>
  <si>
    <t>Устройство железобетонных фундаментов из бетона кл. В25</t>
  </si>
  <si>
    <t>Устройство изоляционного шва вокруг фундамента из вспененного полиэтилена толщ. 8-10мм, h=1000мм</t>
  </si>
  <si>
    <t>Монтаж изолирующего шва (вдоль стен, колонн, коммуникационных лотков, фундаментов под оборудование в составе силовой плиты)</t>
  </si>
  <si>
    <t>«Устройство оснований под монтаж Шахтная электропечь для термической обработки клапанов ПШО 6.20/8И1-К»</t>
  </si>
  <si>
    <t>Укладка щебня М400 (ГОСТ 8267-93) с уплотнением послойно, общая толщина 100мм</t>
  </si>
  <si>
    <t>Устройство подбетонки из бетона кл. В7,5 толщиной 100мм</t>
  </si>
  <si>
    <t>Обмазочная гидроизоляция подбетонки мастикой гидроизоляционной  Технониколь №24 МГТН в 3 слоя, расход 1,0кг/м2 на каждый слой</t>
  </si>
  <si>
    <t>Устройство крышки канала из стали  рифленой толщиной 5мм по ГОСТ 8568- 57*</t>
  </si>
  <si>
    <t>Устройство изоляционного шва вокруг фундамента из вспененного полиэтилена толщ. 8-10мм, h=2142мм</t>
  </si>
  <si>
    <t>«Устройство оснований под монтаж Многофункциональный обрабатывающий центр с ЧПУ мод. SMX3100ST (4.ед)»</t>
  </si>
  <si>
    <t>Укладка щебня М400 (ГОСТ 8267-93) с уплотнением послойно каждые 100мм, общая толщина 200мм</t>
  </si>
  <si>
    <t>Устройство подбетонки из бетона кл. В7,5 толщиной 50мм</t>
  </si>
  <si>
    <t>Монтаж противовибрационного слоя- ВИБРОФАМ SD10(12,5)-  полиуретановый эластомер</t>
  </si>
  <si>
    <t>Формула/значение</t>
  </si>
  <si>
    <t>Площадь пола по ценовой таблице</t>
  </si>
  <si>
    <t>Должно быть 15 201 м²</t>
  </si>
  <si>
    <t>570+677+374+550+250+140+933 = 3 494 м²</t>
  </si>
  <si>
    <t>Остаток площади</t>
  </si>
  <si>
    <t>11 707 м²</t>
  </si>
  <si>
    <t>Площадь по этапам</t>
  </si>
  <si>
    <t>Договор с НДС</t>
  </si>
  <si>
    <t>Итог ценовых таблиц</t>
  </si>
  <si>
    <t>Актирование по этапам</t>
  </si>
  <si>
    <t>Должно совпадать с договором</t>
  </si>
  <si>
    <t>Разница договор - актирование</t>
  </si>
  <si>
    <t>Должна быть 0</t>
  </si>
  <si>
    <t>С учетом аванса и удержания</t>
  </si>
  <si>
    <t>5% от оплаты после зачета аванса</t>
  </si>
  <si>
    <t>ФОТ бригады с налогами</t>
  </si>
  <si>
    <t>15 человек, официальное трудоустройство</t>
  </si>
  <si>
    <t>Чистый поток после материалов и ФОТ</t>
  </si>
  <si>
    <t>После материалов, ФОТ и удержания 5%</t>
  </si>
  <si>
    <t>Проверка аванса</t>
  </si>
  <si>
    <t>Должно быть 30% от договора с НДС</t>
  </si>
  <si>
    <t>База для аванса</t>
  </si>
  <si>
    <t>Расчет 30% от договора</t>
  </si>
  <si>
    <t>Контрольная формула</t>
  </si>
  <si>
    <t>Разница по авансу</t>
  </si>
  <si>
    <t>Гарантийное удержание всего</t>
  </si>
  <si>
    <t>5% от каждого выполнения</t>
  </si>
  <si>
    <t>Поступление ДС всего</t>
  </si>
  <si>
    <t>Аванс + акты - удержание</t>
  </si>
  <si>
    <t>После материалов, ФОТ и удержания</t>
  </si>
  <si>
    <t>НДС к уплате</t>
  </si>
  <si>
    <t>Исходящий НДС минус входящий</t>
  </si>
  <si>
    <t>Налог на прибыль</t>
  </si>
  <si>
    <t>20% от прибыли</t>
  </si>
  <si>
    <t>Всего прочих налогов</t>
  </si>
  <si>
    <t>Без зарплатных налогов</t>
  </si>
  <si>
    <t>Чистый поток после ВСЕХ налогов</t>
  </si>
  <si>
    <t>После материалов, ФОТ, НДС и налога на прибыль</t>
  </si>
  <si>
    <t>Свод выполнений — сумма</t>
  </si>
  <si>
    <t>Сумма всех вкладок выполнений</t>
  </si>
  <si>
    <t>Свод выполнений — отклонение</t>
  </si>
  <si>
    <t>Должно быть 0</t>
  </si>
  <si>
    <t>Проверка циклических ссылок</t>
  </si>
  <si>
    <t>Циклы не обнаружены</t>
  </si>
  <si>
    <t>Проверено сканированием формул</t>
  </si>
  <si>
    <t>Лотки не получены от Заказчика</t>
  </si>
  <si>
    <t>Исключены из выполнения и Cash Flow</t>
  </si>
  <si>
    <t>Договор после исключения лотков</t>
  </si>
  <si>
    <t>База для аванса и поступлений</t>
  </si>
  <si>
    <t>Актирование после исключения лотков</t>
  </si>
  <si>
    <t>Сумма к получению</t>
  </si>
  <si>
    <t>Не получено по этапам</t>
  </si>
  <si>
    <t>Контроль исключенных работ</t>
  </si>
  <si>
    <t>Метод расчета выполнений</t>
  </si>
  <si>
    <t>Ресурсный</t>
  </si>
  <si>
    <t>Объем × единичная расценка</t>
  </si>
  <si>
    <t>Процентное распределение</t>
  </si>
  <si>
    <t>Отключено</t>
  </si>
  <si>
    <t>Нормализация и распределение убраны</t>
  </si>
  <si>
    <t>Циклические ссылки</t>
  </si>
  <si>
    <t>Не обнаружены</t>
  </si>
  <si>
    <t>Формулы однонаправленные</t>
  </si>
  <si>
    <t>Депозит банка</t>
  </si>
  <si>
    <t>50% удержание от аванса</t>
  </si>
  <si>
    <t>Свободный аванс</t>
  </si>
  <si>
    <t>Доступный денежный поток</t>
  </si>
  <si>
    <t>Возврат пропорционально выполнению</t>
  </si>
  <si>
    <t>Фактические поступления</t>
  </si>
  <si>
    <t>С учетом 20 дней отсрочки</t>
  </si>
  <si>
    <t>Аванс = договор к получению после исключения лотков × 30%</t>
  </si>
  <si>
    <t>Договор к получению</t>
  </si>
  <si>
    <t>50% от аванса</t>
  </si>
  <si>
    <t>Аванс минус депозит банка</t>
  </si>
  <si>
    <t>С учетом депозита и 20-дневной отсрочки</t>
  </si>
  <si>
    <t>После расходов и налогов</t>
  </si>
  <si>
    <t>Проживание ИТР, авто ИТР, доставка рабочих, питание</t>
  </si>
  <si>
    <t>Ежемесячные расходы за период</t>
  </si>
  <si>
    <t>За все месяцы проекта</t>
  </si>
  <si>
    <t>Ежемесячные расходы по строкам</t>
  </si>
  <si>
    <t>Объем = количество месяцев</t>
  </si>
  <si>
    <t>Ежемесячные расходы по месяцам</t>
  </si>
  <si>
    <t>Контроль распределения по месяцам</t>
  </si>
  <si>
    <t>Отклонение по расходам</t>
  </si>
  <si>
    <t>Мобилизация и CAPEX</t>
  </si>
  <si>
    <t>Лотки возвращены в выполнение</t>
  </si>
  <si>
    <t>Заказчик оплачивает работы по лоткам</t>
  </si>
  <si>
    <t>Не получено по лоткам</t>
  </si>
  <si>
    <t>Равен полной сумме договора</t>
  </si>
  <si>
    <t>Срок производства работ</t>
  </si>
  <si>
    <t>5 месяцев</t>
  </si>
  <si>
    <t>Июнь–Октябрь 2026</t>
  </si>
  <si>
    <t>Платежный хвост из-за отсрочки</t>
  </si>
  <si>
    <t>Оплата октябрьского выполнения через 20 календарных дней</t>
  </si>
  <si>
    <t>Ежемесячные расходы учтены</t>
  </si>
  <si>
    <t>Только в период производства 5 месяцев</t>
  </si>
  <si>
    <t>Итог ДДС</t>
  </si>
  <si>
    <t>Накопленный денежный поток</t>
  </si>
  <si>
    <t>Автоматическая проверка прямых формульных зависимостей</t>
  </si>
  <si>
    <t>Производительность</t>
  </si>
  <si>
    <t>3500 м²/мес</t>
  </si>
  <si>
    <t>План по листу Производственный план 5м</t>
  </si>
  <si>
    <t>Численность рабочих</t>
  </si>
  <si>
    <t>20 человек</t>
  </si>
  <si>
    <t>ФОТ пересчитан</t>
  </si>
  <si>
    <t>Отсрочка оплаты</t>
  </si>
  <si>
    <t>20 рабочих дней</t>
  </si>
  <si>
    <t>Платежный хвост Ноябрь 2026</t>
  </si>
  <si>
    <t>Возврат под банковскую гарантию</t>
  </si>
  <si>
    <t>Автоматическая проверка формульных зависимостей</t>
  </si>
  <si>
    <t>Материалы пересчитаны</t>
  </si>
  <si>
    <t>По ценовым таблицам и плановым объемам по месяцам</t>
  </si>
  <si>
    <t>Контроль материалов</t>
  </si>
  <si>
    <t>Отклонение от полной сметной суммы материалов с НДС</t>
  </si>
  <si>
    <t>Материалы по новой таблице</t>
  </si>
  <si>
    <t>Общая стоимость материалов с НДС</t>
  </si>
  <si>
    <t>Себестоимость без НДС</t>
  </si>
  <si>
    <t>Распределение материалов</t>
  </si>
  <si>
    <t>Распределено по плановым объемам</t>
  </si>
  <si>
    <t>Производственный план обновлен</t>
  </si>
  <si>
    <t>1500 / 2800 / 3600 / 3500 / 3801 м²</t>
  </si>
  <si>
    <t>Геодезист</t>
  </si>
  <si>
    <t>Добавлен в ежемесячные расходы</t>
  </si>
  <si>
    <t>Непредвиденные</t>
  </si>
  <si>
    <t>Добавлены в ежемесячные расходы</t>
  </si>
  <si>
    <t>1800 руб. с НДС за м³</t>
  </si>
  <si>
    <t>После всех изменений</t>
  </si>
  <si>
    <t>10 дней после подписания выполнения</t>
  </si>
  <si>
    <t>Подписание выполнения 25 числа каждого месяца</t>
  </si>
  <si>
    <t>Логика возврата депозита</t>
  </si>
  <si>
    <t>Со следующего месяца</t>
  </si>
  <si>
    <t>Июнь -&gt; возврат в июле и т.д.</t>
  </si>
  <si>
    <t>Количество рабочих</t>
  </si>
  <si>
    <t>Постоянная бригада</t>
  </si>
  <si>
    <t>Оклад на руки / день</t>
  </si>
  <si>
    <t>Чистая зарплата</t>
  </si>
  <si>
    <t>Коэффициент перевода net→gross</t>
  </si>
  <si>
    <t>НДФЛ 13%</t>
  </si>
  <si>
    <t>Начисленная зарплата / день</t>
  </si>
  <si>
    <t>До удержания НДФЛ</t>
  </si>
  <si>
    <t>Страховые взносы работодателя</t>
  </si>
  <si>
    <t>ПФР+ФСС+ОМС</t>
  </si>
  <si>
    <t>Травматизм</t>
  </si>
  <si>
    <t>0,2%</t>
  </si>
  <si>
    <t>Полная стоимость работника / день</t>
  </si>
  <si>
    <t>С налогами работодателя</t>
  </si>
  <si>
    <t>Полная стоимость бригады / день</t>
  </si>
  <si>
    <t>15 человек</t>
  </si>
  <si>
    <t>Рабочих</t>
  </si>
  <si>
    <t>Рабочих дней</t>
  </si>
  <si>
    <t>ЗП net / день</t>
  </si>
  <si>
    <t>Gross / день</t>
  </si>
  <si>
    <t>Gross ФОТ</t>
  </si>
  <si>
    <t>Страховые взносы</t>
  </si>
  <si>
    <t>ИТОГО ФОТ</t>
  </si>
  <si>
    <t>Вид работ</t>
  </si>
  <si>
    <t>Доля бригады</t>
  </si>
  <si>
    <t>Трудозатраты, %</t>
  </si>
  <si>
    <t>Демонтаж бетонного пола 300 мм</t>
  </si>
  <si>
    <t>Разработка/подготовка основания</t>
  </si>
  <si>
    <t>Устройство подбетонки</t>
  </si>
  <si>
    <t>Армирование</t>
  </si>
  <si>
    <t>Бетонирование пола</t>
  </si>
  <si>
    <t>Устройство топпинга</t>
  </si>
  <si>
    <t>Нарезка и герметизация швов</t>
  </si>
  <si>
    <t>Фундаменты и локальные зоны</t>
  </si>
  <si>
    <t>Погрузка/уборка/сопутствующие</t>
  </si>
  <si>
    <t>Ставка</t>
  </si>
  <si>
    <t>Ставка НДС по договору</t>
  </si>
  <si>
    <t>Ставка РФ с 01.01.2025 (повышена с 20%)</t>
  </si>
  <si>
    <t>НДФЛ</t>
  </si>
  <si>
    <t>Удержание из зарплаты</t>
  </si>
  <si>
    <t>Выручка без НДС</t>
  </si>
  <si>
    <t>НДС начисленный</t>
  </si>
  <si>
    <t>Материалы с НДС</t>
  </si>
  <si>
    <t>Входящий НДС материалов</t>
  </si>
  <si>
    <t>Прибыль до налога</t>
  </si>
  <si>
    <t>Всего налогов</t>
  </si>
  <si>
    <t>Работы</t>
  </si>
  <si>
    <t>Баланс до 100% от суммы без НДС</t>
  </si>
  <si>
    <t>Материалы</t>
  </si>
  <si>
    <t>Доля от суммы без НДС</t>
  </si>
  <si>
    <t>ФОТ</t>
  </si>
  <si>
    <t>Механизмы</t>
  </si>
  <si>
    <t>Накладные</t>
  </si>
  <si>
    <t>Маржа</t>
  </si>
  <si>
    <t>Ставка НДС</t>
  </si>
  <si>
    <t>Метод расчета</t>
  </si>
  <si>
    <t>Стоимость = объем × единичная расценка</t>
  </si>
  <si>
    <t>Принцип расчета</t>
  </si>
  <si>
    <t>Без процентного распределения</t>
  </si>
  <si>
    <t>Все выполнения рассчитываются прямым ресурсным методом</t>
  </si>
  <si>
    <t>Состав выполнения 01 — ресурсный метод</t>
  </si>
  <si>
    <t>Целевая сумма с НДС</t>
  </si>
  <si>
    <t>Источник состава</t>
  </si>
  <si>
    <t>Все вкладки 1 очереди</t>
  </si>
  <si>
    <t>Раздел/вкладка</t>
  </si>
  <si>
    <t>Цена с НДС / ед.</t>
  </si>
  <si>
    <t>Стоимость по объему</t>
  </si>
  <si>
    <t>Стоимость без НДС</t>
  </si>
  <si>
    <t>Проверка суммы без НДС</t>
  </si>
  <si>
    <t>Доля в выполнении</t>
  </si>
  <si>
    <t>Примечание</t>
  </si>
  <si>
    <t>К получению от Заказчика</t>
  </si>
  <si>
    <t>Статус</t>
  </si>
  <si>
    <t>демонтаж пола</t>
  </si>
  <si>
    <t>Участок 1</t>
  </si>
  <si>
    <t>К получению</t>
  </si>
  <si>
    <t>Демонтаж бетонной плиты пола из бетона кл. В25 толщиной 300мм</t>
  </si>
  <si>
    <t>Демонтаж арматуры (Пруток 1Ф-НД-16- А500С по ГОСТ 34028-2016)</t>
  </si>
  <si>
    <t>Разработка грунта (песка) глубиной 150мм с погрузкой на самосвалы</t>
  </si>
  <si>
    <t>Вывоз строительного мусора на расстояние 75 км (по адресу: МО, Раменский г.о., сельское поселение Чулковское)</t>
  </si>
  <si>
    <t>Утилизация строительного мусора (грунта)</t>
  </si>
  <si>
    <t>земляные работы</t>
  </si>
  <si>
    <t>Итог выполнения к получению</t>
  </si>
  <si>
    <t>Полная расчетная сумма</t>
  </si>
  <si>
    <t>Состав выполнения 02 — ресурсный метод</t>
  </si>
  <si>
    <t>Участок 2</t>
  </si>
  <si>
    <t>Состав выполнения 03 — ресурсный метод</t>
  </si>
  <si>
    <t>Участок 3</t>
  </si>
  <si>
    <t>Состав выполнения 04 — ресурсный метод</t>
  </si>
  <si>
    <t>Участок 4</t>
  </si>
  <si>
    <t>Состав выполнения 05 — ресурсный метод</t>
  </si>
  <si>
    <t>Участок 5</t>
  </si>
  <si>
    <t>Состав выполнения 06 — ресурсный метод</t>
  </si>
  <si>
    <t>Участок 6</t>
  </si>
  <si>
    <t>Состав выполнения 07 — ресурсный метод</t>
  </si>
  <si>
    <t>Участок 7</t>
  </si>
  <si>
    <t>Состав выполнения 08 — ресурсный метод</t>
  </si>
  <si>
    <t>Ценовая таблица, пропорционально площади захватки</t>
  </si>
  <si>
    <t>Ресурсный расчет: объем × расценка</t>
  </si>
  <si>
    <t>Состав выполнения 09 — ресурсный метод</t>
  </si>
  <si>
    <t>Состав выполнения 10 — ресурсный метод</t>
  </si>
  <si>
    <t>№</t>
  </si>
  <si>
    <t>Выполнение</t>
  </si>
  <si>
    <t>Лист</t>
  </si>
  <si>
    <t>Площадь м²</t>
  </si>
  <si>
    <t>Итого по составу</t>
  </si>
  <si>
    <t>Целевая сумма</t>
  </si>
  <si>
    <t>Отклонение</t>
  </si>
  <si>
    <t>Не получено</t>
  </si>
  <si>
    <t>Вып 01</t>
  </si>
  <si>
    <t>Вып 02</t>
  </si>
  <si>
    <t>Вып 03</t>
  </si>
  <si>
    <t>Вып 04</t>
  </si>
  <si>
    <t>Вып 05</t>
  </si>
  <si>
    <t>Вып 06</t>
  </si>
  <si>
    <t>Вып 07</t>
  </si>
  <si>
    <t>Вып 08</t>
  </si>
  <si>
    <t>Вып 09</t>
  </si>
  <si>
    <t>Вып 10</t>
  </si>
  <si>
    <t>Лист выполнения</t>
  </si>
  <si>
    <t>Сумма с НДС</t>
  </si>
  <si>
    <t>Оплачивается Заказчиком</t>
  </si>
  <si>
    <t>Возвращено в выполнение и Cash Flow</t>
  </si>
  <si>
    <t>ИТОГО ЛОТКИ ВОЗВРАЩЕНЫ В ВЫПОЛНЕНИЕ</t>
  </si>
  <si>
    <t>К оплате</t>
  </si>
  <si>
    <t>Параметр</t>
  </si>
  <si>
    <t>30%</t>
  </si>
  <si>
    <t>Рассчитывается от договора к получению после исключения лотков</t>
  </si>
  <si>
    <t>Банковская гарантия</t>
  </si>
  <si>
    <t>Да</t>
  </si>
  <si>
    <t>Для получения аванса</t>
  </si>
  <si>
    <t>Удерживается банком</t>
  </si>
  <si>
    <t>Доступен проекту после депозита</t>
  </si>
  <si>
    <t>Пропорционально выполнению</t>
  </si>
  <si>
    <t>Освобождение по мере подписания выполнений</t>
  </si>
  <si>
    <t>Оплата Заказчика</t>
  </si>
  <si>
    <t>20 календарных дней</t>
  </si>
  <si>
    <t>После подписания выполнения</t>
  </si>
  <si>
    <t>5%</t>
  </si>
  <si>
    <t>С каждого выполнения</t>
  </si>
  <si>
    <t>Для завершения работ за 5 месяцев</t>
  </si>
  <si>
    <t>Увеличена по указанию пользователя</t>
  </si>
  <si>
    <t>По итогам работ под банковскую гарантию</t>
  </si>
  <si>
    <t>Ежемесячные расходы: срок производства 5 месяцев</t>
  </si>
  <si>
    <t>№ п/п</t>
  </si>
  <si>
    <t>Наименование</t>
  </si>
  <si>
    <t>Кол-во месяцев</t>
  </si>
  <si>
    <t>Цена за месяц</t>
  </si>
  <si>
    <t>Итого за период</t>
  </si>
  <si>
    <t>Начальный месяц</t>
  </si>
  <si>
    <t>Конечный месяц</t>
  </si>
  <si>
    <t>Проживание ИТР</t>
  </si>
  <si>
    <t>Расход на период производства</t>
  </si>
  <si>
    <t>Аренда авто ИТР</t>
  </si>
  <si>
    <t>Доставка рабочих на объект</t>
  </si>
  <si>
    <t>Питание рабочих</t>
  </si>
  <si>
    <t>Непредвиденные затраты</t>
  </si>
  <si>
    <t>ИТОГО ЗА ПЕРИОД</t>
  </si>
  <si>
    <t>Итого расходов</t>
  </si>
  <si>
    <t>Разовые мобилизационные и капитальные затраты</t>
  </si>
  <si>
    <t>Объем</t>
  </si>
  <si>
    <t>Цена за единицу</t>
  </si>
  <si>
    <t>Итого</t>
  </si>
  <si>
    <t>Месяц списания</t>
  </si>
  <si>
    <t>Покупка бытовок</t>
  </si>
  <si>
    <t>Разовый расход</t>
  </si>
  <si>
    <t>Покупка бобкета</t>
  </si>
  <si>
    <t>аренда JCB на монтаж старых фундаментов</t>
  </si>
  <si>
    <t>Инструмент рабочим</t>
  </si>
  <si>
    <t>Обустройство арматурного цеха</t>
  </si>
  <si>
    <t>Стоимость не определена</t>
  </si>
  <si>
    <t>Гибочный станок</t>
  </si>
  <si>
    <t>Рубочный станок</t>
  </si>
  <si>
    <t>Перфораторы</t>
  </si>
  <si>
    <t>Разработка ППР</t>
  </si>
  <si>
    <t>Спецодежда ИТР</t>
  </si>
  <si>
    <t>Спецодежда рабочим</t>
  </si>
  <si>
    <t>ИТОГО РАЗОВЫЕ ЗАТРАТЫ</t>
  </si>
  <si>
    <t>Финансовые показатели проекта — 5 месяцев производства</t>
  </si>
  <si>
    <t>Контрактная выручка</t>
  </si>
  <si>
    <t>Чистый денежный поток (после всех затрат)</t>
  </si>
  <si>
    <t>Итоговый ДДС</t>
  </si>
  <si>
    <t>Производственный план: фактический план по месяцам</t>
  </si>
  <si>
    <t>Плановая площадь, м²</t>
  </si>
  <si>
    <t>Производительность, м²/мес</t>
  </si>
  <si>
    <t>Доля площади</t>
  </si>
  <si>
    <t>Контроль</t>
  </si>
  <si>
    <t>Стартовый месяц по уточненному графику</t>
  </si>
  <si>
    <t>Уточненный месячный объем</t>
  </si>
  <si>
    <t>Завершение производства 31.10.2026</t>
  </si>
  <si>
    <t>Проверка модели</t>
  </si>
  <si>
    <t>Ячейка</t>
  </si>
  <si>
    <t>Проверка / исправление</t>
  </si>
  <si>
    <t>Сводный CashFlow</t>
  </si>
  <si>
    <t>A19:Z26</t>
  </si>
  <si>
    <t>Пересобраны формулы Cash Flow на 5 месяцев производства + ноябрьский платежный хвост</t>
  </si>
  <si>
    <t>Исправлено / OK</t>
  </si>
  <si>
    <t>Производственный план 5м</t>
  </si>
  <si>
    <t>B4:F9</t>
  </si>
  <si>
    <t>Проверен план 3500 м²/мес и остаток последнего месяца</t>
  </si>
  <si>
    <t>ДДС</t>
  </si>
  <si>
    <t>лист полностью</t>
  </si>
  <si>
    <t>Пересобран ДДС от финального листа Сводный CashFlow</t>
  </si>
  <si>
    <t>Проверка формул</t>
  </si>
  <si>
    <t>вся книга</t>
  </si>
  <si>
    <t>Циклические зависимости не обнаружены</t>
  </si>
  <si>
    <t>Итог</t>
  </si>
  <si>
    <t>Сквозная проверка ссылок и циклов — без замечаний</t>
  </si>
  <si>
    <t>OK</t>
  </si>
  <si>
    <t>Материалы по месяцам</t>
  </si>
  <si>
    <t>Пересчитаны по формулам: сметные количества × плановая площадь месяца / общая площадь × материал за единицу</t>
  </si>
  <si>
    <t>Вся книга</t>
  </si>
  <si>
    <t>Обновление</t>
  </si>
  <si>
    <t>Производственный план / расходы / утилизация</t>
  </si>
  <si>
    <t>Внесены новые месячные объемы, геодезист, непредвиденные, утилизация 1800 руб./м³</t>
  </si>
  <si>
    <t>Налоги</t>
  </si>
  <si>
    <t>Налоги по месяцам</t>
  </si>
  <si>
    <t>Исправлены формулы НДС, налога на прибыль и связей с Cash Flow</t>
  </si>
  <si>
    <t>R22:R26</t>
  </si>
  <si>
    <t>Исправлено: вычтено гарантийное удержание 5% из оплат с отсрочкой (двойной учёт устранён)</t>
  </si>
  <si>
    <t>Исправлено</t>
  </si>
  <si>
    <t>Q26</t>
  </si>
  <si>
    <t>Добавлен возврат депозита банка за октябрьское актирование в ноябре (~15,2 млн ₽)</t>
  </si>
  <si>
    <t>Налоги - допущения</t>
  </si>
  <si>
    <t>B3</t>
  </si>
  <si>
    <t>Ставка налога на прибыль обновлена: 20% → 25% (РФ с 01.01.2025)</t>
  </si>
  <si>
    <t>ФОТ по видам работ</t>
  </si>
  <si>
    <t>D2:D10</t>
  </si>
  <si>
    <t>Исправлена ссылка на ИТОГО ФОТ: I9 → I7</t>
  </si>
  <si>
    <t>Финансовый анализ</t>
  </si>
  <si>
    <t>B7</t>
  </si>
  <si>
    <t>Ссылка перенаправлена с E8 (Геодезист) на E10 (ИТОГО ежемесячных)</t>
  </si>
  <si>
    <t>B9</t>
  </si>
  <si>
    <t>Битая ссылка ДДС!J22 заменена на чистый поток после всех затрат</t>
  </si>
  <si>
    <t>Материалы — себестоимость по приложенной таблице</t>
  </si>
  <si>
    <t>Материал</t>
  </si>
  <si>
    <t>Ед</t>
  </si>
  <si>
    <t>Количество</t>
  </si>
  <si>
    <t>Цена_с_НДС</t>
  </si>
  <si>
    <t>Цена_без_НДС</t>
  </si>
  <si>
    <t>Всего_с_НДС</t>
  </si>
  <si>
    <t>Всего_без_НДС</t>
  </si>
  <si>
    <t>Расход мастики на один слой не более 1 кг/м2</t>
  </si>
  <si>
    <t xml:space="preserve">Крышка чугунная КЧ Optima 300 D400 вес 17,9 кг. 2 крышки на один лоток </t>
  </si>
  <si>
    <t>1-450 Sikafloor SynTop-450 (MasterTop 450) Natural 30 кг 73 230 кг. на 18 301 м2  цена за кг 40,30 руб.  2-Средство для последующего ухода за бетоном Sikafloor® CC
721 (MasterTop C721) (бочка 170 кг) 1 870 кг на 18 301 м2 цена за кг. 707,17 руб.</t>
  </si>
  <si>
    <t xml:space="preserve">Шпаклевка цементная Боларс выравнивающая белая 25 кг Для приготовления 22 м³ готовой шпаклёвочной смеси потребуется примерно:
1400–1450 мешков по 25 кг
ориентировочно 1410 мешков — рабочий расчёт стоимость одного мешка 682 р. </t>
  </si>
  <si>
    <t>718 Герметик полиуретановый Sikaflex-718 Concrete Joint
(серый) (0,6 л)</t>
  </si>
  <si>
    <t>QTP 1000 Эпоксидная грунтовка (24,4 кг)</t>
  </si>
  <si>
    <t>QTP® 4571 Высокоэластичный термостойкий полимерный
состав (комплект 21,8кг</t>
  </si>
  <si>
    <t>отсутствует в СО РД</t>
  </si>
  <si>
    <t>ИТОГО руб с НДС</t>
  </si>
  <si>
    <t>Распределение материалов по месяцам по таблице себестоимости</t>
  </si>
  <si>
    <t>Цена материалов на 1 м²</t>
  </si>
  <si>
    <t>Накопительно</t>
  </si>
  <si>
    <t>Утилизация демонтажа пола</t>
  </si>
  <si>
    <t>Толщина пола, м</t>
  </si>
  <si>
    <t>Объем демонтажа, м³</t>
  </si>
  <si>
    <t>Ставка утилизации с НДС, ₽/м³</t>
  </si>
  <si>
    <t>Утилизация демонтированного пола 300 мм</t>
  </si>
  <si>
    <t>Движение денежных средств (ДДС): обновлено по материалам, утилизации и расходам</t>
  </si>
  <si>
    <t>Статья ДДС</t>
  </si>
  <si>
    <t>ПОСТУПЛЕНИЯ</t>
  </si>
  <si>
    <t>Аванс от Заказчика</t>
  </si>
  <si>
    <t>Оплата выполнений с отсрочкой 20 рабочих дней</t>
  </si>
  <si>
    <t>Возврат гарантийного удержания под БГ</t>
  </si>
  <si>
    <t>ИТОГО ПОСТУПЛЕНИЯ</t>
  </si>
  <si>
    <t>РАСХОДЫ</t>
  </si>
  <si>
    <t>ИТОГО РАСХОДЫ</t>
  </si>
  <si>
    <t>ФИНАНСОВЫЕ ПОТОКИ</t>
  </si>
  <si>
    <t>Депозит, удержанный банком</t>
  </si>
  <si>
    <t>ЧИСТЫЙ ДЕНЕЖНЫЙ ПОТОК</t>
  </si>
  <si>
    <t>НАКОПЛЕННЫЙ ДЕНЕЖНЫЙ ПОТОК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</si>
</sst>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[Red]\(#,##0.00\);\-"/>
    <numFmt numFmtId="165" formatCode="#,##0.00&quot; ₽&quot;;[Red]\(#,##0.00&quot; ₽)&quot;;\-"/>
    <numFmt numFmtId="166" formatCode="0.0%"/>
  </numFmts>
  <fonts count="9" x14ac:knownFonts="1">
    <font>
      <sz val="11"/>
      <color theme="1"/>
      <name val="Calibri"/>
      <family val="2"/>
      <charset val="1"/>
    </font>
    <font>
      <b/>
      <sz val="14"/>
      <name val="Cambria"/>
      <family val="1"/>
      <charset val="204"/>
    </font>
    <font>
      <b/>
      <sz val="11"/>
      <name val="Cambria"/>
      <family val="1"/>
      <charset val="204"/>
    </font>
    <font>
      <sz val="11"/>
      <color rgb="FF0000FF"/>
      <name val="Cambria"/>
      <family val="1"/>
      <charset val="204"/>
    </font>
    <font>
      <sz val="11"/>
      <color rgb="FF000000"/>
      <name val="Cambria"/>
      <family val="1"/>
      <charset val="204"/>
    </font>
    <font>
      <b/>
      <sz val="11"/>
      <color rgb="FFFFFFFF"/>
      <name val="Cambria"/>
      <family val="1"/>
      <charset val="204"/>
    </font>
    <font>
      <sz val="10"/>
      <name val="Arial"/>
      <family val="2"/>
    </font>
    <font>
      <b/>
      <sz val="15"/>
      <name val="Cambria"/>
      <family val="1"/>
      <charset val="204"/>
    </font>
    <font>
      <b/>
      <sz val="16"/>
      <name val="Cambria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E2F0D9"/>
      </patternFill>
    </fill>
    <fill>
      <patternFill patternType="solid">
        <fgColor rgb="FF1F4E78"/>
        <bgColor rgb="FF003366"/>
      </patternFill>
    </fill>
    <fill>
      <patternFill patternType="solid">
        <fgColor rgb="FFE2F0D9"/>
        <bgColor rgb="FFFFF2CC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164" fontId="0" fillId="0" borderId="0" xfId="0" applyNumberFormat="1"/>
    <xf numFmtId="165" fontId="0" fillId="0" borderId="0" xfId="0" applyNumberFormat="1"/>
    <xf numFmtId="166" fontId="3" fillId="2" borderId="0" xfId="0" applyNumberFormat="1" applyFont="1" applyFill="1"/>
    <xf numFmtId="165" fontId="4" fillId="0" borderId="0" xfId="0" applyNumberFormat="1" applyFont="1"/>
    <xf numFmtId="0" fontId="2" fillId="2" borderId="0" xfId="0" applyFont="1" applyFill="1"/>
    <xf numFmtId="0" fontId="3" fillId="2" borderId="0" xfId="0" applyFont="1" applyFill="1"/>
    <xf numFmtId="165" fontId="0" fillId="2" borderId="0" xfId="0" applyNumberFormat="1" applyFill="1"/>
    <xf numFmtId="0" fontId="5" fillId="3" borderId="0" xfId="0" applyFont="1" applyFill="1" applyAlignment="1">
      <alignment horizontal="center" vertical="center" wrapText="1"/>
    </xf>
    <xf numFmtId="165" fontId="2" fillId="4" borderId="0" xfId="0" applyNumberFormat="1" applyFont="1" applyFill="1"/>
    <xf numFmtId="165" fontId="2" fillId="0" borderId="0" xfId="0" applyNumberFormat="1" applyFont="1"/>
    <xf numFmtId="0" fontId="5" fillId="3" borderId="0" xfId="0" applyFont="1" applyFill="1" applyAlignment="1">
      <alignment horizontal="center" wrapText="1"/>
    </xf>
    <xf numFmtId="0" fontId="2" fillId="4" borderId="0" xfId="0" applyFont="1" applyFill="1"/>
    <xf numFmtId="164" fontId="2" fillId="4" borderId="0" xfId="0" applyNumberFormat="1" applyFont="1" applyFill="1"/>
    <xf numFmtId="0" fontId="5" fillId="3" borderId="0" xfId="0" applyFont="1" applyFill="1"/>
    <xf numFmtId="0" fontId="0" fillId="2" borderId="0" xfId="0" applyFill="1"/>
    <xf numFmtId="0" fontId="3" fillId="0" borderId="0" xfId="0" applyFont="1"/>
    <xf numFmtId="166" fontId="0" fillId="0" borderId="0" xfId="0" applyNumberFormat="1"/>
    <xf numFmtId="166" fontId="2" fillId="4" borderId="0" xfId="0" applyNumberFormat="1" applyFont="1" applyFill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164" fontId="2" fillId="0" borderId="0" xfId="0" applyNumberFormat="1" applyFont="1"/>
    <xf numFmtId="0" fontId="5" fillId="0" borderId="0" xfId="0" applyFont="1" applyAlignment="1">
      <alignment horizontal="center" vertical="center" wrapText="1"/>
    </xf>
    <xf numFmtId="165" fontId="5" fillId="3" borderId="0" xfId="0" applyNumberFormat="1" applyFont="1" applyFill="1" applyAlignment="1">
      <alignment horizontal="center" vertical="center" wrapText="1"/>
    </xf>
    <xf numFmtId="0" fontId="7" fillId="0" borderId="0" xfId="0" applyFont="1"/>
    <xf numFmtId="0" fontId="0" fillId="4" borderId="0" xfId="0" applyFill="1"/>
    <xf numFmtId="0" fontId="0" fillId="0" borderId="0" xfId="0" applyAlignment="1">
      <alignment wrapText="1"/>
    </xf>
    <xf numFmtId="2" fontId="0" fillId="0" borderId="0" xfId="0" applyNumberFormat="1"/>
    <xf numFmtId="2" fontId="2" fillId="4" borderId="0" xfId="0" applyNumberFormat="1" applyFont="1" applyFill="1"/>
    <xf numFmtId="0" fontId="1" fillId="0" borderId="0" xfId="0" applyFont="1"/>
    <xf numFmtId="0" fontId="8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78787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A7EBB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ru-RU" sz="1800" b="1" strike="noStrike" spc="-1">
                <a:solidFill>
                  <a:srgbClr val="000000"/>
                </a:solidFill>
                <a:latin typeface="Calibri"/>
              </a:rPr>
              <a:t>Накопительный чистый поток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'Сводный CashFlow'!$K$15</c:f>
              <c:strCache>
                <c:ptCount val="1"/>
              </c:strCache>
            </c:strRef>
          </c:tx>
          <c:spPr>
            <a:ln w="28440">
              <a:solidFill>
                <a:srgbClr val="4A7EBB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'Сводный CashFlow'!$A$16:$A$22</c:f>
              <c:strCache>
                <c:ptCount val="7"/>
                <c:pt idx="0">
                  <c:v>Подписание выполнения</c:v>
                </c:pt>
                <c:pt idx="1">
                  <c:v>Возврат депозита банка</c:v>
                </c:pt>
                <c:pt idx="2">
                  <c:v>Завершение производства работ</c:v>
                </c:pt>
                <c:pt idx="3">
                  <c:v>Платежный хвост</c:v>
                </c:pt>
                <c:pt idx="4">
                  <c:v>Период</c:v>
                </c:pt>
                <c:pt idx="5">
                  <c:v>Июнь 2026</c:v>
                </c:pt>
                <c:pt idx="6">
                  <c:v>Июль 2026</c:v>
                </c:pt>
              </c:strCache>
            </c:strRef>
          </c:cat>
          <c:val>
            <c:numRef>
              <c:f>'Сводный CashFlow'!$K$16:$K$22</c:f>
              <c:numCache>
                <c:formatCode>General</c:formatCode>
                <c:ptCount val="7"/>
                <c:pt idx="3">
                  <c:v>0</c:v>
                </c:pt>
                <c:pt idx="4" formatCode="#\ ##0.00&quot; ₽&quot;;[Red]\(#\ ##0.00&quot; ₽)&quot;;\-">
                  <c:v>0</c:v>
                </c:pt>
                <c:pt idx="5" formatCode="#\ ##0.00&quot; ₽&quot;;[Red]\(#\ ##0.00&quot; ₽)&quot;;\-">
                  <c:v>6811719.8587807436</c:v>
                </c:pt>
                <c:pt idx="6" formatCode="#\ ##0.00&quot; ₽&quot;;[Red]\(#\ ##0.00&quot; ₽)&quot;;\-">
                  <c:v>13729124.196160829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7B3-40E9-8FEF-72E047819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17633333"/>
        <c:axId val="92633653"/>
      </c:lineChart>
      <c:catAx>
        <c:axId val="1763333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92633653"/>
        <c:crosses val="autoZero"/>
        <c:auto val="1"/>
        <c:lblAlgn val="ctr"/>
        <c:lblOffset val="100"/>
        <c:noMultiLvlLbl val="0"/>
      </c:catAx>
      <c:valAx>
        <c:axId val="92633653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.00&quot; ₽&quot;;[Red]\(#,##0.00&quot; ₽)&quot;;\-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17633333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</xdr:row>
      <xdr:rowOff>160560</xdr:rowOff>
    </xdr:from>
    <xdr:to>
      <xdr:col>15</xdr:col>
      <xdr:colOff>1107360</xdr:colOff>
      <xdr:row>16</xdr:row>
      <xdr:rowOff>182160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8A354A20-2360-4EDD-95B8-E844C4A828F9}">
  <we:reference id="wa200009404" version="1.0.0.8" store="en-US" storeType="OMEX"/>
  <we:alternateReferences>
    <we:reference id="wa200009404" version="1.0.0.8" store="en-US" storeType="OMEX"/>
  </we:alternateReferences>
  <we:properties>
    <we:property name="claude.fileId" value="&quot;a61995af-d7d7-414a-95bb-b839845f790e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27"/>
  <sheetViews>
    <sheetView showGridLines="0" zoomScale="70" zoomScaleNormal="70" workbookViewId="0">
      <pane ySplit="1" topLeftCell="A11" activePane="bottomLeft" state="frozen"/>
      <selection pane="bottomLeft" activeCell="C14" sqref="C14"/>
    </sheetView>
  </sheetViews>
  <sheetFormatPr defaultColWidth="8.7109375" defaultRowHeight="15" x14ac:dyDescent="0.25"/>
  <cols>
    <col min="1" max="1" width="48.5703125" bestFit="1" customWidth="1"/>
    <col min="2" max="27" width="22" customWidth="1"/>
  </cols>
  <sheetData>
    <row r="1" spans="1:11" ht="17.25" customHeight="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3" spans="1:11" ht="15" customHeight="1" x14ac:dyDescent="0.25">
      <c r="A3" s="1" t="s">
        <v>1</v>
      </c>
      <c r="B3" s="2">
        <v>15201</v>
      </c>
    </row>
    <row r="4" spans="1:11" ht="15" customHeight="1" x14ac:dyDescent="0.25">
      <c r="A4" s="1" t="s">
        <v>2</v>
      </c>
      <c r="B4" s="2">
        <v>3494</v>
      </c>
    </row>
    <row r="5" spans="1:11" ht="15" customHeight="1" x14ac:dyDescent="0.25">
      <c r="A5" s="1" t="s">
        <v>3</v>
      </c>
      <c r="B5" s="2">
        <f>B3-B4</f>
        <v>11707</v>
      </c>
    </row>
    <row r="6" spans="1:11" ht="15" customHeight="1" x14ac:dyDescent="0.25">
      <c r="A6" s="1" t="s">
        <v>4</v>
      </c>
      <c r="B6" s="3">
        <v>332632856.83310002</v>
      </c>
    </row>
    <row r="7" spans="1:11" ht="15" customHeight="1" x14ac:dyDescent="0.25">
      <c r="A7" s="1" t="s">
        <v>5</v>
      </c>
      <c r="B7" s="3">
        <v>73179228.503281996</v>
      </c>
    </row>
    <row r="8" spans="1:11" ht="15" customHeight="1" x14ac:dyDescent="0.25">
      <c r="A8" s="1" t="s">
        <v>6</v>
      </c>
      <c r="B8" s="3">
        <v>405812085.33638197</v>
      </c>
    </row>
    <row r="9" spans="1:11" ht="15" customHeight="1" x14ac:dyDescent="0.25">
      <c r="A9" s="1" t="s">
        <v>7</v>
      </c>
      <c r="B9" s="4">
        <v>0.3</v>
      </c>
    </row>
    <row r="10" spans="1:11" ht="15" customHeight="1" x14ac:dyDescent="0.25">
      <c r="A10" s="1" t="s">
        <v>8</v>
      </c>
      <c r="B10" s="4">
        <v>0.05</v>
      </c>
    </row>
    <row r="11" spans="1:11" ht="15" customHeight="1" x14ac:dyDescent="0.25">
      <c r="A11" s="1" t="s">
        <v>9</v>
      </c>
      <c r="B11" s="5">
        <f>B8*B9</f>
        <v>121743625.60091458</v>
      </c>
    </row>
    <row r="12" spans="1:11" ht="15" customHeight="1" x14ac:dyDescent="0.25">
      <c r="A12" s="6" t="s">
        <v>10</v>
      </c>
      <c r="B12" s="4">
        <v>0.5</v>
      </c>
    </row>
    <row r="13" spans="1:11" ht="15" customHeight="1" x14ac:dyDescent="0.25">
      <c r="A13" s="6" t="s">
        <v>11</v>
      </c>
      <c r="B13" s="3">
        <f>B11*B12</f>
        <v>60871812.800457291</v>
      </c>
    </row>
    <row r="14" spans="1:11" ht="15" customHeight="1" x14ac:dyDescent="0.25">
      <c r="A14" s="6" t="s">
        <v>12</v>
      </c>
      <c r="B14" s="3">
        <f>B11-B13</f>
        <v>60871812.800457291</v>
      </c>
    </row>
    <row r="15" spans="1:11" ht="15" customHeight="1" x14ac:dyDescent="0.25">
      <c r="A15" s="6" t="s">
        <v>13</v>
      </c>
      <c r="B15" s="7">
        <v>20</v>
      </c>
    </row>
    <row r="16" spans="1:11" ht="15" customHeight="1" x14ac:dyDescent="0.25">
      <c r="A16" s="6" t="s">
        <v>14</v>
      </c>
      <c r="B16" t="s">
        <v>15</v>
      </c>
    </row>
    <row r="17" spans="1:39" ht="15" customHeight="1" x14ac:dyDescent="0.25">
      <c r="A17" s="6" t="s">
        <v>16</v>
      </c>
      <c r="B17" s="8" t="s">
        <v>17</v>
      </c>
    </row>
    <row r="18" spans="1:39" ht="15" customHeight="1" x14ac:dyDescent="0.25">
      <c r="A18" s="6" t="s">
        <v>18</v>
      </c>
      <c r="B18" s="3" t="s">
        <v>19</v>
      </c>
    </row>
    <row r="19" spans="1:39" ht="41.25" customHeight="1" x14ac:dyDescent="0.25">
      <c r="A19" s="9" t="s">
        <v>20</v>
      </c>
      <c r="B19" s="9" t="s">
        <v>21</v>
      </c>
      <c r="C19" s="9" t="s">
        <v>22</v>
      </c>
      <c r="D19" s="9" t="s">
        <v>23</v>
      </c>
      <c r="E19" s="9" t="s">
        <v>24</v>
      </c>
      <c r="F19" s="9" t="s">
        <v>25</v>
      </c>
      <c r="G19" s="9" t="s">
        <v>26</v>
      </c>
      <c r="H19" s="9" t="s">
        <v>27</v>
      </c>
      <c r="I19" s="9" t="s">
        <v>28</v>
      </c>
      <c r="J19" s="9" t="s">
        <v>29</v>
      </c>
      <c r="K19" s="9" t="s">
        <v>30</v>
      </c>
      <c r="L19" s="9" t="s">
        <v>31</v>
      </c>
      <c r="M19" s="9" t="s">
        <v>32</v>
      </c>
      <c r="N19" s="9" t="s">
        <v>33</v>
      </c>
      <c r="O19" s="9" t="s">
        <v>34</v>
      </c>
      <c r="P19" s="9" t="s">
        <v>35</v>
      </c>
      <c r="Q19" s="9" t="s">
        <v>36</v>
      </c>
      <c r="R19" s="9" t="s">
        <v>37</v>
      </c>
      <c r="S19" s="9" t="s">
        <v>38</v>
      </c>
      <c r="T19" s="9" t="s">
        <v>39</v>
      </c>
      <c r="U19" s="9" t="s">
        <v>40</v>
      </c>
      <c r="V19" s="9" t="s">
        <v>41</v>
      </c>
      <c r="W19" s="9" t="s">
        <v>42</v>
      </c>
      <c r="X19" s="9" t="s">
        <v>43</v>
      </c>
      <c r="Y19" s="9" t="s">
        <v>44</v>
      </c>
      <c r="Z19" s="9" t="s">
        <v>45</v>
      </c>
      <c r="AA19" s="9" t="s">
        <v>46</v>
      </c>
    </row>
    <row r="20" spans="1:39" ht="15" customHeight="1" x14ac:dyDescent="0.25">
      <c r="A20" t="s">
        <v>47</v>
      </c>
      <c r="B20" s="3" t="s">
        <v>48</v>
      </c>
      <c r="C20" s="3" t="s">
        <v>22</v>
      </c>
      <c r="D20" s="3" t="s">
        <v>23</v>
      </c>
      <c r="E20" s="3" t="s">
        <v>24</v>
      </c>
      <c r="F20" s="3" t="s">
        <v>25</v>
      </c>
      <c r="G20" s="3" t="s">
        <v>26</v>
      </c>
      <c r="H20" s="3" t="s">
        <v>27</v>
      </c>
      <c r="I20" s="3" t="s">
        <v>28</v>
      </c>
      <c r="J20" s="3" t="s">
        <v>29</v>
      </c>
      <c r="K20" s="3" t="s">
        <v>30</v>
      </c>
      <c r="L20" s="3" t="s">
        <v>31</v>
      </c>
      <c r="M20" s="3" t="s">
        <v>32</v>
      </c>
      <c r="N20" s="3" t="s">
        <v>33</v>
      </c>
      <c r="O20" s="3" t="s">
        <v>34</v>
      </c>
      <c r="P20" s="3" t="s">
        <v>35</v>
      </c>
      <c r="Q20" s="3" t="s">
        <v>36</v>
      </c>
      <c r="R20" s="3" t="s">
        <v>37</v>
      </c>
      <c r="S20" s="3" t="s">
        <v>38</v>
      </c>
      <c r="T20" s="3" t="s">
        <v>39</v>
      </c>
      <c r="U20" s="3" t="s">
        <v>40</v>
      </c>
      <c r="V20" s="3" t="s">
        <v>41</v>
      </c>
      <c r="W20" s="3" t="s">
        <v>42</v>
      </c>
      <c r="X20" s="3" t="s">
        <v>43</v>
      </c>
      <c r="Y20" s="3" t="s">
        <v>44</v>
      </c>
      <c r="Z20" s="3" t="s">
        <v>45</v>
      </c>
      <c r="AA20" s="3" t="s">
        <v>46</v>
      </c>
    </row>
    <row r="21" spans="1:39" ht="15" customHeight="1" x14ac:dyDescent="0.25">
      <c r="A21" t="s">
        <v>49</v>
      </c>
      <c r="B21" s="3">
        <f>'Производственный план 5м'!E4</f>
        <v>40044610.749593653</v>
      </c>
      <c r="C21" s="3">
        <f t="shared" ref="C21:C26" si="0">IF(A21="Июнь 2026",$B$11,0)</f>
        <v>121743625.60091458</v>
      </c>
      <c r="D21" s="3">
        <f t="shared" ref="D21:D26" si="1">B21*$B$9</f>
        <v>12013383.224878095</v>
      </c>
      <c r="E21" s="3">
        <f t="shared" ref="E21:E26" si="2">B21-D21</f>
        <v>28031227.524715558</v>
      </c>
      <c r="F21" s="3">
        <f t="shared" ref="F21:F26" si="3">B21*$B$10</f>
        <v>2002230.5374796828</v>
      </c>
      <c r="G21" s="3">
        <f t="shared" ref="G21:G26" si="4">C21+E21-F21</f>
        <v>147772622.58815047</v>
      </c>
      <c r="H21" s="3">
        <f>'Материалы по месяцам'!C35</f>
        <v>18348275.562237624</v>
      </c>
      <c r="I21" s="3">
        <f>SUMIF('ФОТ по месяцам'!$A:$A,A21,'ФОТ по месяцам'!$I:$I)</f>
        <v>4938620.6896551698</v>
      </c>
      <c r="J21" s="3">
        <f t="shared" ref="J21:J26" si="5">H21+I21</f>
        <v>23286896.251892794</v>
      </c>
      <c r="K21" s="3">
        <f>'Налоги по месяцам'!K2</f>
        <v>6811719.8587807436</v>
      </c>
      <c r="L21" s="3">
        <f t="shared" ref="L21:L26" si="6">J21+K21</f>
        <v>30098616.110673539</v>
      </c>
      <c r="M21" s="3">
        <f t="shared" ref="M21:M26" si="7">T21-L21</f>
        <v>30773196.689783752</v>
      </c>
      <c r="N21" s="3">
        <f>T21</f>
        <v>60871812.800457291</v>
      </c>
      <c r="O21" s="3">
        <f>M21</f>
        <v>30773196.689783752</v>
      </c>
      <c r="P21" s="3">
        <f t="shared" ref="P21:P26" si="8">IF(A21="Июнь 2026",$B$13,0)</f>
        <v>60871812.800457291</v>
      </c>
      <c r="Q21" s="3">
        <v>0</v>
      </c>
      <c r="R21" s="3">
        <v>0</v>
      </c>
      <c r="S21" s="3">
        <v>0</v>
      </c>
      <c r="T21" s="3">
        <f t="shared" ref="T21:T26" si="9">C21-P21+Q21+R21+S21</f>
        <v>60871812.800457291</v>
      </c>
      <c r="U21" s="3">
        <f>SUMIF('Ежемесячные расходы'!$A:$A,A21,'Ежемесячные расходы'!$H:$H)</f>
        <v>1351900</v>
      </c>
      <c r="V21" s="3">
        <f>'Утилизация демонтажа'!F4</f>
        <v>810000</v>
      </c>
      <c r="W21" s="3">
        <f t="shared" ref="W21:W26" si="10">L21+U21+V21</f>
        <v>32260516.110673539</v>
      </c>
      <c r="X21" s="3">
        <f t="shared" ref="X21:X26" si="11">T21-W21</f>
        <v>28611296.689783752</v>
      </c>
      <c r="Y21" s="3">
        <f>IF(A21="Июнь 2026",'Разовые затраты'!$E$15,0)</f>
        <v>7190000</v>
      </c>
      <c r="Z21" s="3">
        <f t="shared" ref="Z21:Z26" si="12">W21+Y21</f>
        <v>39450516.110673539</v>
      </c>
      <c r="AA21" s="3">
        <f t="shared" ref="AA21:AA26" si="13">T21-Z21</f>
        <v>21421296.689783752</v>
      </c>
    </row>
    <row r="22" spans="1:39" ht="15" customHeight="1" x14ac:dyDescent="0.25">
      <c r="A22" t="s">
        <v>50</v>
      </c>
      <c r="B22" s="3">
        <f>'Производственный план 5м'!E5</f>
        <v>74749940.065908134</v>
      </c>
      <c r="C22" s="3">
        <f t="shared" si="0"/>
        <v>0</v>
      </c>
      <c r="D22" s="3">
        <f t="shared" si="1"/>
        <v>22424982.01977244</v>
      </c>
      <c r="E22" s="3">
        <f t="shared" si="2"/>
        <v>52324958.046135694</v>
      </c>
      <c r="F22" s="3">
        <f t="shared" si="3"/>
        <v>3737497.0032954067</v>
      </c>
      <c r="G22" s="3">
        <f t="shared" si="4"/>
        <v>48587461.042840287</v>
      </c>
      <c r="H22" s="3">
        <f>'Материалы по месяцам'!C36</f>
        <v>34250114.382843569</v>
      </c>
      <c r="I22" s="3">
        <f>SUMIF('ФОТ по месяцам'!$A:$A,A22,'ФОТ по месяцам'!$I:$I)</f>
        <v>5163103.4482758595</v>
      </c>
      <c r="J22" s="3">
        <f t="shared" si="5"/>
        <v>39413217.831119426</v>
      </c>
      <c r="K22" s="3">
        <f>'Налоги по месяцам'!K3</f>
        <v>13729124.196160829</v>
      </c>
      <c r="L22" s="3">
        <f t="shared" si="6"/>
        <v>53142342.027280256</v>
      </c>
      <c r="M22" s="3">
        <f t="shared" si="7"/>
        <v>-21106653.427605335</v>
      </c>
      <c r="N22" s="3">
        <f>N21+T22</f>
        <v>92907501.400132209</v>
      </c>
      <c r="O22" s="3">
        <f>O21+M22</f>
        <v>9666543.2621784173</v>
      </c>
      <c r="P22" s="3">
        <f t="shared" si="8"/>
        <v>0</v>
      </c>
      <c r="Q22" s="3">
        <f>IF($B$11=0,0,$P$21*$B21/SUM($B$21:$B$25))</f>
        <v>6006691.6124390466</v>
      </c>
      <c r="R22" s="3">
        <f>E21-F21</f>
        <v>26028996.987235874</v>
      </c>
      <c r="S22" s="3">
        <v>0</v>
      </c>
      <c r="T22" s="3">
        <f t="shared" si="9"/>
        <v>32035688.599674921</v>
      </c>
      <c r="U22" s="3">
        <f>SUMIF('Ежемесячные расходы'!$A:$A,A22,'Ежемесячные расходы'!$H:$H)</f>
        <v>1351900</v>
      </c>
      <c r="V22" s="3">
        <f>'Утилизация демонтажа'!F5</f>
        <v>1512000</v>
      </c>
      <c r="W22" s="3">
        <f t="shared" si="10"/>
        <v>56006242.027280256</v>
      </c>
      <c r="X22" s="3">
        <f t="shared" si="11"/>
        <v>-23970553.427605335</v>
      </c>
      <c r="Y22" s="3">
        <f>IF(A22="Июнь 2026",'Разовые затраты'!$E$15,0)</f>
        <v>0</v>
      </c>
      <c r="Z22" s="3">
        <f t="shared" si="12"/>
        <v>56006242.027280256</v>
      </c>
      <c r="AA22" s="3">
        <f t="shared" si="13"/>
        <v>-23970553.427605335</v>
      </c>
    </row>
    <row r="23" spans="1:39" ht="15" customHeight="1" x14ac:dyDescent="0.25">
      <c r="A23" t="s">
        <v>51</v>
      </c>
      <c r="B23" s="3">
        <f>'Производственный план 5м'!E6</f>
        <v>96107065.799024761</v>
      </c>
      <c r="C23" s="3">
        <f t="shared" si="0"/>
        <v>0</v>
      </c>
      <c r="D23" s="3">
        <f t="shared" si="1"/>
        <v>28832119.739707429</v>
      </c>
      <c r="E23" s="3">
        <f t="shared" si="2"/>
        <v>67274946.059317335</v>
      </c>
      <c r="F23" s="3">
        <f t="shared" si="3"/>
        <v>4805353.2899512378</v>
      </c>
      <c r="G23" s="3">
        <f t="shared" si="4"/>
        <v>62469592.7693661</v>
      </c>
      <c r="H23" s="3">
        <f>'Материалы по месяцам'!C37</f>
        <v>44035861.349370293</v>
      </c>
      <c r="I23" s="3">
        <f>SUMIF('ФОТ по месяцам'!$A:$A,A23,'ФОТ по месяцам'!$I:$I)</f>
        <v>4714137.9310344812</v>
      </c>
      <c r="J23" s="3">
        <f t="shared" si="5"/>
        <v>48749999.280404776</v>
      </c>
      <c r="K23" s="3">
        <f>'Налоги по месяцам'!K4</f>
        <v>18132765.592108265</v>
      </c>
      <c r="L23" s="3">
        <f t="shared" si="6"/>
        <v>66882764.872513041</v>
      </c>
      <c r="M23" s="3">
        <f t="shared" si="7"/>
        <v>-7082812.8197865337</v>
      </c>
      <c r="N23" s="3">
        <f>N22+T23</f>
        <v>152707453.45285872</v>
      </c>
      <c r="O23" s="3">
        <f>O22+M23</f>
        <v>2583730.4423918836</v>
      </c>
      <c r="P23" s="3">
        <f t="shared" si="8"/>
        <v>0</v>
      </c>
      <c r="Q23" s="3">
        <f>IF($B$11=0,0,$P$21*$B22/SUM($B$21:$B$25))</f>
        <v>11212491.009886218</v>
      </c>
      <c r="R23" s="3">
        <f>E22-F22</f>
        <v>48587461.042840287</v>
      </c>
      <c r="S23" s="3">
        <v>0</v>
      </c>
      <c r="T23" s="3">
        <f t="shared" si="9"/>
        <v>59799952.052726507</v>
      </c>
      <c r="U23" s="3">
        <f>SUMIF('Ежемесячные расходы'!$A:$A,A23,'Ежемесячные расходы'!$H:$H)</f>
        <v>1351900</v>
      </c>
      <c r="V23" s="3">
        <f>'Утилизация демонтажа'!F6</f>
        <v>1944000</v>
      </c>
      <c r="W23" s="3">
        <f t="shared" si="10"/>
        <v>70178664.872513041</v>
      </c>
      <c r="X23" s="3">
        <f t="shared" si="11"/>
        <v>-10378712.819786534</v>
      </c>
      <c r="Y23" s="3">
        <f>IF(A23="Июнь 2026",'Разовые затраты'!$E$15,0)</f>
        <v>0</v>
      </c>
      <c r="Z23" s="3">
        <f t="shared" si="12"/>
        <v>70178664.872513041</v>
      </c>
      <c r="AA23" s="3">
        <f t="shared" si="13"/>
        <v>-10378712.819786534</v>
      </c>
    </row>
    <row r="24" spans="1:39" ht="15" customHeight="1" x14ac:dyDescent="0.25">
      <c r="A24" t="s">
        <v>52</v>
      </c>
      <c r="B24" s="3">
        <f>'Производственный план 5м'!E7</f>
        <v>93437425.082385182</v>
      </c>
      <c r="C24" s="3">
        <f t="shared" si="0"/>
        <v>0</v>
      </c>
      <c r="D24" s="3">
        <f t="shared" si="1"/>
        <v>28031227.524715554</v>
      </c>
      <c r="E24" s="3">
        <f t="shared" si="2"/>
        <v>65406197.557669625</v>
      </c>
      <c r="F24" s="3">
        <f t="shared" si="3"/>
        <v>4671871.2541192593</v>
      </c>
      <c r="G24" s="3">
        <f t="shared" si="4"/>
        <v>60734326.303550363</v>
      </c>
      <c r="H24" s="3">
        <f>'Материалы по месяцам'!C38</f>
        <v>42812642.97855445</v>
      </c>
      <c r="I24" s="3">
        <f>SUMIF('ФОТ по месяцам'!$A:$A,A24,'ФОТ по месяцам'!$I:$I)</f>
        <v>4938620.6896551698</v>
      </c>
      <c r="J24" s="3">
        <f t="shared" si="5"/>
        <v>47751263.66820962</v>
      </c>
      <c r="K24" s="3">
        <f>'Налоги по месяцам'!K5</f>
        <v>17540219.900373459</v>
      </c>
      <c r="L24" s="3">
        <f t="shared" si="6"/>
        <v>65291483.568583079</v>
      </c>
      <c r="M24" s="3">
        <f t="shared" si="7"/>
        <v>11594169.070636742</v>
      </c>
      <c r="N24" s="3">
        <f>N23+T24</f>
        <v>229593106.09207854</v>
      </c>
      <c r="O24" s="3">
        <f>O23+M24</f>
        <v>14177899.513028625</v>
      </c>
      <c r="P24" s="3">
        <f t="shared" si="8"/>
        <v>0</v>
      </c>
      <c r="Q24" s="3">
        <f>IF($B$11=0,0,$P$21*$B23/SUM($B$21:$B$25))</f>
        <v>14416059.869853713</v>
      </c>
      <c r="R24" s="3">
        <f>E23-F23</f>
        <v>62469592.7693661</v>
      </c>
      <c r="S24" s="3">
        <v>0</v>
      </c>
      <c r="T24" s="3">
        <f t="shared" si="9"/>
        <v>76885652.63921982</v>
      </c>
      <c r="U24" s="3">
        <f>SUMIF('Ежемесячные расходы'!$A:$A,A24,'Ежемесячные расходы'!$H:$H)</f>
        <v>1351900</v>
      </c>
      <c r="V24" s="3">
        <f>'Утилизация демонтажа'!F7</f>
        <v>1890000</v>
      </c>
      <c r="W24" s="3">
        <f t="shared" si="10"/>
        <v>68533383.568583071</v>
      </c>
      <c r="X24" s="3">
        <f t="shared" si="11"/>
        <v>8352269.0706367493</v>
      </c>
      <c r="Y24" s="3">
        <f>IF(A24="Июнь 2026",'Разовые затраты'!$E$15,0)</f>
        <v>0</v>
      </c>
      <c r="Z24" s="3">
        <f t="shared" si="12"/>
        <v>68533383.568583071</v>
      </c>
      <c r="AA24" s="3">
        <f t="shared" si="13"/>
        <v>8352269.0706367493</v>
      </c>
    </row>
    <row r="25" spans="1:39" ht="15" customHeight="1" x14ac:dyDescent="0.25">
      <c r="A25" t="s">
        <v>53</v>
      </c>
      <c r="B25" s="3">
        <f>'Производственный план 5м'!E8</f>
        <v>101473043.63947031</v>
      </c>
      <c r="C25" s="3">
        <f t="shared" si="0"/>
        <v>0</v>
      </c>
      <c r="D25" s="3">
        <f t="shared" si="1"/>
        <v>30441913.09184109</v>
      </c>
      <c r="E25" s="3">
        <f t="shared" si="2"/>
        <v>71031130.547629222</v>
      </c>
      <c r="F25" s="3">
        <f t="shared" si="3"/>
        <v>5073652.181973516</v>
      </c>
      <c r="G25" s="3">
        <f t="shared" si="4"/>
        <v>65957478.365655705</v>
      </c>
      <c r="H25" s="3">
        <f>'Материалы по месяцам'!C39</f>
        <v>46494530.274710134</v>
      </c>
      <c r="I25" s="3">
        <f>SUMIF('ФОТ по месяцам'!$A:$A,A25,'ФОТ по месяцам'!$I:$I)</f>
        <v>4938620.6896551698</v>
      </c>
      <c r="J25" s="3">
        <f t="shared" si="5"/>
        <v>51433150.964365304</v>
      </c>
      <c r="K25" s="3">
        <f>'Налоги по месяцам'!K6</f>
        <v>19154859.156633161</v>
      </c>
      <c r="L25" s="3">
        <f t="shared" si="6"/>
        <v>70588010.120998472</v>
      </c>
      <c r="M25" s="3">
        <f t="shared" si="7"/>
        <v>4161929.944909662</v>
      </c>
      <c r="N25" s="3">
        <f>N24+T25</f>
        <v>304343046.15798664</v>
      </c>
      <c r="O25" s="3">
        <f>O24+M25</f>
        <v>18339829.457938287</v>
      </c>
      <c r="P25" s="3">
        <f t="shared" si="8"/>
        <v>0</v>
      </c>
      <c r="Q25" s="3">
        <f>IF($B$11=0,0,$P$21*$B24/SUM($B$21:$B$25))</f>
        <v>14015613.762357775</v>
      </c>
      <c r="R25" s="3">
        <f>E24-F24</f>
        <v>60734326.303550363</v>
      </c>
      <c r="S25" s="3">
        <v>0</v>
      </c>
      <c r="T25" s="3">
        <f t="shared" si="9"/>
        <v>74749940.065908134</v>
      </c>
      <c r="U25" s="3">
        <f>SUMIF('Ежемесячные расходы'!$A:$A,A25,'Ежемесячные расходы'!$H:$H)</f>
        <v>1351900</v>
      </c>
      <c r="V25" s="3">
        <f>'Утилизация демонтажа'!F8</f>
        <v>2052540</v>
      </c>
      <c r="W25" s="3">
        <f t="shared" si="10"/>
        <v>73992450.120998472</v>
      </c>
      <c r="X25" s="3">
        <f t="shared" si="11"/>
        <v>757489.94490966201</v>
      </c>
      <c r="Y25" s="3">
        <f>IF(A25="Июнь 2026",'Разовые затраты'!$E$15,0)</f>
        <v>0</v>
      </c>
      <c r="Z25" s="3">
        <f t="shared" si="12"/>
        <v>73992450.120998472</v>
      </c>
      <c r="AA25" s="3">
        <f t="shared" si="13"/>
        <v>757489.94490966201</v>
      </c>
    </row>
    <row r="26" spans="1:39" ht="15" customHeight="1" x14ac:dyDescent="0.25">
      <c r="A26" t="s">
        <v>21</v>
      </c>
      <c r="B26" s="10">
        <v>0</v>
      </c>
      <c r="C26" s="10">
        <f t="shared" si="0"/>
        <v>0</v>
      </c>
      <c r="D26" s="10">
        <f t="shared" si="1"/>
        <v>0</v>
      </c>
      <c r="E26" s="10">
        <f t="shared" si="2"/>
        <v>0</v>
      </c>
      <c r="F26" s="10">
        <f t="shared" si="3"/>
        <v>0</v>
      </c>
      <c r="G26" s="10">
        <f t="shared" si="4"/>
        <v>0</v>
      </c>
      <c r="H26" s="10">
        <v>0</v>
      </c>
      <c r="I26" s="10">
        <f>SUMIF('ФОТ по месяцам'!$A:$A,A26,'ФОТ по месяцам'!$I:$I)</f>
        <v>0</v>
      </c>
      <c r="J26" s="10">
        <f t="shared" si="5"/>
        <v>0</v>
      </c>
      <c r="K26" s="10">
        <f>'Налоги по месяцам'!K7</f>
        <v>0</v>
      </c>
      <c r="L26" s="10">
        <f t="shared" si="6"/>
        <v>0</v>
      </c>
      <c r="M26" s="10">
        <f t="shared" si="7"/>
        <v>101469039.17839535</v>
      </c>
      <c r="N26" s="10">
        <f>N25+T26</f>
        <v>405812085.33638197</v>
      </c>
      <c r="O26" s="10">
        <f>O25+M26</f>
        <v>119808868.63633363</v>
      </c>
      <c r="P26" s="10">
        <f t="shared" si="8"/>
        <v>0</v>
      </c>
      <c r="Q26" s="10">
        <f>IF($B$11=0,0,$P$21*$B25/SUM($B$21:$B$25))</f>
        <v>15220956.545920543</v>
      </c>
      <c r="R26" s="10">
        <f>E25-F25</f>
        <v>65957478.365655705</v>
      </c>
      <c r="S26" s="10">
        <f>SUM(F21:F25)</f>
        <v>20290604.266819105</v>
      </c>
      <c r="T26" s="10">
        <f t="shared" si="9"/>
        <v>101469039.17839535</v>
      </c>
      <c r="U26" s="10">
        <f>SUMIF('Ежемесячные расходы'!$A:$A,A26,'Ежемесячные расходы'!$H:$H)</f>
        <v>0</v>
      </c>
      <c r="V26" s="10">
        <v>0</v>
      </c>
      <c r="W26" s="10">
        <f t="shared" si="10"/>
        <v>0</v>
      </c>
      <c r="X26" s="10">
        <f t="shared" si="11"/>
        <v>101469039.17839535</v>
      </c>
      <c r="Y26" s="10">
        <f>IF(A26="Июнь 2026",'Разовые затраты'!$E$15,0)</f>
        <v>0</v>
      </c>
      <c r="Z26" s="10">
        <f t="shared" si="12"/>
        <v>0</v>
      </c>
      <c r="AA26" s="10">
        <f t="shared" si="13"/>
        <v>101469039.17839535</v>
      </c>
    </row>
    <row r="27" spans="1:39" ht="15" customHeight="1" x14ac:dyDescent="0.25">
      <c r="A27" s="1" t="s">
        <v>54</v>
      </c>
      <c r="B27" s="10">
        <f t="shared" ref="B27:M27" si="14">SUM(B21:B26)</f>
        <v>405812085.33638203</v>
      </c>
      <c r="C27" s="10">
        <f t="shared" si="14"/>
        <v>121743625.60091458</v>
      </c>
      <c r="D27" s="10">
        <f t="shared" si="14"/>
        <v>121743625.60091461</v>
      </c>
      <c r="E27" s="10">
        <f t="shared" si="14"/>
        <v>284068459.73546743</v>
      </c>
      <c r="F27" s="10">
        <f t="shared" si="14"/>
        <v>20290604.266819105</v>
      </c>
      <c r="G27" s="10">
        <f t="shared" si="14"/>
        <v>385521481.06956291</v>
      </c>
      <c r="H27" s="10">
        <f t="shared" si="14"/>
        <v>185941424.54771608</v>
      </c>
      <c r="I27" s="10">
        <f t="shared" si="14"/>
        <v>24693103.448275849</v>
      </c>
      <c r="J27" s="10">
        <f t="shared" si="14"/>
        <v>210634527.99599192</v>
      </c>
      <c r="K27" s="10">
        <f t="shared" si="14"/>
        <v>75368688.704056457</v>
      </c>
      <c r="L27" s="10">
        <f t="shared" si="14"/>
        <v>286003216.70004833</v>
      </c>
      <c r="M27" s="10">
        <f t="shared" si="14"/>
        <v>119808868.63633363</v>
      </c>
      <c r="N27" s="10">
        <f>N26</f>
        <v>405812085.33638197</v>
      </c>
      <c r="O27" s="10">
        <f>O26</f>
        <v>119808868.63633363</v>
      </c>
      <c r="P27" s="10">
        <f t="shared" ref="P27:AA27" si="15">SUM(P21:P26)</f>
        <v>60871812.800457291</v>
      </c>
      <c r="Q27" s="10">
        <f t="shared" si="15"/>
        <v>60871812.800457291</v>
      </c>
      <c r="R27" s="10">
        <f t="shared" si="15"/>
        <v>263777855.46864831</v>
      </c>
      <c r="S27" s="10">
        <f t="shared" si="15"/>
        <v>20290604.266819105</v>
      </c>
      <c r="T27" s="10">
        <f t="shared" si="15"/>
        <v>405812085.33638197</v>
      </c>
      <c r="U27" s="10">
        <f t="shared" si="15"/>
        <v>6759500</v>
      </c>
      <c r="V27" s="10">
        <f t="shared" si="15"/>
        <v>8208540</v>
      </c>
      <c r="W27" s="10">
        <f t="shared" si="15"/>
        <v>300971256.70004833</v>
      </c>
      <c r="X27" s="10">
        <f t="shared" si="15"/>
        <v>104840828.63633364</v>
      </c>
      <c r="Y27" s="10">
        <f t="shared" si="15"/>
        <v>7190000</v>
      </c>
      <c r="Z27" s="10">
        <f t="shared" si="15"/>
        <v>308161256.70004833</v>
      </c>
      <c r="AA27" s="10">
        <f t="shared" si="15"/>
        <v>97650828.636333644</v>
      </c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</row>
  </sheetData>
  <mergeCells count="1">
    <mergeCell ref="A1:K1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9"/>
  <sheetViews>
    <sheetView showGridLines="0" zoomScaleNormal="100" workbookViewId="0"/>
  </sheetViews>
  <sheetFormatPr defaultColWidth="8.7109375" defaultRowHeight="15" x14ac:dyDescent="0.25"/>
  <cols>
    <col min="1" max="1" width="42" customWidth="1"/>
    <col min="2" max="2" width="22" customWidth="1"/>
    <col min="3" max="3" width="60" customWidth="1"/>
  </cols>
  <sheetData>
    <row r="1" spans="1:3" ht="15" customHeight="1" x14ac:dyDescent="0.25">
      <c r="A1" s="15" t="s">
        <v>169</v>
      </c>
      <c r="B1" s="15" t="s">
        <v>170</v>
      </c>
      <c r="C1" s="15" t="s">
        <v>80</v>
      </c>
    </row>
    <row r="2" spans="1:3" ht="15" customHeight="1" x14ac:dyDescent="0.25">
      <c r="A2" t="s">
        <v>406</v>
      </c>
      <c r="B2" s="17">
        <v>20</v>
      </c>
      <c r="C2" t="s">
        <v>407</v>
      </c>
    </row>
    <row r="3" spans="1:3" ht="15" customHeight="1" x14ac:dyDescent="0.25">
      <c r="A3" t="s">
        <v>408</v>
      </c>
      <c r="B3" s="3">
        <v>7500</v>
      </c>
      <c r="C3" t="s">
        <v>409</v>
      </c>
    </row>
    <row r="4" spans="1:3" ht="15" customHeight="1" x14ac:dyDescent="0.25">
      <c r="A4" t="s">
        <v>410</v>
      </c>
      <c r="B4">
        <v>1.1494249999999999</v>
      </c>
      <c r="C4" t="s">
        <v>411</v>
      </c>
    </row>
    <row r="5" spans="1:3" ht="15" customHeight="1" x14ac:dyDescent="0.25">
      <c r="A5" t="s">
        <v>412</v>
      </c>
      <c r="B5" s="3">
        <v>8620.6896551724094</v>
      </c>
      <c r="C5" t="s">
        <v>413</v>
      </c>
    </row>
    <row r="6" spans="1:3" ht="15" customHeight="1" x14ac:dyDescent="0.25">
      <c r="A6" t="s">
        <v>414</v>
      </c>
      <c r="B6">
        <v>0.3</v>
      </c>
      <c r="C6" t="s">
        <v>415</v>
      </c>
    </row>
    <row r="7" spans="1:3" ht="15" customHeight="1" x14ac:dyDescent="0.25">
      <c r="A7" t="s">
        <v>416</v>
      </c>
      <c r="B7">
        <v>2E-3</v>
      </c>
      <c r="C7" t="s">
        <v>417</v>
      </c>
    </row>
    <row r="8" spans="1:3" ht="15" customHeight="1" x14ac:dyDescent="0.25">
      <c r="A8" t="s">
        <v>418</v>
      </c>
      <c r="B8" s="3">
        <v>11224.1379310345</v>
      </c>
      <c r="C8" t="s">
        <v>419</v>
      </c>
    </row>
    <row r="9" spans="1:3" ht="15" customHeight="1" x14ac:dyDescent="0.25">
      <c r="A9" t="s">
        <v>420</v>
      </c>
      <c r="B9" s="3">
        <f>B2*B5*(1+B6+B7)</f>
        <v>224482.75862068954</v>
      </c>
      <c r="C9" t="s">
        <v>421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9"/>
  <sheetViews>
    <sheetView showGridLines="0" zoomScaleNormal="100" workbookViewId="0"/>
  </sheetViews>
  <sheetFormatPr defaultColWidth="8.7109375" defaultRowHeight="15" x14ac:dyDescent="0.25"/>
  <cols>
    <col min="1" max="1" width="18" customWidth="1"/>
    <col min="2" max="2" width="12" customWidth="1"/>
    <col min="3" max="3" width="14" customWidth="1"/>
    <col min="4" max="5" width="18" customWidth="1"/>
    <col min="6" max="7" width="22" customWidth="1"/>
    <col min="8" max="8" width="18" customWidth="1"/>
    <col min="9" max="9" width="22" customWidth="1"/>
  </cols>
  <sheetData>
    <row r="1" spans="1:9" ht="27.75" customHeight="1" x14ac:dyDescent="0.25">
      <c r="A1" s="9" t="s">
        <v>47</v>
      </c>
      <c r="B1" s="9" t="s">
        <v>422</v>
      </c>
      <c r="C1" s="9" t="s">
        <v>423</v>
      </c>
      <c r="D1" s="9" t="s">
        <v>424</v>
      </c>
      <c r="E1" s="9" t="s">
        <v>425</v>
      </c>
      <c r="F1" s="9" t="s">
        <v>426</v>
      </c>
      <c r="G1" s="9" t="s">
        <v>427</v>
      </c>
      <c r="H1" s="9" t="s">
        <v>416</v>
      </c>
      <c r="I1" s="9" t="s">
        <v>428</v>
      </c>
    </row>
    <row r="2" spans="1:9" ht="15" customHeight="1" x14ac:dyDescent="0.25">
      <c r="A2" t="s">
        <v>49</v>
      </c>
      <c r="B2">
        <f>'ФОТ - допущения'!$B$2</f>
        <v>20</v>
      </c>
      <c r="C2">
        <v>22</v>
      </c>
      <c r="D2" s="3">
        <f>'ФОТ - допущения'!$B$3</f>
        <v>7500</v>
      </c>
      <c r="E2" s="3">
        <f>'ФОТ - допущения'!$B$5</f>
        <v>8620.6896551724094</v>
      </c>
      <c r="F2" s="3">
        <f>B2*C2*E2</f>
        <v>3793103.4482758599</v>
      </c>
      <c r="G2" s="3">
        <f>F2*'ФОТ - допущения'!$B$6</f>
        <v>1137931.034482758</v>
      </c>
      <c r="H2" s="3">
        <f>F2*'ФОТ - допущения'!$B$7</f>
        <v>7586.2068965517201</v>
      </c>
      <c r="I2" s="3">
        <f>F2+G2+H2</f>
        <v>4938620.6896551698</v>
      </c>
    </row>
    <row r="3" spans="1:9" ht="15" customHeight="1" x14ac:dyDescent="0.25">
      <c r="A3" t="s">
        <v>50</v>
      </c>
      <c r="B3">
        <f>'ФОТ - допущения'!$B$2</f>
        <v>20</v>
      </c>
      <c r="C3">
        <v>23</v>
      </c>
      <c r="D3" s="3">
        <f>'ФОТ - допущения'!$B$3</f>
        <v>7500</v>
      </c>
      <c r="E3" s="3">
        <f>'ФОТ - допущения'!$B$5</f>
        <v>8620.6896551724094</v>
      </c>
      <c r="F3" s="3">
        <f>B3*C3*E3</f>
        <v>3965517.2413793085</v>
      </c>
      <c r="G3" s="3">
        <f>F3*'ФОТ - допущения'!$B$6</f>
        <v>1189655.1724137925</v>
      </c>
      <c r="H3" s="3">
        <f>F3*'ФОТ - допущения'!$B$7</f>
        <v>7931.0344827586168</v>
      </c>
      <c r="I3" s="3">
        <f>F3+G3+H3</f>
        <v>5163103.4482758595</v>
      </c>
    </row>
    <row r="4" spans="1:9" ht="15" customHeight="1" x14ac:dyDescent="0.25">
      <c r="A4" t="s">
        <v>51</v>
      </c>
      <c r="B4">
        <f>'ФОТ - допущения'!$B$2</f>
        <v>20</v>
      </c>
      <c r="C4">
        <v>21</v>
      </c>
      <c r="D4" s="3">
        <f>'ФОТ - допущения'!$B$3</f>
        <v>7500</v>
      </c>
      <c r="E4" s="3">
        <f>'ФОТ - допущения'!$B$5</f>
        <v>8620.6896551724094</v>
      </c>
      <c r="F4" s="3">
        <f>B4*C4*E4</f>
        <v>3620689.6551724118</v>
      </c>
      <c r="G4" s="3">
        <f>F4*'ФОТ - допущения'!$B$6</f>
        <v>1086206.8965517236</v>
      </c>
      <c r="H4" s="3">
        <f>F4*'ФОТ - допущения'!$B$7</f>
        <v>7241.3793103448234</v>
      </c>
      <c r="I4" s="3">
        <f>F4+G4+H4</f>
        <v>4714137.9310344812</v>
      </c>
    </row>
    <row r="5" spans="1:9" ht="15" customHeight="1" x14ac:dyDescent="0.25">
      <c r="A5" t="s">
        <v>52</v>
      </c>
      <c r="B5">
        <f>'ФОТ - допущения'!$B$2</f>
        <v>20</v>
      </c>
      <c r="C5">
        <v>22</v>
      </c>
      <c r="D5" s="3">
        <f>'ФОТ - допущения'!$B$3</f>
        <v>7500</v>
      </c>
      <c r="E5" s="3">
        <f>'ФОТ - допущения'!$B$5</f>
        <v>8620.6896551724094</v>
      </c>
      <c r="F5" s="3">
        <f>B5*C5*E5</f>
        <v>3793103.4482758599</v>
      </c>
      <c r="G5" s="3">
        <f>F5*'ФОТ - допущения'!$B$6</f>
        <v>1137931.034482758</v>
      </c>
      <c r="H5" s="3">
        <f>F5*'ФОТ - допущения'!$B$7</f>
        <v>7586.2068965517201</v>
      </c>
      <c r="I5" s="3">
        <f>F5+G5+H5</f>
        <v>4938620.6896551698</v>
      </c>
    </row>
    <row r="6" spans="1:9" ht="15" customHeight="1" x14ac:dyDescent="0.25">
      <c r="A6" t="s">
        <v>53</v>
      </c>
      <c r="B6">
        <f>'ФОТ - допущения'!$B$2</f>
        <v>20</v>
      </c>
      <c r="C6">
        <v>22</v>
      </c>
      <c r="D6" s="3">
        <f>'ФОТ - допущения'!$B$3</f>
        <v>7500</v>
      </c>
      <c r="E6" s="3">
        <f>'ФОТ - допущения'!$B$5</f>
        <v>8620.6896551724094</v>
      </c>
      <c r="F6" s="3">
        <f>B6*C6*E6</f>
        <v>3793103.4482758599</v>
      </c>
      <c r="G6" s="3">
        <f>F6*'ФОТ - допущения'!$B$6</f>
        <v>1137931.034482758</v>
      </c>
      <c r="H6" s="3">
        <f>F6*'ФОТ - допущения'!$B$7</f>
        <v>7586.2068965517201</v>
      </c>
      <c r="I6" s="3">
        <f>F6+G6+H6</f>
        <v>4938620.6896551698</v>
      </c>
    </row>
    <row r="7" spans="1:9" ht="15" customHeight="1" x14ac:dyDescent="0.25">
      <c r="A7" s="13" t="s">
        <v>54</v>
      </c>
      <c r="B7" s="13"/>
      <c r="C7" s="13"/>
      <c r="D7" s="10"/>
      <c r="E7" s="10"/>
      <c r="F7" s="10">
        <f>SUM(F2:F6)</f>
        <v>18965517.241379298</v>
      </c>
      <c r="G7" s="10">
        <f>SUM(G2:G6)</f>
        <v>5689655.1724137906</v>
      </c>
      <c r="H7" s="10">
        <f>SUM(H2:H6)</f>
        <v>37931.034482758601</v>
      </c>
      <c r="I7" s="10">
        <f>SUM(I2:I6)</f>
        <v>24693103.448275849</v>
      </c>
    </row>
    <row r="8" spans="1:9" ht="15" customHeight="1" x14ac:dyDescent="0.25">
      <c r="D8" s="3"/>
      <c r="E8" s="3"/>
      <c r="F8" s="3"/>
      <c r="G8" s="3"/>
      <c r="H8" s="3"/>
      <c r="I8" s="3"/>
    </row>
    <row r="9" spans="1:9" ht="15" customHeight="1" x14ac:dyDescent="0.25">
      <c r="A9" s="1"/>
      <c r="B9" s="1"/>
      <c r="C9" s="1"/>
      <c r="D9" s="1"/>
      <c r="E9" s="1"/>
      <c r="F9" s="11"/>
      <c r="G9" s="11"/>
      <c r="H9" s="11"/>
      <c r="I9" s="11"/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11"/>
  <sheetViews>
    <sheetView showGridLines="0" zoomScaleNormal="100" workbookViewId="0"/>
  </sheetViews>
  <sheetFormatPr defaultColWidth="8.7109375" defaultRowHeight="15" x14ac:dyDescent="0.25"/>
  <cols>
    <col min="1" max="1" width="48" customWidth="1"/>
    <col min="2" max="3" width="18" customWidth="1"/>
    <col min="4" max="4" width="24" customWidth="1"/>
  </cols>
  <sheetData>
    <row r="1" spans="1:4" ht="15" customHeight="1" x14ac:dyDescent="0.25">
      <c r="A1" s="15" t="s">
        <v>429</v>
      </c>
      <c r="B1" s="15" t="s">
        <v>430</v>
      </c>
      <c r="C1" s="15" t="s">
        <v>431</v>
      </c>
      <c r="D1" s="15" t="s">
        <v>28</v>
      </c>
    </row>
    <row r="2" spans="1:4" ht="15" customHeight="1" x14ac:dyDescent="0.25">
      <c r="A2" t="s">
        <v>432</v>
      </c>
      <c r="B2" s="18">
        <v>0.22</v>
      </c>
      <c r="C2" s="18">
        <v>0.22</v>
      </c>
      <c r="D2" s="3">
        <f>B2*'ФОТ по месяцам'!$I$7</f>
        <v>5432482.7586206868</v>
      </c>
    </row>
    <row r="3" spans="1:4" ht="15" customHeight="1" x14ac:dyDescent="0.25">
      <c r="A3" t="s">
        <v>433</v>
      </c>
      <c r="B3" s="18">
        <v>0.1</v>
      </c>
      <c r="C3" s="18">
        <v>0.1</v>
      </c>
      <c r="D3" s="3">
        <f>B3*'ФОТ по месяцам'!$I$7</f>
        <v>2469310.3448275849</v>
      </c>
    </row>
    <row r="4" spans="1:4" ht="15" customHeight="1" x14ac:dyDescent="0.25">
      <c r="A4" t="s">
        <v>434</v>
      </c>
      <c r="B4" s="18">
        <v>0.08</v>
      </c>
      <c r="C4" s="18">
        <v>0.08</v>
      </c>
      <c r="D4" s="3">
        <f>B4*'ФОТ по месяцам'!$I$7</f>
        <v>1975448.2758620679</v>
      </c>
    </row>
    <row r="5" spans="1:4" ht="15" customHeight="1" x14ac:dyDescent="0.25">
      <c r="A5" t="s">
        <v>435</v>
      </c>
      <c r="B5" s="18">
        <v>0.14000000000000001</v>
      </c>
      <c r="C5" s="18">
        <v>0.14000000000000001</v>
      </c>
      <c r="D5" s="3">
        <f>B5*'ФОТ по месяцам'!$I$7</f>
        <v>3457034.4827586194</v>
      </c>
    </row>
    <row r="6" spans="1:4" ht="15" customHeight="1" x14ac:dyDescent="0.25">
      <c r="A6" t="s">
        <v>436</v>
      </c>
      <c r="B6" s="18">
        <v>0.18</v>
      </c>
      <c r="C6" s="18">
        <v>0.18</v>
      </c>
      <c r="D6" s="3">
        <f>B6*'ФОТ по месяцам'!$I$7</f>
        <v>4444758.6206896529</v>
      </c>
    </row>
    <row r="7" spans="1:4" ht="15" customHeight="1" x14ac:dyDescent="0.25">
      <c r="A7" t="s">
        <v>437</v>
      </c>
      <c r="B7" s="18">
        <v>0.12</v>
      </c>
      <c r="C7" s="18">
        <v>0.12</v>
      </c>
      <c r="D7" s="3">
        <f>B7*'ФОТ по месяцам'!$I$7</f>
        <v>2963172.4137931019</v>
      </c>
    </row>
    <row r="8" spans="1:4" ht="15" customHeight="1" x14ac:dyDescent="0.25">
      <c r="A8" t="s">
        <v>438</v>
      </c>
      <c r="B8" s="18">
        <v>0.06</v>
      </c>
      <c r="C8" s="18">
        <v>0.06</v>
      </c>
      <c r="D8" s="3">
        <f>B8*'ФОТ по месяцам'!$I$7</f>
        <v>1481586.206896551</v>
      </c>
    </row>
    <row r="9" spans="1:4" ht="15" customHeight="1" x14ac:dyDescent="0.25">
      <c r="A9" t="s">
        <v>439</v>
      </c>
      <c r="B9" s="18">
        <v>7.0000000000000007E-2</v>
      </c>
      <c r="C9" s="18">
        <v>7.0000000000000007E-2</v>
      </c>
      <c r="D9" s="3">
        <f>B9*'ФОТ по месяцам'!$I$7</f>
        <v>1728517.2413793097</v>
      </c>
    </row>
    <row r="10" spans="1:4" ht="15" customHeight="1" x14ac:dyDescent="0.25">
      <c r="A10" t="s">
        <v>440</v>
      </c>
      <c r="B10" s="18">
        <v>0.03</v>
      </c>
      <c r="C10" s="18">
        <v>0.03</v>
      </c>
      <c r="D10" s="3">
        <f>B10*'ФОТ по месяцам'!$I$7</f>
        <v>740793.10344827548</v>
      </c>
    </row>
    <row r="11" spans="1:4" ht="15" customHeight="1" x14ac:dyDescent="0.25">
      <c r="A11" s="13" t="s">
        <v>54</v>
      </c>
      <c r="B11" s="19">
        <f>SUM(B2:B10)</f>
        <v>1</v>
      </c>
      <c r="C11" s="19">
        <f>SUM(C2:C10)</f>
        <v>1</v>
      </c>
      <c r="D11" s="10">
        <f>SUM(D2:D10)</f>
        <v>24693103.448275849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6"/>
  <sheetViews>
    <sheetView showGridLines="0" zoomScaleNormal="100" workbookViewId="0"/>
  </sheetViews>
  <sheetFormatPr defaultColWidth="8.7109375" defaultRowHeight="15" x14ac:dyDescent="0.25"/>
  <cols>
    <col min="1" max="1" width="34" customWidth="1"/>
    <col min="2" max="2" width="16" customWidth="1"/>
    <col min="3" max="3" width="48" customWidth="1"/>
  </cols>
  <sheetData>
    <row r="1" spans="1:3" ht="15" customHeight="1" x14ac:dyDescent="0.25">
      <c r="A1" s="15" t="s">
        <v>169</v>
      </c>
      <c r="B1" s="15" t="s">
        <v>441</v>
      </c>
      <c r="C1" s="15" t="s">
        <v>80</v>
      </c>
    </row>
    <row r="2" spans="1:3" ht="15" customHeight="1" x14ac:dyDescent="0.25">
      <c r="A2" t="s">
        <v>5</v>
      </c>
      <c r="B2" s="18">
        <v>0.22</v>
      </c>
      <c r="C2" t="s">
        <v>442</v>
      </c>
    </row>
    <row r="3" spans="1:3" ht="15" customHeight="1" x14ac:dyDescent="0.25">
      <c r="A3" t="s">
        <v>307</v>
      </c>
      <c r="B3" s="18">
        <v>0.25</v>
      </c>
      <c r="C3" t="s">
        <v>443</v>
      </c>
    </row>
    <row r="4" spans="1:3" ht="15" customHeight="1" x14ac:dyDescent="0.25">
      <c r="A4" t="s">
        <v>444</v>
      </c>
      <c r="B4" s="18">
        <v>0.13</v>
      </c>
      <c r="C4" t="s">
        <v>445</v>
      </c>
    </row>
    <row r="5" spans="1:3" ht="15" customHeight="1" x14ac:dyDescent="0.25">
      <c r="A5" t="s">
        <v>427</v>
      </c>
      <c r="B5" s="18">
        <v>0.3</v>
      </c>
      <c r="C5" t="s">
        <v>415</v>
      </c>
    </row>
    <row r="6" spans="1:3" ht="15" customHeight="1" x14ac:dyDescent="0.25">
      <c r="A6" t="s">
        <v>416</v>
      </c>
      <c r="B6" s="18">
        <v>2E-3</v>
      </c>
      <c r="C6" t="s">
        <v>417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9"/>
  <sheetViews>
    <sheetView showGridLines="0" zoomScaleNormal="100" workbookViewId="0">
      <selection activeCell="B12" sqref="B12"/>
    </sheetView>
  </sheetViews>
  <sheetFormatPr defaultColWidth="8.7109375" defaultRowHeight="15" x14ac:dyDescent="0.25"/>
  <cols>
    <col min="1" max="1" width="18" customWidth="1"/>
    <col min="2" max="5" width="22" customWidth="1"/>
    <col min="6" max="6" width="24" customWidth="1"/>
    <col min="7" max="7" width="22" customWidth="1"/>
    <col min="8" max="8" width="24" customWidth="1"/>
    <col min="9" max="10" width="22" customWidth="1"/>
    <col min="11" max="11" width="24" customWidth="1"/>
  </cols>
  <sheetData>
    <row r="1" spans="1:11" ht="27.75" customHeight="1" x14ac:dyDescent="0.25">
      <c r="A1" s="9" t="s">
        <v>47</v>
      </c>
      <c r="B1" s="9" t="s">
        <v>81</v>
      </c>
      <c r="C1" s="9" t="s">
        <v>446</v>
      </c>
      <c r="D1" s="9" t="s">
        <v>447</v>
      </c>
      <c r="E1" s="9" t="s">
        <v>448</v>
      </c>
      <c r="F1" s="9" t="s">
        <v>449</v>
      </c>
      <c r="G1" s="9" t="s">
        <v>28</v>
      </c>
      <c r="H1" s="9" t="s">
        <v>450</v>
      </c>
      <c r="I1" s="9" t="s">
        <v>307</v>
      </c>
      <c r="J1" s="9" t="s">
        <v>305</v>
      </c>
      <c r="K1" s="9" t="s">
        <v>451</v>
      </c>
    </row>
    <row r="2" spans="1:11" ht="15" customHeight="1" x14ac:dyDescent="0.25">
      <c r="A2" t="s">
        <v>49</v>
      </c>
      <c r="B2" s="3">
        <f>'Сводный CashFlow'!B21</f>
        <v>40044610.749593653</v>
      </c>
      <c r="C2" s="3">
        <f>IF(B2=0,0,B2/(1+'Налоги - допущения'!$B$2))</f>
        <v>32823451.434093159</v>
      </c>
      <c r="D2" s="3">
        <f t="shared" ref="D2:D7" si="0">B2-C2</f>
        <v>7221159.3155004941</v>
      </c>
      <c r="E2" s="3">
        <f>'Сводный CashFlow'!H21+'Сводный CashFlow'!V21</f>
        <v>19158275.562237624</v>
      </c>
      <c r="F2" s="3">
        <f>IF(E2=0,0,E2-(E2/(1+'Налоги - допущения'!$B$2)))</f>
        <v>3454771.0030264556</v>
      </c>
      <c r="G2" s="3">
        <f>'Сводный CashFlow'!I21</f>
        <v>4938620.6896551698</v>
      </c>
      <c r="H2" s="3">
        <f>C2-(E2/(1+'Налоги - допущения'!$B$2))-G2</f>
        <v>12181326.18522682</v>
      </c>
      <c r="I2" s="3">
        <f>IF(H2&gt;0,H2*'Налоги - допущения'!$B$3,0)</f>
        <v>3045331.5463067051</v>
      </c>
      <c r="J2" s="3">
        <f t="shared" ref="J2:J7" si="1">MAX(D2-F2,0)</f>
        <v>3766388.3124740385</v>
      </c>
      <c r="K2" s="3">
        <f t="shared" ref="K2:K7" si="2">I2+J2</f>
        <v>6811719.8587807436</v>
      </c>
    </row>
    <row r="3" spans="1:11" ht="15" customHeight="1" x14ac:dyDescent="0.25">
      <c r="A3" t="s">
        <v>50</v>
      </c>
      <c r="B3" s="3">
        <f>'Сводный CashFlow'!B22</f>
        <v>74749940.065908134</v>
      </c>
      <c r="C3" s="3">
        <f>IF(B3=0,0,B3/(1+'Налоги - допущения'!$B$2))</f>
        <v>61270442.676973879</v>
      </c>
      <c r="D3" s="3">
        <f t="shared" si="0"/>
        <v>13479497.388934255</v>
      </c>
      <c r="E3" s="3">
        <f>'Сводный CashFlow'!H22+'Сводный CashFlow'!V22</f>
        <v>35762114.382843569</v>
      </c>
      <c r="F3" s="3">
        <f>IF(E3=0,0,E3-(E3/(1+'Налоги - допущения'!$B$2)))</f>
        <v>6448905.8723160513</v>
      </c>
      <c r="G3" s="3">
        <f>'Сводный CashFlow'!I22</f>
        <v>5163103.4482758595</v>
      </c>
      <c r="H3" s="3">
        <f>C3-(E3/(1+'Налоги - допущения'!$B$2))-G3</f>
        <v>26794130.718170501</v>
      </c>
      <c r="I3" s="3">
        <f>IF(H3&gt;0,H3*'Налоги - допущения'!$B$3,0)</f>
        <v>6698532.6795426253</v>
      </c>
      <c r="J3" s="3">
        <f t="shared" si="1"/>
        <v>7030591.5166182034</v>
      </c>
      <c r="K3" s="3">
        <f t="shared" si="2"/>
        <v>13729124.196160829</v>
      </c>
    </row>
    <row r="4" spans="1:11" ht="15" customHeight="1" x14ac:dyDescent="0.25">
      <c r="A4" t="s">
        <v>51</v>
      </c>
      <c r="B4" s="3">
        <f>'Сводный CashFlow'!B23</f>
        <v>96107065.799024761</v>
      </c>
      <c r="C4" s="3">
        <f>IF(B4=0,0,B4/(1+'Налоги - допущения'!$B$2))</f>
        <v>78776283.441823572</v>
      </c>
      <c r="D4" s="3">
        <f t="shared" si="0"/>
        <v>17330782.357201189</v>
      </c>
      <c r="E4" s="3">
        <f>'Сводный CashFlow'!H23+'Сводный CashFlow'!V23</f>
        <v>45979861.349370293</v>
      </c>
      <c r="F4" s="3">
        <f>IF(E4=0,0,E4-(E4/(1+'Налоги - допущения'!$B$2)))</f>
        <v>8291450.407263495</v>
      </c>
      <c r="G4" s="3">
        <f>'Сводный CashFlow'!I23</f>
        <v>4714137.9310344812</v>
      </c>
      <c r="H4" s="3">
        <f>C4-(E4/(1+'Налоги - допущения'!$B$2))-G4</f>
        <v>36373734.568682291</v>
      </c>
      <c r="I4" s="3">
        <f>IF(H4&gt;0,H4*'Налоги - допущения'!$B$3,0)</f>
        <v>9093433.6421705727</v>
      </c>
      <c r="J4" s="3">
        <f t="shared" si="1"/>
        <v>9039331.9499376938</v>
      </c>
      <c r="K4" s="3">
        <f t="shared" si="2"/>
        <v>18132765.592108265</v>
      </c>
    </row>
    <row r="5" spans="1:11" ht="15" customHeight="1" x14ac:dyDescent="0.25">
      <c r="A5" t="s">
        <v>52</v>
      </c>
      <c r="B5" s="3">
        <f>'Сводный CashFlow'!B24</f>
        <v>93437425.082385182</v>
      </c>
      <c r="C5" s="3">
        <f>IF(B5=0,0,B5/(1+'Налоги - допущения'!$B$2))</f>
        <v>76588053.346217364</v>
      </c>
      <c r="D5" s="3">
        <f t="shared" si="0"/>
        <v>16849371.736167818</v>
      </c>
      <c r="E5" s="3">
        <f>'Сводный CashFlow'!H24+'Сводный CashFlow'!V24</f>
        <v>44702642.97855445</v>
      </c>
      <c r="F5" s="3">
        <f>IF(E5=0,0,E5-(E5/(1+'Налоги - допущения'!$B$2)))</f>
        <v>8061132.3403950632</v>
      </c>
      <c r="G5" s="3">
        <f>'Сводный CashFlow'!I24</f>
        <v>4938620.6896551698</v>
      </c>
      <c r="H5" s="3">
        <f>C5-(E5/(1+'Налоги - допущения'!$B$2))-G5</f>
        <v>35007922.018402807</v>
      </c>
      <c r="I5" s="3">
        <f>IF(H5&gt;0,H5*'Налоги - допущения'!$B$3,0)</f>
        <v>8751980.5046007019</v>
      </c>
      <c r="J5" s="3">
        <f t="shared" si="1"/>
        <v>8788239.3957727551</v>
      </c>
      <c r="K5" s="3">
        <f t="shared" si="2"/>
        <v>17540219.900373459</v>
      </c>
    </row>
    <row r="6" spans="1:11" ht="15" customHeight="1" x14ac:dyDescent="0.25">
      <c r="A6" t="s">
        <v>53</v>
      </c>
      <c r="B6" s="3">
        <f>'Сводный CashFlow'!B25</f>
        <v>101473043.63947031</v>
      </c>
      <c r="C6" s="3">
        <f>IF(B6=0,0,B6/(1+'Налоги - допущения'!$B$2))</f>
        <v>83174625.933992058</v>
      </c>
      <c r="D6" s="3">
        <f t="shared" si="0"/>
        <v>18298417.705478251</v>
      </c>
      <c r="E6" s="3">
        <f>'Сводный CashFlow'!H25+'Сводный CashFlow'!V25</f>
        <v>48547070.274710134</v>
      </c>
      <c r="F6" s="3">
        <f>IF(E6=0,0,E6-(E6/(1+'Налоги - допущения'!$B$2)))</f>
        <v>8754389.7216690406</v>
      </c>
      <c r="G6" s="3">
        <f>'Сводный CashFlow'!I25</f>
        <v>4938620.6896551698</v>
      </c>
      <c r="H6" s="3">
        <f>C6-(E6/(1+'Налоги - допущения'!$B$2))-G6</f>
        <v>38443324.691295795</v>
      </c>
      <c r="I6" s="3">
        <f>IF(H6&gt;0,H6*'Налоги - допущения'!$B$3,0)</f>
        <v>9610831.1728239488</v>
      </c>
      <c r="J6" s="3">
        <f t="shared" si="1"/>
        <v>9544027.9838092104</v>
      </c>
      <c r="K6" s="3">
        <f t="shared" si="2"/>
        <v>19154859.156633161</v>
      </c>
    </row>
    <row r="7" spans="1:11" ht="15" customHeight="1" x14ac:dyDescent="0.25">
      <c r="A7" t="s">
        <v>21</v>
      </c>
      <c r="B7" s="3">
        <f>'Сводный CashFlow'!B26</f>
        <v>0</v>
      </c>
      <c r="C7" s="3">
        <f>IF(B7=0,0,B7/(1+'Налоги - допущения'!$B$2))</f>
        <v>0</v>
      </c>
      <c r="D7" s="3">
        <f t="shared" si="0"/>
        <v>0</v>
      </c>
      <c r="E7" s="3">
        <f>'Сводный CashFlow'!H26+'Сводный CashFlow'!V26</f>
        <v>0</v>
      </c>
      <c r="F7" s="3">
        <f>IF(E7=0,0,E7-(E7/(1+'Налоги - допущения'!$B$2)))</f>
        <v>0</v>
      </c>
      <c r="G7" s="3">
        <f>'Сводный CashFlow'!I26</f>
        <v>0</v>
      </c>
      <c r="H7" s="3">
        <f>C7-(E7/(1+'Налоги - допущения'!$B$2))-G7</f>
        <v>0</v>
      </c>
      <c r="I7" s="3">
        <f>IF(H7&gt;0,H7*'Налоги - допущения'!$B$3,0)</f>
        <v>0</v>
      </c>
      <c r="J7" s="3">
        <f t="shared" si="1"/>
        <v>0</v>
      </c>
      <c r="K7" s="3">
        <f t="shared" si="2"/>
        <v>0</v>
      </c>
    </row>
    <row r="8" spans="1:11" ht="15" customHeight="1" x14ac:dyDescent="0.25">
      <c r="A8" s="13" t="s">
        <v>54</v>
      </c>
      <c r="B8" s="10">
        <f t="shared" ref="B8:K8" si="3">SUM(B2:B7)</f>
        <v>405812085.33638203</v>
      </c>
      <c r="C8" s="10">
        <f t="shared" si="3"/>
        <v>332632856.83310002</v>
      </c>
      <c r="D8" s="10">
        <f t="shared" si="3"/>
        <v>73179228.503282011</v>
      </c>
      <c r="E8" s="10">
        <f t="shared" si="3"/>
        <v>194149964.54771608</v>
      </c>
      <c r="F8" s="10">
        <f t="shared" si="3"/>
        <v>35010649.344670102</v>
      </c>
      <c r="G8" s="10">
        <f t="shared" si="3"/>
        <v>24693103.448275849</v>
      </c>
      <c r="H8" s="10">
        <f t="shared" si="3"/>
        <v>148800438.18177822</v>
      </c>
      <c r="I8" s="10">
        <f t="shared" si="3"/>
        <v>37200109.545444556</v>
      </c>
      <c r="J8" s="10">
        <f t="shared" si="3"/>
        <v>38168579.158611901</v>
      </c>
      <c r="K8" s="10">
        <f t="shared" si="3"/>
        <v>75368688.704056457</v>
      </c>
    </row>
    <row r="9" spans="1:11" ht="15" customHeight="1" x14ac:dyDescent="0.25">
      <c r="B9" s="11"/>
      <c r="C9" s="11"/>
      <c r="D9" s="11"/>
      <c r="E9" s="11"/>
      <c r="F9" s="11"/>
      <c r="G9" s="11"/>
      <c r="H9" s="11"/>
      <c r="I9" s="11"/>
      <c r="J9" s="11"/>
      <c r="K9" s="11"/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11"/>
  <sheetViews>
    <sheetView showGridLines="0" zoomScaleNormal="100" workbookViewId="0">
      <pane ySplit="7" topLeftCell="A8" activePane="bottomLeft" state="frozen"/>
      <selection pane="bottomLeft"/>
    </sheetView>
  </sheetViews>
  <sheetFormatPr defaultColWidth="8.7109375" defaultRowHeight="15" x14ac:dyDescent="0.25"/>
  <cols>
    <col min="1" max="1" width="28" customWidth="1"/>
    <col min="2" max="2" width="16" customWidth="1"/>
    <col min="3" max="3" width="58" customWidth="1"/>
  </cols>
  <sheetData>
    <row r="1" spans="1:3" ht="15" customHeight="1" x14ac:dyDescent="0.25">
      <c r="A1" s="15" t="s">
        <v>169</v>
      </c>
      <c r="B1" s="15" t="s">
        <v>170</v>
      </c>
      <c r="C1" s="15" t="s">
        <v>80</v>
      </c>
    </row>
    <row r="2" spans="1:3" ht="15" customHeight="1" x14ac:dyDescent="0.25">
      <c r="A2" t="s">
        <v>452</v>
      </c>
      <c r="B2" s="18">
        <v>0.13</v>
      </c>
      <c r="C2" t="s">
        <v>453</v>
      </c>
    </row>
    <row r="3" spans="1:3" ht="15" customHeight="1" x14ac:dyDescent="0.25">
      <c r="A3" t="s">
        <v>454</v>
      </c>
      <c r="B3" s="18">
        <v>0.35</v>
      </c>
      <c r="C3" t="s">
        <v>455</v>
      </c>
    </row>
    <row r="4" spans="1:3" ht="15" customHeight="1" x14ac:dyDescent="0.25">
      <c r="A4" t="s">
        <v>456</v>
      </c>
      <c r="B4" s="18">
        <v>0.22</v>
      </c>
      <c r="C4" t="s">
        <v>455</v>
      </c>
    </row>
    <row r="5" spans="1:3" ht="15" customHeight="1" x14ac:dyDescent="0.25">
      <c r="A5" t="s">
        <v>457</v>
      </c>
      <c r="B5" s="18">
        <v>0.08</v>
      </c>
      <c r="C5" t="s">
        <v>455</v>
      </c>
    </row>
    <row r="6" spans="1:3" ht="15" customHeight="1" x14ac:dyDescent="0.25">
      <c r="A6" t="s">
        <v>458</v>
      </c>
      <c r="B6" s="18">
        <v>0.12</v>
      </c>
      <c r="C6" t="s">
        <v>455</v>
      </c>
    </row>
    <row r="7" spans="1:3" ht="15" customHeight="1" x14ac:dyDescent="0.25">
      <c r="A7" t="s">
        <v>459</v>
      </c>
      <c r="B7" s="18">
        <v>0.1</v>
      </c>
      <c r="C7" t="s">
        <v>455</v>
      </c>
    </row>
    <row r="8" spans="1:3" ht="15" customHeight="1" x14ac:dyDescent="0.25">
      <c r="A8" t="s">
        <v>5</v>
      </c>
      <c r="B8" s="18">
        <v>0.22</v>
      </c>
      <c r="C8" t="s">
        <v>460</v>
      </c>
    </row>
    <row r="10" spans="1:3" ht="15" customHeight="1" x14ac:dyDescent="0.25">
      <c r="A10" t="s">
        <v>461</v>
      </c>
      <c r="B10" t="s">
        <v>329</v>
      </c>
      <c r="C10" t="s">
        <v>462</v>
      </c>
    </row>
    <row r="11" spans="1:3" ht="15" customHeight="1" x14ac:dyDescent="0.25">
      <c r="A11" t="s">
        <v>463</v>
      </c>
      <c r="B11" t="s">
        <v>464</v>
      </c>
      <c r="C11" t="s">
        <v>465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T55"/>
  <sheetViews>
    <sheetView showGridLines="0" zoomScale="80" zoomScaleNormal="80" workbookViewId="0">
      <pane ySplit="7" topLeftCell="A8" activePane="bottomLeft" state="frozen"/>
      <selection pane="bottomLeft" sqref="A1:Q1"/>
    </sheetView>
  </sheetViews>
  <sheetFormatPr defaultColWidth="8.7109375" defaultRowHeight="15" x14ac:dyDescent="0.25"/>
  <cols>
    <col min="1" max="1" width="24" customWidth="1"/>
    <col min="2" max="2" width="68" customWidth="1"/>
    <col min="3" max="3" width="10" customWidth="1"/>
    <col min="4" max="4" width="14" customWidth="1"/>
    <col min="5" max="5" width="18" customWidth="1"/>
    <col min="6" max="7" width="20" customWidth="1"/>
    <col min="8" max="14" width="18" customWidth="1"/>
    <col min="15" max="15" width="22" customWidth="1"/>
    <col min="16" max="16" width="14" customWidth="1"/>
    <col min="17" max="17" width="36" customWidth="1"/>
    <col min="18" max="19" width="24" customWidth="1"/>
    <col min="20" max="20" width="28" customWidth="1"/>
  </cols>
  <sheetData>
    <row r="1" spans="1:20" ht="17.25" customHeight="1" x14ac:dyDescent="0.25">
      <c r="A1" s="31" t="s">
        <v>466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20" ht="15" customHeight="1" x14ac:dyDescent="0.25">
      <c r="A2" s="1" t="s">
        <v>47</v>
      </c>
      <c r="B2" t="s">
        <v>49</v>
      </c>
    </row>
    <row r="3" spans="1:20" ht="15" customHeight="1" x14ac:dyDescent="0.25">
      <c r="A3" s="1" t="s">
        <v>55</v>
      </c>
      <c r="B3" t="s">
        <v>65</v>
      </c>
    </row>
    <row r="4" spans="1:20" ht="15" customHeight="1" x14ac:dyDescent="0.25">
      <c r="A4" s="1" t="s">
        <v>57</v>
      </c>
      <c r="B4" s="2">
        <v>570</v>
      </c>
    </row>
    <row r="5" spans="1:20" ht="15" customHeight="1" x14ac:dyDescent="0.25">
      <c r="A5" s="1" t="s">
        <v>467</v>
      </c>
      <c r="B5" s="3">
        <v>13258273.479044501</v>
      </c>
    </row>
    <row r="6" spans="1:20" ht="15" customHeight="1" x14ac:dyDescent="0.25">
      <c r="A6" s="1" t="s">
        <v>468</v>
      </c>
      <c r="B6" t="s">
        <v>469</v>
      </c>
    </row>
    <row r="8" spans="1:20" ht="41.25" customHeight="1" x14ac:dyDescent="0.25">
      <c r="A8" s="12" t="s">
        <v>470</v>
      </c>
      <c r="B8" s="12" t="s">
        <v>180</v>
      </c>
      <c r="C8" s="12" t="s">
        <v>139</v>
      </c>
      <c r="D8" s="12" t="s">
        <v>140</v>
      </c>
      <c r="E8" s="12" t="s">
        <v>471</v>
      </c>
      <c r="F8" s="12" t="s">
        <v>472</v>
      </c>
      <c r="G8" s="12" t="s">
        <v>473</v>
      </c>
      <c r="H8" s="12" t="s">
        <v>181</v>
      </c>
      <c r="I8" s="12" t="s">
        <v>452</v>
      </c>
      <c r="J8" s="12" t="s">
        <v>454</v>
      </c>
      <c r="K8" s="12" t="s">
        <v>456</v>
      </c>
      <c r="L8" s="12" t="s">
        <v>457</v>
      </c>
      <c r="M8" s="12" t="s">
        <v>458</v>
      </c>
      <c r="N8" s="12" t="s">
        <v>459</v>
      </c>
      <c r="O8" s="12" t="s">
        <v>474</v>
      </c>
      <c r="P8" s="12" t="s">
        <v>475</v>
      </c>
      <c r="Q8" s="12" t="s">
        <v>476</v>
      </c>
      <c r="R8" s="12" t="s">
        <v>477</v>
      </c>
      <c r="S8" s="12" t="s">
        <v>61</v>
      </c>
      <c r="T8" s="12" t="s">
        <v>478</v>
      </c>
    </row>
    <row r="9" spans="1:20" ht="15" customHeight="1" x14ac:dyDescent="0.25">
      <c r="A9" t="s">
        <v>479</v>
      </c>
      <c r="B9" t="s">
        <v>183</v>
      </c>
      <c r="C9" t="s">
        <v>112</v>
      </c>
      <c r="D9" s="2">
        <v>778.56</v>
      </c>
      <c r="E9" s="3">
        <v>71.321200000000005</v>
      </c>
      <c r="F9" s="3">
        <f t="shared" ref="F9:F50" si="0">D9*E9</f>
        <v>55527.833471999998</v>
      </c>
      <c r="G9" s="3">
        <f t="shared" ref="G9:G50" si="1">F9/1.22</f>
        <v>45514.617599999998</v>
      </c>
      <c r="H9" s="3">
        <f t="shared" ref="H9:H50" si="2">F9-G9</f>
        <v>10013.215872000001</v>
      </c>
      <c r="I9" s="3">
        <f t="shared" ref="I9:I50" si="3">G9-SUM(J9:N9)</f>
        <v>5916.9002879999971</v>
      </c>
      <c r="J9" s="3">
        <f t="shared" ref="J9:J50" si="4">G9*0.35</f>
        <v>15930.116159999998</v>
      </c>
      <c r="K9" s="3">
        <f t="shared" ref="K9:K50" si="5">G9*0.22</f>
        <v>10013.215871999999</v>
      </c>
      <c r="L9" s="3">
        <f t="shared" ref="L9:L50" si="6">G9*0.08</f>
        <v>3641.1694079999997</v>
      </c>
      <c r="M9" s="3">
        <f t="shared" ref="M9:M50" si="7">G9*0.12</f>
        <v>5461.7541119999996</v>
      </c>
      <c r="N9" s="3">
        <f t="shared" ref="N9:N50" si="8">G9*0.1</f>
        <v>4551.4617600000001</v>
      </c>
      <c r="O9" s="3">
        <f t="shared" ref="O9:O50" si="9">G9-SUM(I9:N9)</f>
        <v>0</v>
      </c>
      <c r="P9" s="18">
        <f t="shared" ref="P9:P50" si="10">IF($F$51=0,0,F9/$F$51)</f>
        <v>4.1881647380230102E-3</v>
      </c>
      <c r="Q9" s="3" t="s">
        <v>480</v>
      </c>
      <c r="R9" s="3">
        <f t="shared" ref="R9:R50" si="11">F9</f>
        <v>55527.833471999998</v>
      </c>
      <c r="S9" s="3">
        <v>0</v>
      </c>
      <c r="T9" t="s">
        <v>481</v>
      </c>
    </row>
    <row r="10" spans="1:20" ht="15" customHeight="1" x14ac:dyDescent="0.25">
      <c r="A10" t="s">
        <v>479</v>
      </c>
      <c r="B10" t="s">
        <v>482</v>
      </c>
      <c r="C10" t="s">
        <v>107</v>
      </c>
      <c r="D10" s="2">
        <v>175.5</v>
      </c>
      <c r="E10" s="3">
        <v>8492.2369999999992</v>
      </c>
      <c r="F10" s="3">
        <f t="shared" si="0"/>
        <v>1490387.5935</v>
      </c>
      <c r="G10" s="3">
        <f t="shared" si="1"/>
        <v>1221629.175</v>
      </c>
      <c r="H10" s="3">
        <f t="shared" si="2"/>
        <v>268758.41849999991</v>
      </c>
      <c r="I10" s="3">
        <f t="shared" si="3"/>
        <v>158811.79275000002</v>
      </c>
      <c r="J10" s="3">
        <f t="shared" si="4"/>
        <v>427570.21124999999</v>
      </c>
      <c r="K10" s="3">
        <f t="shared" si="5"/>
        <v>268758.41850000003</v>
      </c>
      <c r="L10" s="3">
        <f t="shared" si="6"/>
        <v>97730.334000000003</v>
      </c>
      <c r="M10" s="3">
        <f t="shared" si="7"/>
        <v>146595.50099999999</v>
      </c>
      <c r="N10" s="3">
        <f t="shared" si="8"/>
        <v>122162.91750000001</v>
      </c>
      <c r="O10" s="3">
        <f t="shared" si="9"/>
        <v>0</v>
      </c>
      <c r="P10" s="18">
        <f t="shared" si="10"/>
        <v>0.11241189102454727</v>
      </c>
      <c r="Q10" s="3" t="s">
        <v>480</v>
      </c>
      <c r="R10" s="3">
        <f t="shared" si="11"/>
        <v>1490387.5935</v>
      </c>
      <c r="S10" s="3">
        <v>0</v>
      </c>
      <c r="T10" t="s">
        <v>481</v>
      </c>
    </row>
    <row r="11" spans="1:20" ht="15" customHeight="1" x14ac:dyDescent="0.25">
      <c r="A11" t="s">
        <v>479</v>
      </c>
      <c r="B11" t="s">
        <v>483</v>
      </c>
      <c r="C11" t="s">
        <v>112</v>
      </c>
      <c r="D11" s="2">
        <v>18656.361919999999</v>
      </c>
      <c r="E11" s="3">
        <v>0</v>
      </c>
      <c r="F11" s="3">
        <f t="shared" si="0"/>
        <v>0</v>
      </c>
      <c r="G11" s="3">
        <f t="shared" si="1"/>
        <v>0</v>
      </c>
      <c r="H11" s="3">
        <f t="shared" si="2"/>
        <v>0</v>
      </c>
      <c r="I11" s="3">
        <f t="shared" si="3"/>
        <v>0</v>
      </c>
      <c r="J11" s="3">
        <f t="shared" si="4"/>
        <v>0</v>
      </c>
      <c r="K11" s="3">
        <f t="shared" si="5"/>
        <v>0</v>
      </c>
      <c r="L11" s="3">
        <f t="shared" si="6"/>
        <v>0</v>
      </c>
      <c r="M11" s="3">
        <f t="shared" si="7"/>
        <v>0</v>
      </c>
      <c r="N11" s="3">
        <f t="shared" si="8"/>
        <v>0</v>
      </c>
      <c r="O11" s="3">
        <f t="shared" si="9"/>
        <v>0</v>
      </c>
      <c r="P11" s="18">
        <f t="shared" si="10"/>
        <v>0</v>
      </c>
      <c r="Q11" s="3" t="s">
        <v>480</v>
      </c>
      <c r="R11" s="3">
        <f t="shared" si="11"/>
        <v>0</v>
      </c>
      <c r="S11" s="3">
        <v>0</v>
      </c>
      <c r="T11" t="s">
        <v>481</v>
      </c>
    </row>
    <row r="12" spans="1:20" ht="15" customHeight="1" x14ac:dyDescent="0.25">
      <c r="A12" t="s">
        <v>479</v>
      </c>
      <c r="B12" t="s">
        <v>484</v>
      </c>
      <c r="C12" t="s">
        <v>107</v>
      </c>
      <c r="D12" s="2">
        <v>87.75</v>
      </c>
      <c r="E12" s="3">
        <v>1853.3630000000001</v>
      </c>
      <c r="F12" s="3">
        <f t="shared" si="0"/>
        <v>162632.60325000001</v>
      </c>
      <c r="G12" s="3">
        <f t="shared" si="1"/>
        <v>133305.41250000001</v>
      </c>
      <c r="H12" s="3">
        <f t="shared" si="2"/>
        <v>29327.190750000009</v>
      </c>
      <c r="I12" s="3">
        <f t="shared" si="3"/>
        <v>17329.703624999995</v>
      </c>
      <c r="J12" s="3">
        <f t="shared" si="4"/>
        <v>46656.894374999996</v>
      </c>
      <c r="K12" s="3">
        <f t="shared" si="5"/>
        <v>29327.190750000002</v>
      </c>
      <c r="L12" s="3">
        <f t="shared" si="6"/>
        <v>10664.433000000001</v>
      </c>
      <c r="M12" s="3">
        <f t="shared" si="7"/>
        <v>15996.6495</v>
      </c>
      <c r="N12" s="3">
        <f t="shared" si="8"/>
        <v>13330.541250000002</v>
      </c>
      <c r="O12" s="3">
        <f t="shared" si="9"/>
        <v>0</v>
      </c>
      <c r="P12" s="18">
        <f t="shared" si="10"/>
        <v>1.2266499367889051E-2</v>
      </c>
      <c r="Q12" s="3" t="s">
        <v>480</v>
      </c>
      <c r="R12" s="3">
        <f t="shared" si="11"/>
        <v>162632.60325000001</v>
      </c>
      <c r="S12" s="3">
        <v>0</v>
      </c>
      <c r="T12" t="s">
        <v>481</v>
      </c>
    </row>
    <row r="13" spans="1:20" ht="15" customHeight="1" x14ac:dyDescent="0.25">
      <c r="A13" t="s">
        <v>479</v>
      </c>
      <c r="B13" t="s">
        <v>485</v>
      </c>
      <c r="C13" t="s">
        <v>107</v>
      </c>
      <c r="D13" s="2">
        <v>263.25</v>
      </c>
      <c r="E13" s="3">
        <v>3497.9474</v>
      </c>
      <c r="F13" s="3">
        <f t="shared" si="0"/>
        <v>920834.65304999996</v>
      </c>
      <c r="G13" s="3">
        <f t="shared" si="1"/>
        <v>754782.50249999994</v>
      </c>
      <c r="H13" s="3">
        <f t="shared" si="2"/>
        <v>166052.15055000002</v>
      </c>
      <c r="I13" s="3">
        <f t="shared" si="3"/>
        <v>98121.725325000007</v>
      </c>
      <c r="J13" s="3">
        <f t="shared" si="4"/>
        <v>264173.87587499997</v>
      </c>
      <c r="K13" s="3">
        <f t="shared" si="5"/>
        <v>166052.15054999999</v>
      </c>
      <c r="L13" s="3">
        <f t="shared" si="6"/>
        <v>60382.600199999993</v>
      </c>
      <c r="M13" s="3">
        <f t="shared" si="7"/>
        <v>90573.900299999994</v>
      </c>
      <c r="N13" s="3">
        <f t="shared" si="8"/>
        <v>75478.250249999997</v>
      </c>
      <c r="O13" s="3">
        <f t="shared" si="9"/>
        <v>0</v>
      </c>
      <c r="P13" s="18">
        <f t="shared" si="10"/>
        <v>6.9453587188816987E-2</v>
      </c>
      <c r="Q13" s="3" t="s">
        <v>480</v>
      </c>
      <c r="R13" s="3">
        <f t="shared" si="11"/>
        <v>920834.65304999996</v>
      </c>
      <c r="S13" s="3">
        <v>0</v>
      </c>
      <c r="T13" t="s">
        <v>481</v>
      </c>
    </row>
    <row r="14" spans="1:20" ht="15" customHeight="1" x14ac:dyDescent="0.25">
      <c r="A14" t="s">
        <v>479</v>
      </c>
      <c r="B14" t="s">
        <v>486</v>
      </c>
      <c r="C14" t="s">
        <v>107</v>
      </c>
      <c r="D14" s="2">
        <v>263.25</v>
      </c>
      <c r="E14" s="3">
        <v>3497.9474</v>
      </c>
      <c r="F14" s="3">
        <f t="shared" si="0"/>
        <v>920834.65304999996</v>
      </c>
      <c r="G14" s="3">
        <f t="shared" si="1"/>
        <v>754782.50249999994</v>
      </c>
      <c r="H14" s="3">
        <f t="shared" si="2"/>
        <v>166052.15055000002</v>
      </c>
      <c r="I14" s="3">
        <f t="shared" si="3"/>
        <v>98121.725325000007</v>
      </c>
      <c r="J14" s="3">
        <f t="shared" si="4"/>
        <v>264173.87587499997</v>
      </c>
      <c r="K14" s="3">
        <f t="shared" si="5"/>
        <v>166052.15054999999</v>
      </c>
      <c r="L14" s="3">
        <f t="shared" si="6"/>
        <v>60382.600199999993</v>
      </c>
      <c r="M14" s="3">
        <f t="shared" si="7"/>
        <v>90573.900299999994</v>
      </c>
      <c r="N14" s="3">
        <f t="shared" si="8"/>
        <v>75478.250249999997</v>
      </c>
      <c r="O14" s="3">
        <f t="shared" si="9"/>
        <v>0</v>
      </c>
      <c r="P14" s="18">
        <f t="shared" si="10"/>
        <v>6.9453587188816987E-2</v>
      </c>
      <c r="Q14" s="3" t="s">
        <v>480</v>
      </c>
      <c r="R14" s="3">
        <f t="shared" si="11"/>
        <v>920834.65304999996</v>
      </c>
      <c r="S14" s="3">
        <v>0</v>
      </c>
      <c r="T14" t="s">
        <v>481</v>
      </c>
    </row>
    <row r="15" spans="1:20" ht="15" customHeight="1" x14ac:dyDescent="0.25">
      <c r="A15" t="s">
        <v>487</v>
      </c>
      <c r="B15" t="s">
        <v>244</v>
      </c>
      <c r="C15" t="s">
        <v>146</v>
      </c>
      <c r="D15" s="2">
        <v>3.2307199999999998</v>
      </c>
      <c r="E15" s="3">
        <v>1853.3630000000001</v>
      </c>
      <c r="F15" s="3">
        <f t="shared" si="0"/>
        <v>5987.6969113599998</v>
      </c>
      <c r="G15" s="3">
        <f t="shared" si="1"/>
        <v>4907.9482879999996</v>
      </c>
      <c r="H15" s="3">
        <f t="shared" si="2"/>
        <v>1079.7486233600002</v>
      </c>
      <c r="I15" s="3">
        <f t="shared" si="3"/>
        <v>638.03327743999944</v>
      </c>
      <c r="J15" s="3">
        <f t="shared" si="4"/>
        <v>1717.7819007999997</v>
      </c>
      <c r="K15" s="3">
        <f t="shared" si="5"/>
        <v>1079.74862336</v>
      </c>
      <c r="L15" s="3">
        <f t="shared" si="6"/>
        <v>392.63586304</v>
      </c>
      <c r="M15" s="3">
        <f t="shared" si="7"/>
        <v>588.95379455999989</v>
      </c>
      <c r="N15" s="3">
        <f t="shared" si="8"/>
        <v>490.7948288</v>
      </c>
      <c r="O15" s="3">
        <f t="shared" si="9"/>
        <v>0</v>
      </c>
      <c r="P15" s="18">
        <f t="shared" si="10"/>
        <v>4.5161965627152719E-4</v>
      </c>
      <c r="Q15" s="3" t="s">
        <v>480</v>
      </c>
      <c r="R15" s="3">
        <f t="shared" si="11"/>
        <v>5987.6969113599998</v>
      </c>
      <c r="S15" s="3">
        <v>0</v>
      </c>
      <c r="T15" t="s">
        <v>481</v>
      </c>
    </row>
    <row r="16" spans="1:20" ht="15" customHeight="1" x14ac:dyDescent="0.25">
      <c r="A16" t="s">
        <v>487</v>
      </c>
      <c r="B16" t="s">
        <v>245</v>
      </c>
      <c r="C16" t="s">
        <v>188</v>
      </c>
      <c r="D16" s="2">
        <v>4.5230079999999999</v>
      </c>
      <c r="E16" s="3">
        <v>3497.9474</v>
      </c>
      <c r="F16" s="3">
        <f t="shared" si="0"/>
        <v>15821.2440737792</v>
      </c>
      <c r="G16" s="3">
        <f t="shared" si="1"/>
        <v>12968.232847360001</v>
      </c>
      <c r="H16" s="3">
        <f t="shared" si="2"/>
        <v>2853.0112264191994</v>
      </c>
      <c r="I16" s="3">
        <f t="shared" si="3"/>
        <v>1685.8702701568018</v>
      </c>
      <c r="J16" s="3">
        <f t="shared" si="4"/>
        <v>4538.8814965760002</v>
      </c>
      <c r="K16" s="3">
        <f t="shared" si="5"/>
        <v>2853.0112264192003</v>
      </c>
      <c r="L16" s="3">
        <f t="shared" si="6"/>
        <v>1037.4586277888002</v>
      </c>
      <c r="M16" s="3">
        <f t="shared" si="7"/>
        <v>1556.1879416832001</v>
      </c>
      <c r="N16" s="3">
        <f t="shared" si="8"/>
        <v>1296.8232847360002</v>
      </c>
      <c r="O16" s="3">
        <f t="shared" si="9"/>
        <v>0</v>
      </c>
      <c r="P16" s="18">
        <f t="shared" si="10"/>
        <v>1.1933110369751825E-3</v>
      </c>
      <c r="Q16" s="3" t="s">
        <v>480</v>
      </c>
      <c r="R16" s="3">
        <f t="shared" si="11"/>
        <v>15821.2440737792</v>
      </c>
      <c r="S16" s="3">
        <v>0</v>
      </c>
      <c r="T16" t="s">
        <v>481</v>
      </c>
    </row>
    <row r="17" spans="1:20" ht="15" customHeight="1" x14ac:dyDescent="0.25">
      <c r="A17" t="s">
        <v>151</v>
      </c>
      <c r="B17" t="s">
        <v>247</v>
      </c>
      <c r="C17" t="s">
        <v>145</v>
      </c>
      <c r="D17" s="2">
        <v>19.8</v>
      </c>
      <c r="E17" s="3">
        <v>598.53200000000004</v>
      </c>
      <c r="F17" s="3">
        <f t="shared" si="0"/>
        <v>11850.9336</v>
      </c>
      <c r="G17" s="3">
        <f t="shared" si="1"/>
        <v>9713.880000000001</v>
      </c>
      <c r="H17" s="3">
        <f t="shared" si="2"/>
        <v>2137.0535999999993</v>
      </c>
      <c r="I17" s="3">
        <f t="shared" si="3"/>
        <v>1262.8043999999991</v>
      </c>
      <c r="J17" s="3">
        <f t="shared" si="4"/>
        <v>3399.8580000000002</v>
      </c>
      <c r="K17" s="3">
        <f t="shared" si="5"/>
        <v>2137.0536000000002</v>
      </c>
      <c r="L17" s="3">
        <f t="shared" si="6"/>
        <v>777.11040000000014</v>
      </c>
      <c r="M17" s="3">
        <f t="shared" si="7"/>
        <v>1165.6656</v>
      </c>
      <c r="N17" s="3">
        <f t="shared" si="8"/>
        <v>971.38800000000015</v>
      </c>
      <c r="O17" s="3">
        <f t="shared" si="9"/>
        <v>0</v>
      </c>
      <c r="P17" s="18">
        <f t="shared" si="10"/>
        <v>8.9385194978298488E-4</v>
      </c>
      <c r="Q17" s="3" t="s">
        <v>480</v>
      </c>
      <c r="R17" s="3">
        <f t="shared" si="11"/>
        <v>11850.9336</v>
      </c>
      <c r="S17" s="3">
        <v>0</v>
      </c>
      <c r="T17" t="s">
        <v>481</v>
      </c>
    </row>
    <row r="18" spans="1:20" ht="15" customHeight="1" x14ac:dyDescent="0.25">
      <c r="A18" t="s">
        <v>151</v>
      </c>
      <c r="B18" t="s">
        <v>248</v>
      </c>
      <c r="C18" t="s">
        <v>146</v>
      </c>
      <c r="D18" s="2">
        <v>0.99</v>
      </c>
      <c r="E18" s="3">
        <v>5261.2744000000002</v>
      </c>
      <c r="F18" s="3">
        <f t="shared" si="0"/>
        <v>5208.6616560000002</v>
      </c>
      <c r="G18" s="3">
        <f t="shared" si="1"/>
        <v>4269.3948</v>
      </c>
      <c r="H18" s="3">
        <f t="shared" si="2"/>
        <v>939.26685600000019</v>
      </c>
      <c r="I18" s="3">
        <f t="shared" si="3"/>
        <v>555.02132400000028</v>
      </c>
      <c r="J18" s="3">
        <f t="shared" si="4"/>
        <v>1494.28818</v>
      </c>
      <c r="K18" s="3">
        <f t="shared" si="5"/>
        <v>939.26685599999996</v>
      </c>
      <c r="L18" s="3">
        <f t="shared" si="6"/>
        <v>341.55158399999999</v>
      </c>
      <c r="M18" s="3">
        <f t="shared" si="7"/>
        <v>512.32737599999996</v>
      </c>
      <c r="N18" s="3">
        <f t="shared" si="8"/>
        <v>426.93948</v>
      </c>
      <c r="O18" s="3">
        <f t="shared" si="9"/>
        <v>0</v>
      </c>
      <c r="P18" s="18">
        <f t="shared" si="10"/>
        <v>3.9286123221342415E-4</v>
      </c>
      <c r="Q18" s="3" t="s">
        <v>480</v>
      </c>
      <c r="R18" s="3">
        <f t="shared" si="11"/>
        <v>5208.6616560000002</v>
      </c>
      <c r="S18" s="3">
        <v>0</v>
      </c>
      <c r="T18" t="s">
        <v>481</v>
      </c>
    </row>
    <row r="19" spans="1:20" ht="15" customHeight="1" x14ac:dyDescent="0.25">
      <c r="A19" t="s">
        <v>151</v>
      </c>
      <c r="B19" t="s">
        <v>249</v>
      </c>
      <c r="C19" t="s">
        <v>146</v>
      </c>
      <c r="D19" s="2">
        <v>1.98</v>
      </c>
      <c r="E19" s="3">
        <v>10026.301600000001</v>
      </c>
      <c r="F19" s="3">
        <f t="shared" si="0"/>
        <v>19852.077168</v>
      </c>
      <c r="G19" s="3">
        <f t="shared" si="1"/>
        <v>16272.1944</v>
      </c>
      <c r="H19" s="3">
        <f t="shared" si="2"/>
        <v>3579.8827679999995</v>
      </c>
      <c r="I19" s="3">
        <f t="shared" si="3"/>
        <v>2115.3852719999977</v>
      </c>
      <c r="J19" s="3">
        <f t="shared" si="4"/>
        <v>5695.2680399999999</v>
      </c>
      <c r="K19" s="3">
        <f t="shared" si="5"/>
        <v>3579.8827679999999</v>
      </c>
      <c r="L19" s="3">
        <f t="shared" si="6"/>
        <v>1301.7755520000001</v>
      </c>
      <c r="M19" s="3">
        <f t="shared" si="7"/>
        <v>1952.6633279999999</v>
      </c>
      <c r="N19" s="3">
        <f t="shared" si="8"/>
        <v>1627.2194400000001</v>
      </c>
      <c r="O19" s="3">
        <f t="shared" si="9"/>
        <v>0</v>
      </c>
      <c r="P19" s="18">
        <f t="shared" si="10"/>
        <v>1.4973350187245228E-3</v>
      </c>
      <c r="Q19" s="3" t="s">
        <v>480</v>
      </c>
      <c r="R19" s="3">
        <f t="shared" si="11"/>
        <v>19852.077168</v>
      </c>
      <c r="S19" s="3">
        <v>0</v>
      </c>
      <c r="T19" t="s">
        <v>481</v>
      </c>
    </row>
    <row r="20" spans="1:20" ht="15" customHeight="1" x14ac:dyDescent="0.25">
      <c r="A20" t="s">
        <v>151</v>
      </c>
      <c r="B20" t="s">
        <v>250</v>
      </c>
      <c r="C20" t="s">
        <v>146</v>
      </c>
      <c r="D20" s="2">
        <v>1.8149999999999999</v>
      </c>
      <c r="E20" s="3">
        <v>74702.954599999997</v>
      </c>
      <c r="F20" s="3">
        <f t="shared" si="0"/>
        <v>135585.86259899999</v>
      </c>
      <c r="G20" s="3">
        <f t="shared" si="1"/>
        <v>111135.95294999999</v>
      </c>
      <c r="H20" s="3">
        <f t="shared" si="2"/>
        <v>24449.909648999994</v>
      </c>
      <c r="I20" s="3">
        <f t="shared" si="3"/>
        <v>14447.6738835</v>
      </c>
      <c r="J20" s="3">
        <f t="shared" si="4"/>
        <v>38897.583532499993</v>
      </c>
      <c r="K20" s="3">
        <f t="shared" si="5"/>
        <v>24449.909648999997</v>
      </c>
      <c r="L20" s="3">
        <f t="shared" si="6"/>
        <v>8890.8762360000001</v>
      </c>
      <c r="M20" s="3">
        <f t="shared" si="7"/>
        <v>13336.314353999998</v>
      </c>
      <c r="N20" s="3">
        <f t="shared" si="8"/>
        <v>11113.595294999999</v>
      </c>
      <c r="O20" s="3">
        <f t="shared" si="9"/>
        <v>0</v>
      </c>
      <c r="P20" s="18">
        <f t="shared" si="10"/>
        <v>1.0226509719632891E-2</v>
      </c>
      <c r="Q20" s="3" t="s">
        <v>480</v>
      </c>
      <c r="R20" s="3">
        <f t="shared" si="11"/>
        <v>135585.86259899999</v>
      </c>
      <c r="S20" s="3">
        <v>0</v>
      </c>
      <c r="T20" t="s">
        <v>481</v>
      </c>
    </row>
    <row r="21" spans="1:20" ht="15" customHeight="1" x14ac:dyDescent="0.25">
      <c r="A21" t="s">
        <v>151</v>
      </c>
      <c r="B21" t="s">
        <v>251</v>
      </c>
      <c r="C21" t="s">
        <v>145</v>
      </c>
      <c r="D21" s="2">
        <v>36.762</v>
      </c>
      <c r="E21" s="3">
        <v>1894.7331999999999</v>
      </c>
      <c r="F21" s="3">
        <f t="shared" si="0"/>
        <v>69654.181898399998</v>
      </c>
      <c r="G21" s="3">
        <f t="shared" si="1"/>
        <v>57093.591719999997</v>
      </c>
      <c r="H21" s="3">
        <f t="shared" si="2"/>
        <v>12560.590178400002</v>
      </c>
      <c r="I21" s="3">
        <f t="shared" si="3"/>
        <v>7422.1669236000016</v>
      </c>
      <c r="J21" s="3">
        <f t="shared" si="4"/>
        <v>19982.757101999996</v>
      </c>
      <c r="K21" s="3">
        <f t="shared" si="5"/>
        <v>12560.5901784</v>
      </c>
      <c r="L21" s="3">
        <f t="shared" si="6"/>
        <v>4567.4873375999996</v>
      </c>
      <c r="M21" s="3">
        <f t="shared" si="7"/>
        <v>6851.2310063999994</v>
      </c>
      <c r="N21" s="3">
        <f t="shared" si="8"/>
        <v>5709.3591720000004</v>
      </c>
      <c r="O21" s="3">
        <f t="shared" si="9"/>
        <v>0</v>
      </c>
      <c r="P21" s="18">
        <f t="shared" si="10"/>
        <v>5.2536389454096279E-3</v>
      </c>
      <c r="Q21" s="3" t="s">
        <v>480</v>
      </c>
      <c r="R21" s="3">
        <f t="shared" si="11"/>
        <v>69654.181898399998</v>
      </c>
      <c r="S21" s="3">
        <v>0</v>
      </c>
      <c r="T21" t="s">
        <v>481</v>
      </c>
    </row>
    <row r="22" spans="1:20" ht="15" customHeight="1" x14ac:dyDescent="0.25">
      <c r="A22" t="s">
        <v>151</v>
      </c>
      <c r="B22" t="s">
        <v>252</v>
      </c>
      <c r="C22" t="s">
        <v>112</v>
      </c>
      <c r="D22" s="2">
        <v>495</v>
      </c>
      <c r="E22" s="3">
        <v>487.89019999999999</v>
      </c>
      <c r="F22" s="3">
        <f t="shared" si="0"/>
        <v>241505.649</v>
      </c>
      <c r="G22" s="3">
        <f t="shared" si="1"/>
        <v>197955.45</v>
      </c>
      <c r="H22" s="3">
        <f t="shared" si="2"/>
        <v>43550.198999999993</v>
      </c>
      <c r="I22" s="3">
        <f t="shared" si="3"/>
        <v>25734.208500000008</v>
      </c>
      <c r="J22" s="3">
        <f t="shared" si="4"/>
        <v>69284.407500000001</v>
      </c>
      <c r="K22" s="3">
        <f t="shared" si="5"/>
        <v>43550.199000000001</v>
      </c>
      <c r="L22" s="3">
        <f t="shared" si="6"/>
        <v>15836.436000000002</v>
      </c>
      <c r="M22" s="3">
        <f t="shared" si="7"/>
        <v>23754.654000000002</v>
      </c>
      <c r="N22" s="3">
        <f t="shared" si="8"/>
        <v>19795.545000000002</v>
      </c>
      <c r="O22" s="3">
        <f t="shared" si="9"/>
        <v>0</v>
      </c>
      <c r="P22" s="18">
        <f t="shared" si="10"/>
        <v>1.8215467449944633E-2</v>
      </c>
      <c r="Q22" s="3" t="s">
        <v>480</v>
      </c>
      <c r="R22" s="3">
        <f t="shared" si="11"/>
        <v>241505.649</v>
      </c>
      <c r="S22" s="3">
        <v>0</v>
      </c>
      <c r="T22" t="s">
        <v>481</v>
      </c>
    </row>
    <row r="23" spans="1:20" ht="15" customHeight="1" x14ac:dyDescent="0.25">
      <c r="A23" t="s">
        <v>151</v>
      </c>
      <c r="B23" t="s">
        <v>106</v>
      </c>
      <c r="C23" t="s">
        <v>146</v>
      </c>
      <c r="D23" s="2">
        <v>1.089</v>
      </c>
      <c r="E23" s="3">
        <v>0</v>
      </c>
      <c r="F23" s="3">
        <f t="shared" si="0"/>
        <v>0</v>
      </c>
      <c r="G23" s="3">
        <f t="shared" si="1"/>
        <v>0</v>
      </c>
      <c r="H23" s="3">
        <f t="shared" si="2"/>
        <v>0</v>
      </c>
      <c r="I23" s="3">
        <f t="shared" si="3"/>
        <v>0</v>
      </c>
      <c r="J23" s="3">
        <f t="shared" si="4"/>
        <v>0</v>
      </c>
      <c r="K23" s="3">
        <f t="shared" si="5"/>
        <v>0</v>
      </c>
      <c r="L23" s="3">
        <f t="shared" si="6"/>
        <v>0</v>
      </c>
      <c r="M23" s="3">
        <f t="shared" si="7"/>
        <v>0</v>
      </c>
      <c r="N23" s="3">
        <f t="shared" si="8"/>
        <v>0</v>
      </c>
      <c r="O23" s="3">
        <f t="shared" si="9"/>
        <v>0</v>
      </c>
      <c r="P23" s="18">
        <f t="shared" si="10"/>
        <v>0</v>
      </c>
      <c r="Q23" s="3" t="s">
        <v>480</v>
      </c>
      <c r="R23" s="3">
        <f t="shared" si="11"/>
        <v>0</v>
      </c>
      <c r="S23" s="3">
        <v>0</v>
      </c>
      <c r="T23" t="s">
        <v>481</v>
      </c>
    </row>
    <row r="24" spans="1:20" ht="15" customHeight="1" x14ac:dyDescent="0.25">
      <c r="A24" t="s">
        <v>151</v>
      </c>
      <c r="B24" t="s">
        <v>108</v>
      </c>
      <c r="C24" t="s">
        <v>146</v>
      </c>
      <c r="D24" s="2">
        <v>1.2474000000000001</v>
      </c>
      <c r="E24" s="3">
        <v>0</v>
      </c>
      <c r="F24" s="3">
        <f t="shared" si="0"/>
        <v>0</v>
      </c>
      <c r="G24" s="3">
        <f t="shared" si="1"/>
        <v>0</v>
      </c>
      <c r="H24" s="3">
        <f t="shared" si="2"/>
        <v>0</v>
      </c>
      <c r="I24" s="3">
        <f t="shared" si="3"/>
        <v>0</v>
      </c>
      <c r="J24" s="3">
        <f t="shared" si="4"/>
        <v>0</v>
      </c>
      <c r="K24" s="3">
        <f t="shared" si="5"/>
        <v>0</v>
      </c>
      <c r="L24" s="3">
        <f t="shared" si="6"/>
        <v>0</v>
      </c>
      <c r="M24" s="3">
        <f t="shared" si="7"/>
        <v>0</v>
      </c>
      <c r="N24" s="3">
        <f t="shared" si="8"/>
        <v>0</v>
      </c>
      <c r="O24" s="3">
        <f t="shared" si="9"/>
        <v>0</v>
      </c>
      <c r="P24" s="18">
        <f t="shared" si="10"/>
        <v>0</v>
      </c>
      <c r="Q24" s="3" t="s">
        <v>480</v>
      </c>
      <c r="R24" s="3">
        <f t="shared" si="11"/>
        <v>0</v>
      </c>
      <c r="S24" s="3">
        <v>0</v>
      </c>
      <c r="T24" t="s">
        <v>481</v>
      </c>
    </row>
    <row r="25" spans="1:20" ht="15" customHeight="1" x14ac:dyDescent="0.25">
      <c r="A25" t="s">
        <v>151</v>
      </c>
      <c r="B25" t="s">
        <v>122</v>
      </c>
      <c r="C25" t="s">
        <v>148</v>
      </c>
      <c r="D25" s="2">
        <v>33</v>
      </c>
      <c r="E25" s="3">
        <v>0</v>
      </c>
      <c r="F25" s="3">
        <f t="shared" si="0"/>
        <v>0</v>
      </c>
      <c r="G25" s="3">
        <f t="shared" si="1"/>
        <v>0</v>
      </c>
      <c r="H25" s="3">
        <f t="shared" si="2"/>
        <v>0</v>
      </c>
      <c r="I25" s="3">
        <f t="shared" si="3"/>
        <v>0</v>
      </c>
      <c r="J25" s="3">
        <f t="shared" si="4"/>
        <v>0</v>
      </c>
      <c r="K25" s="3">
        <f t="shared" si="5"/>
        <v>0</v>
      </c>
      <c r="L25" s="3">
        <f t="shared" si="6"/>
        <v>0</v>
      </c>
      <c r="M25" s="3">
        <f t="shared" si="7"/>
        <v>0</v>
      </c>
      <c r="N25" s="3">
        <f t="shared" si="8"/>
        <v>0</v>
      </c>
      <c r="O25" s="3">
        <f t="shared" si="9"/>
        <v>0</v>
      </c>
      <c r="P25" s="18">
        <f t="shared" si="10"/>
        <v>0</v>
      </c>
      <c r="Q25" s="3" t="s">
        <v>480</v>
      </c>
      <c r="R25" s="3">
        <f t="shared" si="11"/>
        <v>0</v>
      </c>
      <c r="S25" s="3">
        <v>0</v>
      </c>
      <c r="T25" t="s">
        <v>481</v>
      </c>
    </row>
    <row r="26" spans="1:20" ht="15" customHeight="1" x14ac:dyDescent="0.25">
      <c r="A26" t="s">
        <v>151</v>
      </c>
      <c r="B26" t="s">
        <v>124</v>
      </c>
      <c r="C26" t="s">
        <v>148</v>
      </c>
      <c r="D26" s="2">
        <v>66</v>
      </c>
      <c r="E26" s="3">
        <v>0</v>
      </c>
      <c r="F26" s="3">
        <f t="shared" si="0"/>
        <v>0</v>
      </c>
      <c r="G26" s="3">
        <f t="shared" si="1"/>
        <v>0</v>
      </c>
      <c r="H26" s="3">
        <f t="shared" si="2"/>
        <v>0</v>
      </c>
      <c r="I26" s="3">
        <f t="shared" si="3"/>
        <v>0</v>
      </c>
      <c r="J26" s="3">
        <f t="shared" si="4"/>
        <v>0</v>
      </c>
      <c r="K26" s="3">
        <f t="shared" si="5"/>
        <v>0</v>
      </c>
      <c r="L26" s="3">
        <f t="shared" si="6"/>
        <v>0</v>
      </c>
      <c r="M26" s="3">
        <f t="shared" si="7"/>
        <v>0</v>
      </c>
      <c r="N26" s="3">
        <f t="shared" si="8"/>
        <v>0</v>
      </c>
      <c r="O26" s="3">
        <f t="shared" si="9"/>
        <v>0</v>
      </c>
      <c r="P26" s="18">
        <f t="shared" si="10"/>
        <v>0</v>
      </c>
      <c r="Q26" s="3" t="s">
        <v>480</v>
      </c>
      <c r="R26" s="3">
        <f t="shared" si="11"/>
        <v>0</v>
      </c>
      <c r="S26" s="3">
        <v>0</v>
      </c>
      <c r="T26" t="s">
        <v>481</v>
      </c>
    </row>
    <row r="27" spans="1:20" ht="15" customHeight="1" x14ac:dyDescent="0.25">
      <c r="A27" t="s">
        <v>151</v>
      </c>
      <c r="B27" t="s">
        <v>111</v>
      </c>
      <c r="C27" t="s">
        <v>112</v>
      </c>
      <c r="D27" s="2">
        <v>110.286</v>
      </c>
      <c r="E27" s="3">
        <v>0</v>
      </c>
      <c r="F27" s="3">
        <f t="shared" si="0"/>
        <v>0</v>
      </c>
      <c r="G27" s="3">
        <f t="shared" si="1"/>
        <v>0</v>
      </c>
      <c r="H27" s="3">
        <f t="shared" si="2"/>
        <v>0</v>
      </c>
      <c r="I27" s="3">
        <f t="shared" si="3"/>
        <v>0</v>
      </c>
      <c r="J27" s="3">
        <f t="shared" si="4"/>
        <v>0</v>
      </c>
      <c r="K27" s="3">
        <f t="shared" si="5"/>
        <v>0</v>
      </c>
      <c r="L27" s="3">
        <f t="shared" si="6"/>
        <v>0</v>
      </c>
      <c r="M27" s="3">
        <f t="shared" si="7"/>
        <v>0</v>
      </c>
      <c r="N27" s="3">
        <f t="shared" si="8"/>
        <v>0</v>
      </c>
      <c r="O27" s="3">
        <f t="shared" si="9"/>
        <v>0</v>
      </c>
      <c r="P27" s="18">
        <f t="shared" si="10"/>
        <v>0</v>
      </c>
      <c r="Q27" s="3" t="s">
        <v>480</v>
      </c>
      <c r="R27" s="3">
        <f t="shared" si="11"/>
        <v>0</v>
      </c>
      <c r="S27" s="3">
        <v>0</v>
      </c>
      <c r="T27" t="s">
        <v>481</v>
      </c>
    </row>
    <row r="28" spans="1:20" ht="15" customHeight="1" x14ac:dyDescent="0.25">
      <c r="A28" t="s">
        <v>152</v>
      </c>
      <c r="B28" t="s">
        <v>247</v>
      </c>
      <c r="C28" t="s">
        <v>145</v>
      </c>
      <c r="D28" s="2">
        <v>570</v>
      </c>
      <c r="E28" s="3">
        <v>598.53200000000004</v>
      </c>
      <c r="F28" s="3">
        <f t="shared" si="0"/>
        <v>341163.24000000005</v>
      </c>
      <c r="G28" s="3">
        <f t="shared" si="1"/>
        <v>279642.00000000006</v>
      </c>
      <c r="H28" s="3">
        <f t="shared" si="2"/>
        <v>61521.239999999991</v>
      </c>
      <c r="I28" s="3">
        <f t="shared" si="3"/>
        <v>36353.459999999992</v>
      </c>
      <c r="J28" s="3">
        <f t="shared" si="4"/>
        <v>97874.700000000012</v>
      </c>
      <c r="K28" s="3">
        <f t="shared" si="5"/>
        <v>61521.240000000013</v>
      </c>
      <c r="L28" s="3">
        <f t="shared" si="6"/>
        <v>22371.360000000004</v>
      </c>
      <c r="M28" s="3">
        <f t="shared" si="7"/>
        <v>33557.040000000008</v>
      </c>
      <c r="N28" s="3">
        <f t="shared" si="8"/>
        <v>27964.200000000008</v>
      </c>
      <c r="O28" s="3">
        <f t="shared" si="9"/>
        <v>0</v>
      </c>
      <c r="P28" s="18">
        <f t="shared" si="10"/>
        <v>2.5732101584661687E-2</v>
      </c>
      <c r="Q28" s="3" t="s">
        <v>480</v>
      </c>
      <c r="R28" s="3">
        <f t="shared" si="11"/>
        <v>341163.24000000005</v>
      </c>
      <c r="S28" s="3">
        <v>0</v>
      </c>
      <c r="T28" t="s">
        <v>481</v>
      </c>
    </row>
    <row r="29" spans="1:20" ht="15" customHeight="1" x14ac:dyDescent="0.25">
      <c r="A29" t="s">
        <v>152</v>
      </c>
      <c r="B29" t="s">
        <v>254</v>
      </c>
      <c r="C29" t="s">
        <v>146</v>
      </c>
      <c r="D29" s="2">
        <v>5.7</v>
      </c>
      <c r="E29" s="3">
        <v>5261.2744000000002</v>
      </c>
      <c r="F29" s="3">
        <f t="shared" si="0"/>
        <v>29989.264080000001</v>
      </c>
      <c r="G29" s="3">
        <f t="shared" si="1"/>
        <v>24581.364000000001</v>
      </c>
      <c r="H29" s="3">
        <f t="shared" si="2"/>
        <v>5407.9000799999994</v>
      </c>
      <c r="I29" s="3">
        <f t="shared" si="3"/>
        <v>3195.5773200000003</v>
      </c>
      <c r="J29" s="3">
        <f t="shared" si="4"/>
        <v>8603.4773999999998</v>
      </c>
      <c r="K29" s="3">
        <f t="shared" si="5"/>
        <v>5407.9000800000003</v>
      </c>
      <c r="L29" s="3">
        <f t="shared" si="6"/>
        <v>1966.5091200000002</v>
      </c>
      <c r="M29" s="3">
        <f t="shared" si="7"/>
        <v>2949.76368</v>
      </c>
      <c r="N29" s="3">
        <f t="shared" si="8"/>
        <v>2458.1364000000003</v>
      </c>
      <c r="O29" s="3">
        <f t="shared" si="9"/>
        <v>0</v>
      </c>
      <c r="P29" s="18">
        <f t="shared" si="10"/>
        <v>2.2619283066833513E-3</v>
      </c>
      <c r="Q29" s="3" t="s">
        <v>480</v>
      </c>
      <c r="R29" s="3">
        <f t="shared" si="11"/>
        <v>29989.264080000001</v>
      </c>
      <c r="S29" s="3">
        <v>0</v>
      </c>
      <c r="T29" t="s">
        <v>481</v>
      </c>
    </row>
    <row r="30" spans="1:20" ht="15" customHeight="1" x14ac:dyDescent="0.25">
      <c r="A30" t="s">
        <v>152</v>
      </c>
      <c r="B30" t="s">
        <v>255</v>
      </c>
      <c r="C30" t="s">
        <v>146</v>
      </c>
      <c r="D30" s="2">
        <v>28.5</v>
      </c>
      <c r="E30" s="3">
        <v>20671.9728</v>
      </c>
      <c r="F30" s="3">
        <f t="shared" si="0"/>
        <v>589151.22479999997</v>
      </c>
      <c r="G30" s="3">
        <f t="shared" si="1"/>
        <v>482910.83999999997</v>
      </c>
      <c r="H30" s="3">
        <f t="shared" si="2"/>
        <v>106240.3848</v>
      </c>
      <c r="I30" s="3">
        <f t="shared" si="3"/>
        <v>62778.409199999995</v>
      </c>
      <c r="J30" s="3">
        <f t="shared" si="4"/>
        <v>169018.79399999997</v>
      </c>
      <c r="K30" s="3">
        <f t="shared" si="5"/>
        <v>106240.3848</v>
      </c>
      <c r="L30" s="3">
        <f t="shared" si="6"/>
        <v>38632.867200000001</v>
      </c>
      <c r="M30" s="3">
        <f t="shared" si="7"/>
        <v>57949.300799999997</v>
      </c>
      <c r="N30" s="3">
        <f t="shared" si="8"/>
        <v>48291.084000000003</v>
      </c>
      <c r="O30" s="3">
        <f t="shared" si="9"/>
        <v>0</v>
      </c>
      <c r="P30" s="18">
        <f t="shared" si="10"/>
        <v>4.4436496632173653E-2</v>
      </c>
      <c r="Q30" s="3" t="s">
        <v>480</v>
      </c>
      <c r="R30" s="3">
        <f t="shared" si="11"/>
        <v>589151.22479999997</v>
      </c>
      <c r="S30" s="3">
        <v>0</v>
      </c>
      <c r="T30" t="s">
        <v>481</v>
      </c>
    </row>
    <row r="31" spans="1:20" ht="15" customHeight="1" x14ac:dyDescent="0.25">
      <c r="A31" t="s">
        <v>152</v>
      </c>
      <c r="B31" t="s">
        <v>256</v>
      </c>
      <c r="C31" t="s">
        <v>145</v>
      </c>
      <c r="D31" s="2">
        <v>570</v>
      </c>
      <c r="E31" s="3">
        <v>1741.6964</v>
      </c>
      <c r="F31" s="3">
        <f t="shared" si="0"/>
        <v>992766.94799999997</v>
      </c>
      <c r="G31" s="3">
        <f t="shared" si="1"/>
        <v>813743.4</v>
      </c>
      <c r="H31" s="3">
        <f t="shared" si="2"/>
        <v>179023.54799999995</v>
      </c>
      <c r="I31" s="3">
        <f t="shared" si="3"/>
        <v>105786.64200000011</v>
      </c>
      <c r="J31" s="3">
        <f t="shared" si="4"/>
        <v>284810.19</v>
      </c>
      <c r="K31" s="3">
        <f t="shared" si="5"/>
        <v>179023.54800000001</v>
      </c>
      <c r="L31" s="3">
        <f t="shared" si="6"/>
        <v>65099.472000000002</v>
      </c>
      <c r="M31" s="3">
        <f t="shared" si="7"/>
        <v>97649.207999999999</v>
      </c>
      <c r="N31" s="3">
        <f t="shared" si="8"/>
        <v>81374.340000000011</v>
      </c>
      <c r="O31" s="3">
        <f t="shared" si="9"/>
        <v>0</v>
      </c>
      <c r="P31" s="18">
        <f t="shared" si="10"/>
        <v>7.4879051904391994E-2</v>
      </c>
      <c r="Q31" s="3" t="s">
        <v>480</v>
      </c>
      <c r="R31" s="3">
        <f t="shared" si="11"/>
        <v>992766.94799999997</v>
      </c>
      <c r="S31" s="3">
        <v>0</v>
      </c>
      <c r="T31" t="s">
        <v>481</v>
      </c>
    </row>
    <row r="32" spans="1:20" ht="15" customHeight="1" x14ac:dyDescent="0.25">
      <c r="A32" t="s">
        <v>152</v>
      </c>
      <c r="B32" t="s">
        <v>257</v>
      </c>
      <c r="C32" t="s">
        <v>112</v>
      </c>
      <c r="D32" s="2">
        <v>7438.5</v>
      </c>
      <c r="E32" s="3">
        <v>148.2056</v>
      </c>
      <c r="F32" s="3">
        <f t="shared" si="0"/>
        <v>1102427.3556000001</v>
      </c>
      <c r="G32" s="3">
        <f t="shared" si="1"/>
        <v>903628.9800000001</v>
      </c>
      <c r="H32" s="3">
        <f t="shared" si="2"/>
        <v>198798.37560000003</v>
      </c>
      <c r="I32" s="3">
        <f t="shared" si="3"/>
        <v>117471.76740000001</v>
      </c>
      <c r="J32" s="3">
        <f t="shared" si="4"/>
        <v>316270.14300000004</v>
      </c>
      <c r="K32" s="3">
        <f t="shared" si="5"/>
        <v>198798.37560000003</v>
      </c>
      <c r="L32" s="3">
        <f t="shared" si="6"/>
        <v>72290.318400000004</v>
      </c>
      <c r="M32" s="3">
        <f t="shared" si="7"/>
        <v>108435.47760000001</v>
      </c>
      <c r="N32" s="3">
        <f t="shared" si="8"/>
        <v>90362.898000000016</v>
      </c>
      <c r="O32" s="3">
        <f t="shared" si="9"/>
        <v>0</v>
      </c>
      <c r="P32" s="18">
        <f t="shared" si="10"/>
        <v>8.3150144499768361E-2</v>
      </c>
      <c r="Q32" s="3" t="s">
        <v>480</v>
      </c>
      <c r="R32" s="3">
        <f t="shared" si="11"/>
        <v>1102427.3556000001</v>
      </c>
      <c r="S32" s="3">
        <v>0</v>
      </c>
      <c r="T32" t="s">
        <v>481</v>
      </c>
    </row>
    <row r="33" spans="1:20" ht="15" customHeight="1" x14ac:dyDescent="0.25">
      <c r="A33" t="s">
        <v>152</v>
      </c>
      <c r="B33" t="s">
        <v>258</v>
      </c>
      <c r="C33" t="s">
        <v>146</v>
      </c>
      <c r="D33" s="2">
        <v>171</v>
      </c>
      <c r="E33" s="3">
        <v>27220.091</v>
      </c>
      <c r="F33" s="3">
        <f t="shared" si="0"/>
        <v>4654635.5609999998</v>
      </c>
      <c r="G33" s="3">
        <f t="shared" si="1"/>
        <v>3815275.05</v>
      </c>
      <c r="H33" s="3">
        <f t="shared" si="2"/>
        <v>839360.51099999994</v>
      </c>
      <c r="I33" s="3">
        <f t="shared" si="3"/>
        <v>495985.75649999967</v>
      </c>
      <c r="J33" s="3">
        <f t="shared" si="4"/>
        <v>1335346.2674999998</v>
      </c>
      <c r="K33" s="3">
        <f t="shared" si="5"/>
        <v>839360.51099999994</v>
      </c>
      <c r="L33" s="3">
        <f t="shared" si="6"/>
        <v>305222.00400000002</v>
      </c>
      <c r="M33" s="3">
        <f t="shared" si="7"/>
        <v>457833.00599999994</v>
      </c>
      <c r="N33" s="3">
        <f t="shared" si="8"/>
        <v>381527.505</v>
      </c>
      <c r="O33" s="3">
        <f t="shared" si="9"/>
        <v>0</v>
      </c>
      <c r="P33" s="18">
        <f t="shared" si="10"/>
        <v>0.35107403451564922</v>
      </c>
      <c r="Q33" s="3" t="s">
        <v>480</v>
      </c>
      <c r="R33" s="3">
        <f t="shared" si="11"/>
        <v>4654635.5609999998</v>
      </c>
      <c r="S33" s="3">
        <v>0</v>
      </c>
      <c r="T33" t="s">
        <v>481</v>
      </c>
    </row>
    <row r="34" spans="1:20" ht="15" customHeight="1" x14ac:dyDescent="0.25">
      <c r="A34" t="s">
        <v>152</v>
      </c>
      <c r="B34" t="s">
        <v>259</v>
      </c>
      <c r="C34" t="s">
        <v>145</v>
      </c>
      <c r="D34" s="2">
        <v>570</v>
      </c>
      <c r="E34" s="3">
        <v>2551.5567999999998</v>
      </c>
      <c r="F34" s="3">
        <f t="shared" si="0"/>
        <v>1454387.3759999999</v>
      </c>
      <c r="G34" s="3">
        <f t="shared" si="1"/>
        <v>1192120.8</v>
      </c>
      <c r="H34" s="3">
        <f t="shared" si="2"/>
        <v>262266.57599999988</v>
      </c>
      <c r="I34" s="3">
        <f t="shared" si="3"/>
        <v>154975.70400000014</v>
      </c>
      <c r="J34" s="3">
        <f t="shared" si="4"/>
        <v>417242.27999999997</v>
      </c>
      <c r="K34" s="3">
        <f t="shared" si="5"/>
        <v>262266.576</v>
      </c>
      <c r="L34" s="3">
        <f t="shared" si="6"/>
        <v>95369.664000000004</v>
      </c>
      <c r="M34" s="3">
        <f t="shared" si="7"/>
        <v>143054.49600000001</v>
      </c>
      <c r="N34" s="3">
        <f t="shared" si="8"/>
        <v>119212.08000000002</v>
      </c>
      <c r="O34" s="3">
        <f t="shared" si="9"/>
        <v>0</v>
      </c>
      <c r="P34" s="18">
        <f t="shared" si="10"/>
        <v>0.10969658894868495</v>
      </c>
      <c r="Q34" s="3" t="s">
        <v>480</v>
      </c>
      <c r="R34" s="3">
        <f t="shared" si="11"/>
        <v>1454387.3759999999</v>
      </c>
      <c r="S34" s="3">
        <v>0</v>
      </c>
      <c r="T34" t="s">
        <v>481</v>
      </c>
    </row>
    <row r="35" spans="1:20" ht="15" customHeight="1" x14ac:dyDescent="0.25">
      <c r="A35" t="s">
        <v>152</v>
      </c>
      <c r="B35" t="s">
        <v>153</v>
      </c>
      <c r="C35" t="s">
        <v>146</v>
      </c>
      <c r="D35" s="2">
        <v>6.27</v>
      </c>
      <c r="E35" s="3">
        <v>0</v>
      </c>
      <c r="F35" s="3">
        <f t="shared" si="0"/>
        <v>0</v>
      </c>
      <c r="G35" s="3">
        <f t="shared" si="1"/>
        <v>0</v>
      </c>
      <c r="H35" s="3">
        <f t="shared" si="2"/>
        <v>0</v>
      </c>
      <c r="I35" s="3">
        <f t="shared" si="3"/>
        <v>0</v>
      </c>
      <c r="J35" s="3">
        <f t="shared" si="4"/>
        <v>0</v>
      </c>
      <c r="K35" s="3">
        <f t="shared" si="5"/>
        <v>0</v>
      </c>
      <c r="L35" s="3">
        <f t="shared" si="6"/>
        <v>0</v>
      </c>
      <c r="M35" s="3">
        <f t="shared" si="7"/>
        <v>0</v>
      </c>
      <c r="N35" s="3">
        <f t="shared" si="8"/>
        <v>0</v>
      </c>
      <c r="O35" s="3">
        <f t="shared" si="9"/>
        <v>0</v>
      </c>
      <c r="P35" s="18">
        <f t="shared" si="10"/>
        <v>0</v>
      </c>
      <c r="Q35" s="3" t="s">
        <v>480</v>
      </c>
      <c r="R35" s="3">
        <f t="shared" si="11"/>
        <v>0</v>
      </c>
      <c r="S35" s="3">
        <v>0</v>
      </c>
      <c r="T35" t="s">
        <v>481</v>
      </c>
    </row>
    <row r="36" spans="1:20" ht="15" customHeight="1" x14ac:dyDescent="0.25">
      <c r="A36" t="s">
        <v>152</v>
      </c>
      <c r="B36" t="s">
        <v>154</v>
      </c>
      <c r="C36" t="s">
        <v>146</v>
      </c>
      <c r="D36" s="2">
        <v>28.5</v>
      </c>
      <c r="E36" s="3">
        <v>0</v>
      </c>
      <c r="F36" s="3">
        <f t="shared" si="0"/>
        <v>0</v>
      </c>
      <c r="G36" s="3">
        <f t="shared" si="1"/>
        <v>0</v>
      </c>
      <c r="H36" s="3">
        <f t="shared" si="2"/>
        <v>0</v>
      </c>
      <c r="I36" s="3">
        <f t="shared" si="3"/>
        <v>0</v>
      </c>
      <c r="J36" s="3">
        <f t="shared" si="4"/>
        <v>0</v>
      </c>
      <c r="K36" s="3">
        <f t="shared" si="5"/>
        <v>0</v>
      </c>
      <c r="L36" s="3">
        <f t="shared" si="6"/>
        <v>0</v>
      </c>
      <c r="M36" s="3">
        <f t="shared" si="7"/>
        <v>0</v>
      </c>
      <c r="N36" s="3">
        <f t="shared" si="8"/>
        <v>0</v>
      </c>
      <c r="O36" s="3">
        <f t="shared" si="9"/>
        <v>0</v>
      </c>
      <c r="P36" s="18">
        <f t="shared" si="10"/>
        <v>0</v>
      </c>
      <c r="Q36" s="3" t="s">
        <v>480</v>
      </c>
      <c r="R36" s="3">
        <f t="shared" si="11"/>
        <v>0</v>
      </c>
      <c r="S36" s="3">
        <v>0</v>
      </c>
      <c r="T36" t="s">
        <v>481</v>
      </c>
    </row>
    <row r="37" spans="1:20" ht="15" customHeight="1" x14ac:dyDescent="0.25">
      <c r="A37" t="s">
        <v>152</v>
      </c>
      <c r="B37" t="s">
        <v>155</v>
      </c>
      <c r="C37" t="s">
        <v>112</v>
      </c>
      <c r="D37" s="2">
        <v>1710</v>
      </c>
      <c r="E37" s="3">
        <v>0</v>
      </c>
      <c r="F37" s="3">
        <f t="shared" si="0"/>
        <v>0</v>
      </c>
      <c r="G37" s="3">
        <f t="shared" si="1"/>
        <v>0</v>
      </c>
      <c r="H37" s="3">
        <f t="shared" si="2"/>
        <v>0</v>
      </c>
      <c r="I37" s="3">
        <f t="shared" si="3"/>
        <v>0</v>
      </c>
      <c r="J37" s="3">
        <f t="shared" si="4"/>
        <v>0</v>
      </c>
      <c r="K37" s="3">
        <f t="shared" si="5"/>
        <v>0</v>
      </c>
      <c r="L37" s="3">
        <f t="shared" si="6"/>
        <v>0</v>
      </c>
      <c r="M37" s="3">
        <f t="shared" si="7"/>
        <v>0</v>
      </c>
      <c r="N37" s="3">
        <f t="shared" si="8"/>
        <v>0</v>
      </c>
      <c r="O37" s="3">
        <f t="shared" si="9"/>
        <v>0</v>
      </c>
      <c r="P37" s="18">
        <f t="shared" si="10"/>
        <v>0</v>
      </c>
      <c r="Q37" s="3" t="s">
        <v>480</v>
      </c>
      <c r="R37" s="3">
        <f t="shared" si="11"/>
        <v>0</v>
      </c>
      <c r="S37" s="3">
        <v>0</v>
      </c>
      <c r="T37" t="s">
        <v>481</v>
      </c>
    </row>
    <row r="38" spans="1:20" ht="15" customHeight="1" x14ac:dyDescent="0.25">
      <c r="A38" t="s">
        <v>152</v>
      </c>
      <c r="B38" t="s">
        <v>156</v>
      </c>
      <c r="C38" t="s">
        <v>112</v>
      </c>
      <c r="D38" s="2">
        <v>6492.3</v>
      </c>
      <c r="E38" s="3">
        <v>0</v>
      </c>
      <c r="F38" s="3">
        <f t="shared" si="0"/>
        <v>0</v>
      </c>
      <c r="G38" s="3">
        <f t="shared" si="1"/>
        <v>0</v>
      </c>
      <c r="H38" s="3">
        <f t="shared" si="2"/>
        <v>0</v>
      </c>
      <c r="I38" s="3">
        <f t="shared" si="3"/>
        <v>0</v>
      </c>
      <c r="J38" s="3">
        <f t="shared" si="4"/>
        <v>0</v>
      </c>
      <c r="K38" s="3">
        <f t="shared" si="5"/>
        <v>0</v>
      </c>
      <c r="L38" s="3">
        <f t="shared" si="6"/>
        <v>0</v>
      </c>
      <c r="M38" s="3">
        <f t="shared" si="7"/>
        <v>0</v>
      </c>
      <c r="N38" s="3">
        <f t="shared" si="8"/>
        <v>0</v>
      </c>
      <c r="O38" s="3">
        <f t="shared" si="9"/>
        <v>0</v>
      </c>
      <c r="P38" s="18">
        <f t="shared" si="10"/>
        <v>0</v>
      </c>
      <c r="Q38" s="3" t="s">
        <v>480</v>
      </c>
      <c r="R38" s="3">
        <f t="shared" si="11"/>
        <v>0</v>
      </c>
      <c r="S38" s="3">
        <v>0</v>
      </c>
      <c r="T38" t="s">
        <v>481</v>
      </c>
    </row>
    <row r="39" spans="1:20" ht="15" customHeight="1" x14ac:dyDescent="0.25">
      <c r="A39" t="s">
        <v>152</v>
      </c>
      <c r="B39" t="s">
        <v>157</v>
      </c>
      <c r="C39" t="s">
        <v>112</v>
      </c>
      <c r="D39" s="2">
        <v>946.2</v>
      </c>
      <c r="E39" s="3">
        <v>0</v>
      </c>
      <c r="F39" s="3">
        <f t="shared" si="0"/>
        <v>0</v>
      </c>
      <c r="G39" s="3">
        <f t="shared" si="1"/>
        <v>0</v>
      </c>
      <c r="H39" s="3">
        <f t="shared" si="2"/>
        <v>0</v>
      </c>
      <c r="I39" s="3">
        <f t="shared" si="3"/>
        <v>0</v>
      </c>
      <c r="J39" s="3">
        <f t="shared" si="4"/>
        <v>0</v>
      </c>
      <c r="K39" s="3">
        <f t="shared" si="5"/>
        <v>0</v>
      </c>
      <c r="L39" s="3">
        <f t="shared" si="6"/>
        <v>0</v>
      </c>
      <c r="M39" s="3">
        <f t="shared" si="7"/>
        <v>0</v>
      </c>
      <c r="N39" s="3">
        <f t="shared" si="8"/>
        <v>0</v>
      </c>
      <c r="O39" s="3">
        <f t="shared" si="9"/>
        <v>0</v>
      </c>
      <c r="P39" s="18">
        <f t="shared" si="10"/>
        <v>0</v>
      </c>
      <c r="Q39" s="3" t="s">
        <v>480</v>
      </c>
      <c r="R39" s="3">
        <f t="shared" si="11"/>
        <v>0</v>
      </c>
      <c r="S39" s="3">
        <v>0</v>
      </c>
      <c r="T39" t="s">
        <v>481</v>
      </c>
    </row>
    <row r="40" spans="1:20" ht="15" customHeight="1" x14ac:dyDescent="0.25">
      <c r="A40" t="s">
        <v>152</v>
      </c>
      <c r="B40" t="s">
        <v>158</v>
      </c>
      <c r="C40" t="s">
        <v>146</v>
      </c>
      <c r="D40" s="2">
        <v>171</v>
      </c>
      <c r="E40" s="3">
        <v>0</v>
      </c>
      <c r="F40" s="3">
        <f t="shared" si="0"/>
        <v>0</v>
      </c>
      <c r="G40" s="3">
        <f t="shared" si="1"/>
        <v>0</v>
      </c>
      <c r="H40" s="3">
        <f t="shared" si="2"/>
        <v>0</v>
      </c>
      <c r="I40" s="3">
        <f t="shared" si="3"/>
        <v>0</v>
      </c>
      <c r="J40" s="3">
        <f t="shared" si="4"/>
        <v>0</v>
      </c>
      <c r="K40" s="3">
        <f t="shared" si="5"/>
        <v>0</v>
      </c>
      <c r="L40" s="3">
        <f t="shared" si="6"/>
        <v>0</v>
      </c>
      <c r="M40" s="3">
        <f t="shared" si="7"/>
        <v>0</v>
      </c>
      <c r="N40" s="3">
        <f t="shared" si="8"/>
        <v>0</v>
      </c>
      <c r="O40" s="3">
        <f t="shared" si="9"/>
        <v>0</v>
      </c>
      <c r="P40" s="18">
        <f t="shared" si="10"/>
        <v>0</v>
      </c>
      <c r="Q40" s="3" t="s">
        <v>480</v>
      </c>
      <c r="R40" s="3">
        <f t="shared" si="11"/>
        <v>0</v>
      </c>
      <c r="S40" s="3">
        <v>0</v>
      </c>
      <c r="T40" t="s">
        <v>481</v>
      </c>
    </row>
    <row r="41" spans="1:20" ht="15" customHeight="1" x14ac:dyDescent="0.25">
      <c r="A41" t="s">
        <v>152</v>
      </c>
      <c r="B41" t="s">
        <v>159</v>
      </c>
      <c r="C41" t="s">
        <v>112</v>
      </c>
      <c r="D41" s="2">
        <v>2280</v>
      </c>
      <c r="E41" s="3">
        <v>0</v>
      </c>
      <c r="F41" s="3">
        <f t="shared" si="0"/>
        <v>0</v>
      </c>
      <c r="G41" s="3">
        <f t="shared" si="1"/>
        <v>0</v>
      </c>
      <c r="H41" s="3">
        <f t="shared" si="2"/>
        <v>0</v>
      </c>
      <c r="I41" s="3">
        <f t="shared" si="3"/>
        <v>0</v>
      </c>
      <c r="J41" s="3">
        <f t="shared" si="4"/>
        <v>0</v>
      </c>
      <c r="K41" s="3">
        <f t="shared" si="5"/>
        <v>0</v>
      </c>
      <c r="L41" s="3">
        <f t="shared" si="6"/>
        <v>0</v>
      </c>
      <c r="M41" s="3">
        <f t="shared" si="7"/>
        <v>0</v>
      </c>
      <c r="N41" s="3">
        <f t="shared" si="8"/>
        <v>0</v>
      </c>
      <c r="O41" s="3">
        <f t="shared" si="9"/>
        <v>0</v>
      </c>
      <c r="P41" s="18">
        <f t="shared" si="10"/>
        <v>0</v>
      </c>
      <c r="Q41" s="3" t="s">
        <v>480</v>
      </c>
      <c r="R41" s="3">
        <f t="shared" si="11"/>
        <v>0</v>
      </c>
      <c r="S41" s="3">
        <v>0</v>
      </c>
      <c r="T41" t="s">
        <v>481</v>
      </c>
    </row>
    <row r="42" spans="1:20" ht="15" customHeight="1" x14ac:dyDescent="0.25">
      <c r="A42" t="s">
        <v>152</v>
      </c>
      <c r="B42" t="s">
        <v>161</v>
      </c>
      <c r="C42" t="s">
        <v>132</v>
      </c>
      <c r="D42" s="2">
        <v>11.2</v>
      </c>
      <c r="E42" s="3">
        <v>0</v>
      </c>
      <c r="F42" s="3">
        <f t="shared" si="0"/>
        <v>0</v>
      </c>
      <c r="G42" s="3">
        <f t="shared" si="1"/>
        <v>0</v>
      </c>
      <c r="H42" s="3">
        <f t="shared" si="2"/>
        <v>0</v>
      </c>
      <c r="I42" s="3">
        <f t="shared" si="3"/>
        <v>0</v>
      </c>
      <c r="J42" s="3">
        <f t="shared" si="4"/>
        <v>0</v>
      </c>
      <c r="K42" s="3">
        <f t="shared" si="5"/>
        <v>0</v>
      </c>
      <c r="L42" s="3">
        <f t="shared" si="6"/>
        <v>0</v>
      </c>
      <c r="M42" s="3">
        <f t="shared" si="7"/>
        <v>0</v>
      </c>
      <c r="N42" s="3">
        <f t="shared" si="8"/>
        <v>0</v>
      </c>
      <c r="O42" s="3">
        <f t="shared" si="9"/>
        <v>0</v>
      </c>
      <c r="P42" s="18">
        <f t="shared" si="10"/>
        <v>0</v>
      </c>
      <c r="Q42" s="3" t="s">
        <v>480</v>
      </c>
      <c r="R42" s="3">
        <f t="shared" si="11"/>
        <v>0</v>
      </c>
      <c r="S42" s="3">
        <v>0</v>
      </c>
      <c r="T42" t="s">
        <v>481</v>
      </c>
    </row>
    <row r="43" spans="1:20" ht="15" customHeight="1" x14ac:dyDescent="0.25">
      <c r="A43" t="s">
        <v>152</v>
      </c>
      <c r="B43" t="s">
        <v>163</v>
      </c>
      <c r="C43" t="s">
        <v>132</v>
      </c>
      <c r="D43" s="2">
        <v>0.48</v>
      </c>
      <c r="E43" s="3">
        <v>0</v>
      </c>
      <c r="F43" s="3">
        <f t="shared" si="0"/>
        <v>0</v>
      </c>
      <c r="G43" s="3">
        <f t="shared" si="1"/>
        <v>0</v>
      </c>
      <c r="H43" s="3">
        <f t="shared" si="2"/>
        <v>0</v>
      </c>
      <c r="I43" s="3">
        <f t="shared" si="3"/>
        <v>0</v>
      </c>
      <c r="J43" s="3">
        <f t="shared" si="4"/>
        <v>0</v>
      </c>
      <c r="K43" s="3">
        <f t="shared" si="5"/>
        <v>0</v>
      </c>
      <c r="L43" s="3">
        <f t="shared" si="6"/>
        <v>0</v>
      </c>
      <c r="M43" s="3">
        <f t="shared" si="7"/>
        <v>0</v>
      </c>
      <c r="N43" s="3">
        <f t="shared" si="8"/>
        <v>0</v>
      </c>
      <c r="O43" s="3">
        <f t="shared" si="9"/>
        <v>0</v>
      </c>
      <c r="P43" s="18">
        <f t="shared" si="10"/>
        <v>0</v>
      </c>
      <c r="Q43" s="3" t="s">
        <v>480</v>
      </c>
      <c r="R43" s="3">
        <f t="shared" si="11"/>
        <v>0</v>
      </c>
      <c r="S43" s="3">
        <v>0</v>
      </c>
      <c r="T43" t="s">
        <v>481</v>
      </c>
    </row>
    <row r="44" spans="1:20" ht="15" customHeight="1" x14ac:dyDescent="0.25">
      <c r="A44" t="s">
        <v>152</v>
      </c>
      <c r="B44" t="s">
        <v>133</v>
      </c>
      <c r="C44" t="s">
        <v>146</v>
      </c>
      <c r="D44" s="2">
        <v>0.1792</v>
      </c>
      <c r="E44" s="3">
        <v>0</v>
      </c>
      <c r="F44" s="3">
        <f t="shared" si="0"/>
        <v>0</v>
      </c>
      <c r="G44" s="3">
        <f t="shared" si="1"/>
        <v>0</v>
      </c>
      <c r="H44" s="3">
        <f t="shared" si="2"/>
        <v>0</v>
      </c>
      <c r="I44" s="3">
        <f t="shared" si="3"/>
        <v>0</v>
      </c>
      <c r="J44" s="3">
        <f t="shared" si="4"/>
        <v>0</v>
      </c>
      <c r="K44" s="3">
        <f t="shared" si="5"/>
        <v>0</v>
      </c>
      <c r="L44" s="3">
        <f t="shared" si="6"/>
        <v>0</v>
      </c>
      <c r="M44" s="3">
        <f t="shared" si="7"/>
        <v>0</v>
      </c>
      <c r="N44" s="3">
        <f t="shared" si="8"/>
        <v>0</v>
      </c>
      <c r="O44" s="3">
        <f t="shared" si="9"/>
        <v>0</v>
      </c>
      <c r="P44" s="18">
        <f t="shared" si="10"/>
        <v>0</v>
      </c>
      <c r="Q44" s="3" t="s">
        <v>480</v>
      </c>
      <c r="R44" s="3">
        <f t="shared" si="11"/>
        <v>0</v>
      </c>
      <c r="S44" s="3">
        <v>0</v>
      </c>
      <c r="T44" t="s">
        <v>481</v>
      </c>
    </row>
    <row r="45" spans="1:20" ht="15" customHeight="1" x14ac:dyDescent="0.25">
      <c r="A45" t="s">
        <v>165</v>
      </c>
      <c r="B45" t="s">
        <v>264</v>
      </c>
      <c r="C45" t="s">
        <v>123</v>
      </c>
      <c r="D45" s="2">
        <v>107.92</v>
      </c>
      <c r="E45" s="3">
        <v>352.75080000000003</v>
      </c>
      <c r="F45" s="3">
        <f t="shared" si="0"/>
        <v>38068.866336000006</v>
      </c>
      <c r="G45" s="3">
        <f t="shared" si="1"/>
        <v>31203.988800000006</v>
      </c>
      <c r="H45" s="3">
        <f t="shared" si="2"/>
        <v>6864.877536</v>
      </c>
      <c r="I45" s="3">
        <f t="shared" si="3"/>
        <v>4056.5185439999987</v>
      </c>
      <c r="J45" s="3">
        <f t="shared" si="4"/>
        <v>10921.396080000002</v>
      </c>
      <c r="K45" s="3">
        <f t="shared" si="5"/>
        <v>6864.8775360000018</v>
      </c>
      <c r="L45" s="3">
        <f t="shared" si="6"/>
        <v>2496.3191040000006</v>
      </c>
      <c r="M45" s="3">
        <f t="shared" si="7"/>
        <v>3744.4786560000007</v>
      </c>
      <c r="N45" s="3">
        <f t="shared" si="8"/>
        <v>3120.3988800000006</v>
      </c>
      <c r="O45" s="3">
        <f t="shared" si="9"/>
        <v>0</v>
      </c>
      <c r="P45" s="18">
        <f t="shared" si="10"/>
        <v>2.8713290909385771E-3</v>
      </c>
      <c r="Q45" s="3" t="s">
        <v>480</v>
      </c>
      <c r="R45" s="3">
        <f t="shared" si="11"/>
        <v>38068.866336000006</v>
      </c>
      <c r="S45" s="3">
        <v>0</v>
      </c>
      <c r="T45" t="s">
        <v>481</v>
      </c>
    </row>
    <row r="46" spans="1:20" ht="15" customHeight="1" x14ac:dyDescent="0.25">
      <c r="A46" t="s">
        <v>165</v>
      </c>
      <c r="B46" t="s">
        <v>166</v>
      </c>
      <c r="C46" t="s">
        <v>145</v>
      </c>
      <c r="D46" s="2">
        <v>32.375999999999998</v>
      </c>
      <c r="E46" s="3">
        <v>0</v>
      </c>
      <c r="F46" s="3">
        <f t="shared" si="0"/>
        <v>0</v>
      </c>
      <c r="G46" s="3">
        <f t="shared" si="1"/>
        <v>0</v>
      </c>
      <c r="H46" s="3">
        <f t="shared" si="2"/>
        <v>0</v>
      </c>
      <c r="I46" s="3">
        <f t="shared" si="3"/>
        <v>0</v>
      </c>
      <c r="J46" s="3">
        <f t="shared" si="4"/>
        <v>0</v>
      </c>
      <c r="K46" s="3">
        <f t="shared" si="5"/>
        <v>0</v>
      </c>
      <c r="L46" s="3">
        <f t="shared" si="6"/>
        <v>0</v>
      </c>
      <c r="M46" s="3">
        <f t="shared" si="7"/>
        <v>0</v>
      </c>
      <c r="N46" s="3">
        <f t="shared" si="8"/>
        <v>0</v>
      </c>
      <c r="O46" s="3">
        <f t="shared" si="9"/>
        <v>0</v>
      </c>
      <c r="P46" s="18">
        <f t="shared" si="10"/>
        <v>0</v>
      </c>
      <c r="Q46" s="3" t="s">
        <v>480</v>
      </c>
      <c r="R46" s="3">
        <f t="shared" si="11"/>
        <v>0</v>
      </c>
      <c r="S46" s="3">
        <v>0</v>
      </c>
      <c r="T46" t="s">
        <v>481</v>
      </c>
    </row>
    <row r="47" spans="1:20" ht="15" customHeight="1" x14ac:dyDescent="0.25">
      <c r="A47" t="s">
        <v>165</v>
      </c>
      <c r="B47" t="s">
        <v>168</v>
      </c>
      <c r="C47" t="s">
        <v>123</v>
      </c>
      <c r="D47" s="2">
        <v>32</v>
      </c>
      <c r="E47" s="3">
        <v>0</v>
      </c>
      <c r="F47" s="3">
        <f t="shared" si="0"/>
        <v>0</v>
      </c>
      <c r="G47" s="3">
        <f t="shared" si="1"/>
        <v>0</v>
      </c>
      <c r="H47" s="3">
        <f t="shared" si="2"/>
        <v>0</v>
      </c>
      <c r="I47" s="3">
        <f t="shared" si="3"/>
        <v>0</v>
      </c>
      <c r="J47" s="3">
        <f t="shared" si="4"/>
        <v>0</v>
      </c>
      <c r="K47" s="3">
        <f t="shared" si="5"/>
        <v>0</v>
      </c>
      <c r="L47" s="3">
        <f t="shared" si="6"/>
        <v>0</v>
      </c>
      <c r="M47" s="3">
        <f t="shared" si="7"/>
        <v>0</v>
      </c>
      <c r="N47" s="3">
        <f t="shared" si="8"/>
        <v>0</v>
      </c>
      <c r="O47" s="3">
        <f t="shared" si="9"/>
        <v>0</v>
      </c>
      <c r="P47" s="18">
        <f t="shared" si="10"/>
        <v>0</v>
      </c>
      <c r="Q47" s="3" t="s">
        <v>480</v>
      </c>
      <c r="R47" s="3">
        <f t="shared" si="11"/>
        <v>0</v>
      </c>
      <c r="S47" s="3">
        <v>0</v>
      </c>
      <c r="T47" t="s">
        <v>481</v>
      </c>
    </row>
    <row r="48" spans="1:20" ht="15" customHeight="1" x14ac:dyDescent="0.25">
      <c r="A48" t="s">
        <v>165</v>
      </c>
      <c r="B48" t="s">
        <v>161</v>
      </c>
      <c r="C48" t="s">
        <v>132</v>
      </c>
      <c r="D48" s="2">
        <v>11.2</v>
      </c>
      <c r="E48" s="3">
        <v>0</v>
      </c>
      <c r="F48" s="3">
        <f t="shared" si="0"/>
        <v>0</v>
      </c>
      <c r="G48" s="3">
        <f t="shared" si="1"/>
        <v>0</v>
      </c>
      <c r="H48" s="3">
        <f t="shared" si="2"/>
        <v>0</v>
      </c>
      <c r="I48" s="3">
        <f t="shared" si="3"/>
        <v>0</v>
      </c>
      <c r="J48" s="3">
        <f t="shared" si="4"/>
        <v>0</v>
      </c>
      <c r="K48" s="3">
        <f t="shared" si="5"/>
        <v>0</v>
      </c>
      <c r="L48" s="3">
        <f t="shared" si="6"/>
        <v>0</v>
      </c>
      <c r="M48" s="3">
        <f t="shared" si="7"/>
        <v>0</v>
      </c>
      <c r="N48" s="3">
        <f t="shared" si="8"/>
        <v>0</v>
      </c>
      <c r="O48" s="3">
        <f t="shared" si="9"/>
        <v>0</v>
      </c>
      <c r="P48" s="18">
        <f t="shared" si="10"/>
        <v>0</v>
      </c>
      <c r="Q48" s="3" t="s">
        <v>480</v>
      </c>
      <c r="R48" s="3">
        <f t="shared" si="11"/>
        <v>0</v>
      </c>
      <c r="S48" s="3">
        <v>0</v>
      </c>
      <c r="T48" t="s">
        <v>481</v>
      </c>
    </row>
    <row r="49" spans="1:20" ht="15" customHeight="1" x14ac:dyDescent="0.25">
      <c r="A49" t="s">
        <v>165</v>
      </c>
      <c r="B49" t="s">
        <v>163</v>
      </c>
      <c r="C49" t="s">
        <v>132</v>
      </c>
      <c r="D49" s="2">
        <v>0.48</v>
      </c>
      <c r="E49" s="3">
        <v>0</v>
      </c>
      <c r="F49" s="3">
        <f t="shared" si="0"/>
        <v>0</v>
      </c>
      <c r="G49" s="3">
        <f t="shared" si="1"/>
        <v>0</v>
      </c>
      <c r="H49" s="3">
        <f t="shared" si="2"/>
        <v>0</v>
      </c>
      <c r="I49" s="3">
        <f t="shared" si="3"/>
        <v>0</v>
      </c>
      <c r="J49" s="3">
        <f t="shared" si="4"/>
        <v>0</v>
      </c>
      <c r="K49" s="3">
        <f t="shared" si="5"/>
        <v>0</v>
      </c>
      <c r="L49" s="3">
        <f t="shared" si="6"/>
        <v>0</v>
      </c>
      <c r="M49" s="3">
        <f t="shared" si="7"/>
        <v>0</v>
      </c>
      <c r="N49" s="3">
        <f t="shared" si="8"/>
        <v>0</v>
      </c>
      <c r="O49" s="3">
        <f t="shared" si="9"/>
        <v>0</v>
      </c>
      <c r="P49" s="18">
        <f t="shared" si="10"/>
        <v>0</v>
      </c>
      <c r="Q49" s="3" t="s">
        <v>480</v>
      </c>
      <c r="R49" s="3">
        <f t="shared" si="11"/>
        <v>0</v>
      </c>
      <c r="S49" s="3">
        <v>0</v>
      </c>
      <c r="T49" t="s">
        <v>481</v>
      </c>
    </row>
    <row r="50" spans="1:20" ht="15" customHeight="1" x14ac:dyDescent="0.25">
      <c r="A50" t="s">
        <v>165</v>
      </c>
      <c r="B50" t="s">
        <v>133</v>
      </c>
      <c r="C50" t="s">
        <v>146</v>
      </c>
      <c r="D50" s="2">
        <v>0.1792</v>
      </c>
      <c r="E50" s="3">
        <v>0</v>
      </c>
      <c r="F50" s="3">
        <f t="shared" si="0"/>
        <v>0</v>
      </c>
      <c r="G50" s="3">
        <f t="shared" si="1"/>
        <v>0</v>
      </c>
      <c r="H50" s="3">
        <f t="shared" si="2"/>
        <v>0</v>
      </c>
      <c r="I50" s="3">
        <f t="shared" si="3"/>
        <v>0</v>
      </c>
      <c r="J50" s="3">
        <f t="shared" si="4"/>
        <v>0</v>
      </c>
      <c r="K50" s="3">
        <f t="shared" si="5"/>
        <v>0</v>
      </c>
      <c r="L50" s="3">
        <f t="shared" si="6"/>
        <v>0</v>
      </c>
      <c r="M50" s="3">
        <f t="shared" si="7"/>
        <v>0</v>
      </c>
      <c r="N50" s="3">
        <f t="shared" si="8"/>
        <v>0</v>
      </c>
      <c r="O50" s="3">
        <f t="shared" si="9"/>
        <v>0</v>
      </c>
      <c r="P50" s="18">
        <f t="shared" si="10"/>
        <v>0</v>
      </c>
      <c r="Q50" s="3" t="s">
        <v>480</v>
      </c>
      <c r="R50" s="3">
        <f t="shared" si="11"/>
        <v>0</v>
      </c>
      <c r="S50" s="3">
        <v>0</v>
      </c>
      <c r="T50" t="s">
        <v>481</v>
      </c>
    </row>
    <row r="51" spans="1:20" ht="15" customHeight="1" x14ac:dyDescent="0.25">
      <c r="A51" s="13" t="s">
        <v>54</v>
      </c>
      <c r="B51" s="13"/>
      <c r="C51" s="13"/>
      <c r="D51" s="14">
        <f>SUM(D9:D50)</f>
        <v>42184.379447999992</v>
      </c>
      <c r="E51" s="13"/>
      <c r="F51" s="10">
        <f t="shared" ref="F51:O51" si="12">SUM(F9:F50)</f>
        <v>13258273.47904454</v>
      </c>
      <c r="G51" s="10">
        <f t="shared" si="12"/>
        <v>10867437.277905362</v>
      </c>
      <c r="H51" s="10">
        <f t="shared" si="12"/>
        <v>2390836.2011391791</v>
      </c>
      <c r="I51" s="10">
        <f t="shared" si="12"/>
        <v>1412766.846127697</v>
      </c>
      <c r="J51" s="10">
        <f t="shared" si="12"/>
        <v>3803603.0472668754</v>
      </c>
      <c r="K51" s="10">
        <f t="shared" si="12"/>
        <v>2390836.2011391795</v>
      </c>
      <c r="L51" s="10">
        <f t="shared" si="12"/>
        <v>869394.98223242874</v>
      </c>
      <c r="M51" s="10">
        <f t="shared" si="12"/>
        <v>1304092.4733486429</v>
      </c>
      <c r="N51" s="10">
        <f t="shared" si="12"/>
        <v>1086743.7277905361</v>
      </c>
      <c r="O51" s="10">
        <f t="shared" si="12"/>
        <v>0</v>
      </c>
      <c r="P51" s="19">
        <f>1</f>
        <v>1</v>
      </c>
      <c r="Q51" s="10">
        <f>SUM(Q9:Q50)</f>
        <v>0</v>
      </c>
      <c r="R51" s="10">
        <f>SUM(R9:R50)</f>
        <v>13258273.47904454</v>
      </c>
      <c r="S51" s="10">
        <f>SUM(S9:S50)</f>
        <v>0</v>
      </c>
      <c r="T51" s="13" t="s">
        <v>54</v>
      </c>
    </row>
    <row r="53" spans="1:20" ht="15" customHeight="1" x14ac:dyDescent="0.25">
      <c r="A53" s="1" t="s">
        <v>488</v>
      </c>
      <c r="B53" s="3">
        <f>R51</f>
        <v>13258273.47904454</v>
      </c>
    </row>
    <row r="54" spans="1:20" ht="15" customHeight="1" x14ac:dyDescent="0.25">
      <c r="A54" s="1" t="s">
        <v>61</v>
      </c>
      <c r="B54" s="3">
        <f>S51</f>
        <v>0</v>
      </c>
    </row>
    <row r="55" spans="1:20" ht="15" customHeight="1" x14ac:dyDescent="0.25">
      <c r="A55" s="1" t="s">
        <v>489</v>
      </c>
      <c r="B55" s="3">
        <f>B53+B54</f>
        <v>13258273.47904454</v>
      </c>
    </row>
  </sheetData>
  <mergeCells count="1">
    <mergeCell ref="A1:Q1"/>
  </mergeCells>
  <pageMargins left="0.75" right="0.75" top="1" bottom="1" header="0.511811023622047" footer="0.511811023622047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T69"/>
  <sheetViews>
    <sheetView showGridLines="0" zoomScaleNormal="100" workbookViewId="0">
      <pane ySplit="7" topLeftCell="A8" activePane="bottomLeft" state="frozen"/>
      <selection pane="bottomLeft"/>
    </sheetView>
  </sheetViews>
  <sheetFormatPr defaultColWidth="8.7109375" defaultRowHeight="15" x14ac:dyDescent="0.25"/>
  <cols>
    <col min="1" max="1" width="24" customWidth="1"/>
    <col min="2" max="2" width="68" customWidth="1"/>
    <col min="3" max="3" width="10" customWidth="1"/>
    <col min="4" max="4" width="14" customWidth="1"/>
    <col min="5" max="5" width="18" customWidth="1"/>
    <col min="6" max="7" width="20" customWidth="1"/>
    <col min="8" max="14" width="18" customWidth="1"/>
    <col min="15" max="15" width="22" customWidth="1"/>
    <col min="16" max="16" width="14" customWidth="1"/>
    <col min="17" max="17" width="36" customWidth="1"/>
    <col min="18" max="19" width="24" customWidth="1"/>
    <col min="20" max="20" width="28" customWidth="1"/>
  </cols>
  <sheetData>
    <row r="1" spans="1:20" ht="17.25" customHeight="1" x14ac:dyDescent="0.25">
      <c r="A1" s="31" t="s">
        <v>490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20" ht="15" customHeight="1" x14ac:dyDescent="0.25">
      <c r="A2" s="1" t="s">
        <v>47</v>
      </c>
      <c r="B2" t="s">
        <v>49</v>
      </c>
    </row>
    <row r="3" spans="1:20" ht="15" customHeight="1" x14ac:dyDescent="0.25">
      <c r="A3" s="1" t="s">
        <v>55</v>
      </c>
      <c r="B3" t="s">
        <v>67</v>
      </c>
    </row>
    <row r="4" spans="1:20" ht="15" customHeight="1" x14ac:dyDescent="0.25">
      <c r="A4" s="1" t="s">
        <v>57</v>
      </c>
      <c r="B4" s="2">
        <v>677</v>
      </c>
    </row>
    <row r="5" spans="1:20" ht="15" customHeight="1" x14ac:dyDescent="0.25">
      <c r="A5" s="1" t="s">
        <v>467</v>
      </c>
      <c r="B5" s="3">
        <v>19021312.865799502</v>
      </c>
    </row>
    <row r="6" spans="1:20" ht="15" customHeight="1" x14ac:dyDescent="0.25">
      <c r="A6" s="1" t="s">
        <v>468</v>
      </c>
      <c r="B6" t="s">
        <v>469</v>
      </c>
    </row>
    <row r="8" spans="1:20" ht="41.25" customHeight="1" x14ac:dyDescent="0.25">
      <c r="A8" s="12" t="s">
        <v>470</v>
      </c>
      <c r="B8" s="12" t="s">
        <v>180</v>
      </c>
      <c r="C8" s="12" t="s">
        <v>139</v>
      </c>
      <c r="D8" s="12" t="s">
        <v>140</v>
      </c>
      <c r="E8" s="12" t="s">
        <v>471</v>
      </c>
      <c r="F8" s="12" t="s">
        <v>472</v>
      </c>
      <c r="G8" s="12" t="s">
        <v>473</v>
      </c>
      <c r="H8" s="12" t="s">
        <v>181</v>
      </c>
      <c r="I8" s="12" t="s">
        <v>452</v>
      </c>
      <c r="J8" s="12" t="s">
        <v>454</v>
      </c>
      <c r="K8" s="12" t="s">
        <v>456</v>
      </c>
      <c r="L8" s="12" t="s">
        <v>457</v>
      </c>
      <c r="M8" s="12" t="s">
        <v>458</v>
      </c>
      <c r="N8" s="12" t="s">
        <v>459</v>
      </c>
      <c r="O8" s="12" t="s">
        <v>474</v>
      </c>
      <c r="P8" s="12" t="s">
        <v>475</v>
      </c>
      <c r="Q8" s="12" t="s">
        <v>476</v>
      </c>
      <c r="R8" s="12" t="s">
        <v>477</v>
      </c>
      <c r="S8" s="12" t="s">
        <v>61</v>
      </c>
      <c r="T8" s="12" t="s">
        <v>478</v>
      </c>
    </row>
    <row r="9" spans="1:20" ht="15" customHeight="1" x14ac:dyDescent="0.25">
      <c r="A9" t="s">
        <v>479</v>
      </c>
      <c r="B9" t="s">
        <v>482</v>
      </c>
      <c r="C9" t="s">
        <v>107</v>
      </c>
      <c r="D9" s="2">
        <v>225</v>
      </c>
      <c r="E9" s="3">
        <v>8492.2369999999992</v>
      </c>
      <c r="F9" s="3">
        <f t="shared" ref="F9:F40" si="0">D9*E9</f>
        <v>1910753.3249999997</v>
      </c>
      <c r="G9" s="3">
        <f t="shared" ref="G9:G40" si="1">F9/1.22</f>
        <v>1566191.2499999998</v>
      </c>
      <c r="H9" s="3">
        <f t="shared" ref="H9:H40" si="2">F9-G9</f>
        <v>344562.07499999995</v>
      </c>
      <c r="I9" s="3">
        <f t="shared" ref="I9:I40" si="3">G9-SUM(J9:N9)</f>
        <v>203604.86250000005</v>
      </c>
      <c r="J9" s="3">
        <f t="shared" ref="J9:J40" si="4">G9*0.35</f>
        <v>548166.93749999988</v>
      </c>
      <c r="K9" s="3">
        <f t="shared" ref="K9:K40" si="5">G9*0.22</f>
        <v>344562.07499999995</v>
      </c>
      <c r="L9" s="3">
        <f t="shared" ref="L9:L40" si="6">G9*0.08</f>
        <v>125295.29999999999</v>
      </c>
      <c r="M9" s="3">
        <f t="shared" ref="M9:M40" si="7">G9*0.12</f>
        <v>187942.94999999995</v>
      </c>
      <c r="N9" s="3">
        <f t="shared" ref="N9:N40" si="8">G9*0.1</f>
        <v>156619.12499999997</v>
      </c>
      <c r="O9" s="3">
        <f t="shared" ref="O9:O40" si="9">G9-SUM(I9:N9)</f>
        <v>0</v>
      </c>
      <c r="P9" s="18">
        <f t="shared" ref="P9:P40" si="10">IF($F$65=0,0,F9/$F$65)</f>
        <v>0.10045328303471386</v>
      </c>
      <c r="Q9" s="3" t="s">
        <v>491</v>
      </c>
      <c r="R9" s="3">
        <f t="shared" ref="R9:R40" si="11">F9</f>
        <v>1910753.3249999997</v>
      </c>
      <c r="S9" s="3">
        <v>0</v>
      </c>
      <c r="T9" t="s">
        <v>481</v>
      </c>
    </row>
    <row r="10" spans="1:20" ht="15" customHeight="1" x14ac:dyDescent="0.25">
      <c r="A10" t="s">
        <v>479</v>
      </c>
      <c r="B10" t="s">
        <v>483</v>
      </c>
      <c r="C10" t="s">
        <v>112</v>
      </c>
      <c r="D10" s="2">
        <v>23917.449079999999</v>
      </c>
      <c r="E10" s="3">
        <v>0</v>
      </c>
      <c r="F10" s="3">
        <f t="shared" si="0"/>
        <v>0</v>
      </c>
      <c r="G10" s="3">
        <f t="shared" si="1"/>
        <v>0</v>
      </c>
      <c r="H10" s="3">
        <f t="shared" si="2"/>
        <v>0</v>
      </c>
      <c r="I10" s="3">
        <f t="shared" si="3"/>
        <v>0</v>
      </c>
      <c r="J10" s="3">
        <f t="shared" si="4"/>
        <v>0</v>
      </c>
      <c r="K10" s="3">
        <f t="shared" si="5"/>
        <v>0</v>
      </c>
      <c r="L10" s="3">
        <f t="shared" si="6"/>
        <v>0</v>
      </c>
      <c r="M10" s="3">
        <f t="shared" si="7"/>
        <v>0</v>
      </c>
      <c r="N10" s="3">
        <f t="shared" si="8"/>
        <v>0</v>
      </c>
      <c r="O10" s="3">
        <f t="shared" si="9"/>
        <v>0</v>
      </c>
      <c r="P10" s="18">
        <f t="shared" si="10"/>
        <v>0</v>
      </c>
      <c r="Q10" s="3" t="s">
        <v>491</v>
      </c>
      <c r="R10" s="3">
        <f t="shared" si="11"/>
        <v>0</v>
      </c>
      <c r="S10" s="3">
        <v>0</v>
      </c>
      <c r="T10" t="s">
        <v>481</v>
      </c>
    </row>
    <row r="11" spans="1:20" ht="15" customHeight="1" x14ac:dyDescent="0.25">
      <c r="A11" t="s">
        <v>479</v>
      </c>
      <c r="B11" t="s">
        <v>484</v>
      </c>
      <c r="C11" t="s">
        <v>107</v>
      </c>
      <c r="D11" s="2">
        <v>112.5</v>
      </c>
      <c r="E11" s="3">
        <v>1853.3630000000001</v>
      </c>
      <c r="F11" s="3">
        <f t="shared" si="0"/>
        <v>208503.33749999999</v>
      </c>
      <c r="G11" s="3">
        <f t="shared" si="1"/>
        <v>170904.375</v>
      </c>
      <c r="H11" s="3">
        <f t="shared" si="2"/>
        <v>37598.962499999994</v>
      </c>
      <c r="I11" s="3">
        <f t="shared" si="3"/>
        <v>22217.568750000006</v>
      </c>
      <c r="J11" s="3">
        <f t="shared" si="4"/>
        <v>59816.531249999993</v>
      </c>
      <c r="K11" s="3">
        <f t="shared" si="5"/>
        <v>37598.962500000001</v>
      </c>
      <c r="L11" s="3">
        <f t="shared" si="6"/>
        <v>13672.35</v>
      </c>
      <c r="M11" s="3">
        <f t="shared" si="7"/>
        <v>20508.524999999998</v>
      </c>
      <c r="N11" s="3">
        <f t="shared" si="8"/>
        <v>17090.4375</v>
      </c>
      <c r="O11" s="3">
        <f t="shared" si="9"/>
        <v>0</v>
      </c>
      <c r="P11" s="18">
        <f t="shared" si="10"/>
        <v>1.0961563955708397E-2</v>
      </c>
      <c r="Q11" s="3" t="s">
        <v>491</v>
      </c>
      <c r="R11" s="3">
        <f t="shared" si="11"/>
        <v>208503.33749999999</v>
      </c>
      <c r="S11" s="3">
        <v>0</v>
      </c>
      <c r="T11" t="s">
        <v>481</v>
      </c>
    </row>
    <row r="12" spans="1:20" ht="15" customHeight="1" x14ac:dyDescent="0.25">
      <c r="A12" t="s">
        <v>479</v>
      </c>
      <c r="B12" t="s">
        <v>485</v>
      </c>
      <c r="C12" t="s">
        <v>107</v>
      </c>
      <c r="D12" s="2">
        <v>337.5</v>
      </c>
      <c r="E12" s="3">
        <v>3497.9474</v>
      </c>
      <c r="F12" s="3">
        <f t="shared" si="0"/>
        <v>1180557.2475000001</v>
      </c>
      <c r="G12" s="3">
        <f t="shared" si="1"/>
        <v>967669.87500000012</v>
      </c>
      <c r="H12" s="3">
        <f t="shared" si="2"/>
        <v>212887.37249999994</v>
      </c>
      <c r="I12" s="3">
        <f t="shared" si="3"/>
        <v>125797.08374999999</v>
      </c>
      <c r="J12" s="3">
        <f t="shared" si="4"/>
        <v>338684.45625000005</v>
      </c>
      <c r="K12" s="3">
        <f t="shared" si="5"/>
        <v>212887.37250000003</v>
      </c>
      <c r="L12" s="3">
        <f t="shared" si="6"/>
        <v>77413.590000000011</v>
      </c>
      <c r="M12" s="3">
        <f t="shared" si="7"/>
        <v>116120.38500000001</v>
      </c>
      <c r="N12" s="3">
        <f t="shared" si="8"/>
        <v>96766.987500000017</v>
      </c>
      <c r="O12" s="3">
        <f t="shared" si="9"/>
        <v>0</v>
      </c>
      <c r="P12" s="18">
        <f t="shared" si="10"/>
        <v>6.2064971846536116E-2</v>
      </c>
      <c r="Q12" s="3" t="s">
        <v>491</v>
      </c>
      <c r="R12" s="3">
        <f t="shared" si="11"/>
        <v>1180557.2475000001</v>
      </c>
      <c r="S12" s="3">
        <v>0</v>
      </c>
      <c r="T12" t="s">
        <v>481</v>
      </c>
    </row>
    <row r="13" spans="1:20" ht="15" customHeight="1" x14ac:dyDescent="0.25">
      <c r="A13" t="s">
        <v>479</v>
      </c>
      <c r="B13" t="s">
        <v>486</v>
      </c>
      <c r="C13" t="s">
        <v>107</v>
      </c>
      <c r="D13" s="2">
        <v>337.5</v>
      </c>
      <c r="E13" s="3">
        <v>3497.9474</v>
      </c>
      <c r="F13" s="3">
        <f t="shared" si="0"/>
        <v>1180557.2475000001</v>
      </c>
      <c r="G13" s="3">
        <f t="shared" si="1"/>
        <v>967669.87500000012</v>
      </c>
      <c r="H13" s="3">
        <f t="shared" si="2"/>
        <v>212887.37249999994</v>
      </c>
      <c r="I13" s="3">
        <f t="shared" si="3"/>
        <v>125797.08374999999</v>
      </c>
      <c r="J13" s="3">
        <f t="shared" si="4"/>
        <v>338684.45625000005</v>
      </c>
      <c r="K13" s="3">
        <f t="shared" si="5"/>
        <v>212887.37250000003</v>
      </c>
      <c r="L13" s="3">
        <f t="shared" si="6"/>
        <v>77413.590000000011</v>
      </c>
      <c r="M13" s="3">
        <f t="shared" si="7"/>
        <v>116120.38500000001</v>
      </c>
      <c r="N13" s="3">
        <f t="shared" si="8"/>
        <v>96766.987500000017</v>
      </c>
      <c r="O13" s="3">
        <f t="shared" si="9"/>
        <v>0</v>
      </c>
      <c r="P13" s="18">
        <f t="shared" si="10"/>
        <v>6.2064971846536116E-2</v>
      </c>
      <c r="Q13" s="3" t="s">
        <v>491</v>
      </c>
      <c r="R13" s="3">
        <f t="shared" si="11"/>
        <v>1180557.2475000001</v>
      </c>
      <c r="S13" s="3">
        <v>0</v>
      </c>
      <c r="T13" t="s">
        <v>481</v>
      </c>
    </row>
    <row r="14" spans="1:20" ht="15" customHeight="1" x14ac:dyDescent="0.25">
      <c r="A14" t="s">
        <v>487</v>
      </c>
      <c r="B14" t="s">
        <v>244</v>
      </c>
      <c r="C14" t="s">
        <v>146</v>
      </c>
      <c r="D14" s="2">
        <v>19.847999999999999</v>
      </c>
      <c r="E14" s="3">
        <v>1853.3630000000001</v>
      </c>
      <c r="F14" s="3">
        <f t="shared" si="0"/>
        <v>36785.548823999998</v>
      </c>
      <c r="G14" s="3">
        <f t="shared" si="1"/>
        <v>30152.089199999999</v>
      </c>
      <c r="H14" s="3">
        <f t="shared" si="2"/>
        <v>6633.4596239999992</v>
      </c>
      <c r="I14" s="3">
        <f t="shared" si="3"/>
        <v>3919.7715959999987</v>
      </c>
      <c r="J14" s="3">
        <f t="shared" si="4"/>
        <v>10553.23122</v>
      </c>
      <c r="K14" s="3">
        <f t="shared" si="5"/>
        <v>6633.4596240000001</v>
      </c>
      <c r="L14" s="3">
        <f t="shared" si="6"/>
        <v>2412.167136</v>
      </c>
      <c r="M14" s="3">
        <f t="shared" si="7"/>
        <v>3618.2507039999996</v>
      </c>
      <c r="N14" s="3">
        <f t="shared" si="8"/>
        <v>3015.20892</v>
      </c>
      <c r="O14" s="3">
        <f t="shared" si="9"/>
        <v>0</v>
      </c>
      <c r="P14" s="18">
        <f t="shared" si="10"/>
        <v>1.9339121901591134E-3</v>
      </c>
      <c r="Q14" s="3" t="s">
        <v>491</v>
      </c>
      <c r="R14" s="3">
        <f t="shared" si="11"/>
        <v>36785.548823999998</v>
      </c>
      <c r="S14" s="3">
        <v>0</v>
      </c>
      <c r="T14" t="s">
        <v>481</v>
      </c>
    </row>
    <row r="15" spans="1:20" ht="15" customHeight="1" x14ac:dyDescent="0.25">
      <c r="A15" t="s">
        <v>487</v>
      </c>
      <c r="B15" t="s">
        <v>245</v>
      </c>
      <c r="C15" t="s">
        <v>188</v>
      </c>
      <c r="D15" s="2">
        <v>27.787199999999999</v>
      </c>
      <c r="E15" s="3">
        <v>3497.9474</v>
      </c>
      <c r="F15" s="3">
        <f t="shared" si="0"/>
        <v>97198.163993280003</v>
      </c>
      <c r="G15" s="3">
        <f t="shared" si="1"/>
        <v>79670.626224000007</v>
      </c>
      <c r="H15" s="3">
        <f t="shared" si="2"/>
        <v>17527.537769279996</v>
      </c>
      <c r="I15" s="3">
        <f t="shared" si="3"/>
        <v>10357.181409120007</v>
      </c>
      <c r="J15" s="3">
        <f t="shared" si="4"/>
        <v>27884.719178400002</v>
      </c>
      <c r="K15" s="3">
        <f t="shared" si="5"/>
        <v>17527.537769280003</v>
      </c>
      <c r="L15" s="3">
        <f t="shared" si="6"/>
        <v>6373.6500979200009</v>
      </c>
      <c r="M15" s="3">
        <f t="shared" si="7"/>
        <v>9560.4751468800005</v>
      </c>
      <c r="N15" s="3">
        <f t="shared" si="8"/>
        <v>7967.0626224000007</v>
      </c>
      <c r="O15" s="3">
        <f t="shared" si="9"/>
        <v>0</v>
      </c>
      <c r="P15" s="18">
        <f t="shared" si="10"/>
        <v>5.1099608465009433E-3</v>
      </c>
      <c r="Q15" s="3" t="s">
        <v>491</v>
      </c>
      <c r="R15" s="3">
        <f t="shared" si="11"/>
        <v>97198.163993280003</v>
      </c>
      <c r="S15" s="3">
        <v>0</v>
      </c>
      <c r="T15" t="s">
        <v>481</v>
      </c>
    </row>
    <row r="16" spans="1:20" ht="15" customHeight="1" x14ac:dyDescent="0.25">
      <c r="A16" t="s">
        <v>143</v>
      </c>
      <c r="B16" t="s">
        <v>261</v>
      </c>
      <c r="C16" t="s">
        <v>145</v>
      </c>
      <c r="D16" s="2">
        <v>49.64</v>
      </c>
      <c r="E16" s="3">
        <v>598.53200000000004</v>
      </c>
      <c r="F16" s="3">
        <f t="shared" si="0"/>
        <v>29711.128480000003</v>
      </c>
      <c r="G16" s="3">
        <f t="shared" si="1"/>
        <v>24353.384000000002</v>
      </c>
      <c r="H16" s="3">
        <f t="shared" si="2"/>
        <v>5357.7444800000012</v>
      </c>
      <c r="I16" s="3">
        <f t="shared" si="3"/>
        <v>3165.9399200000007</v>
      </c>
      <c r="J16" s="3">
        <f t="shared" si="4"/>
        <v>8523.6844000000001</v>
      </c>
      <c r="K16" s="3">
        <f t="shared" si="5"/>
        <v>5357.7444800000003</v>
      </c>
      <c r="L16" s="3">
        <f t="shared" si="6"/>
        <v>1948.2707200000002</v>
      </c>
      <c r="M16" s="3">
        <f t="shared" si="7"/>
        <v>2922.4060800000002</v>
      </c>
      <c r="N16" s="3">
        <f t="shared" si="8"/>
        <v>2435.3384000000001</v>
      </c>
      <c r="O16" s="3">
        <f t="shared" si="9"/>
        <v>0</v>
      </c>
      <c r="P16" s="18">
        <f t="shared" si="10"/>
        <v>1.5619914718621195E-3</v>
      </c>
      <c r="Q16" s="3" t="s">
        <v>491</v>
      </c>
      <c r="R16" s="3">
        <f t="shared" si="11"/>
        <v>29711.128480000003</v>
      </c>
      <c r="S16" s="3">
        <v>0</v>
      </c>
      <c r="T16" t="s">
        <v>481</v>
      </c>
    </row>
    <row r="17" spans="1:20" ht="15" customHeight="1" x14ac:dyDescent="0.25">
      <c r="A17" t="s">
        <v>143</v>
      </c>
      <c r="B17" t="s">
        <v>272</v>
      </c>
      <c r="C17" t="s">
        <v>146</v>
      </c>
      <c r="D17" s="2">
        <v>10</v>
      </c>
      <c r="E17" s="3">
        <v>10026.301600000001</v>
      </c>
      <c r="F17" s="3">
        <f t="shared" si="0"/>
        <v>100263.016</v>
      </c>
      <c r="G17" s="3">
        <f t="shared" si="1"/>
        <v>82182.8</v>
      </c>
      <c r="H17" s="3">
        <f t="shared" si="2"/>
        <v>18080.216</v>
      </c>
      <c r="I17" s="3">
        <f t="shared" si="3"/>
        <v>10683.763999999996</v>
      </c>
      <c r="J17" s="3">
        <f t="shared" si="4"/>
        <v>28763.98</v>
      </c>
      <c r="K17" s="3">
        <f t="shared" si="5"/>
        <v>18080.216</v>
      </c>
      <c r="L17" s="3">
        <f t="shared" si="6"/>
        <v>6574.6240000000007</v>
      </c>
      <c r="M17" s="3">
        <f t="shared" si="7"/>
        <v>9861.9359999999997</v>
      </c>
      <c r="N17" s="3">
        <f t="shared" si="8"/>
        <v>8218.2800000000007</v>
      </c>
      <c r="O17" s="3">
        <f t="shared" si="9"/>
        <v>0</v>
      </c>
      <c r="P17" s="18">
        <f t="shared" si="10"/>
        <v>5.2710881056098891E-3</v>
      </c>
      <c r="Q17" s="3" t="s">
        <v>491</v>
      </c>
      <c r="R17" s="3">
        <f t="shared" si="11"/>
        <v>100263.016</v>
      </c>
      <c r="S17" s="3">
        <v>0</v>
      </c>
      <c r="T17" t="s">
        <v>481</v>
      </c>
    </row>
    <row r="18" spans="1:20" ht="15" customHeight="1" x14ac:dyDescent="0.25">
      <c r="A18" t="s">
        <v>143</v>
      </c>
      <c r="B18" t="s">
        <v>273</v>
      </c>
      <c r="C18" t="s">
        <v>146</v>
      </c>
      <c r="D18" s="2">
        <v>2.48</v>
      </c>
      <c r="E18" s="3">
        <v>24785.947</v>
      </c>
      <c r="F18" s="3">
        <f t="shared" si="0"/>
        <v>61469.148560000001</v>
      </c>
      <c r="G18" s="3">
        <f t="shared" si="1"/>
        <v>50384.548000000003</v>
      </c>
      <c r="H18" s="3">
        <f t="shared" si="2"/>
        <v>11084.600559999999</v>
      </c>
      <c r="I18" s="3">
        <f t="shared" si="3"/>
        <v>6549.991240000003</v>
      </c>
      <c r="J18" s="3">
        <f t="shared" si="4"/>
        <v>17634.591799999998</v>
      </c>
      <c r="K18" s="3">
        <f t="shared" si="5"/>
        <v>11084.600560000001</v>
      </c>
      <c r="L18" s="3">
        <f t="shared" si="6"/>
        <v>4030.7638400000001</v>
      </c>
      <c r="M18" s="3">
        <f t="shared" si="7"/>
        <v>6046.1457600000003</v>
      </c>
      <c r="N18" s="3">
        <f t="shared" si="8"/>
        <v>5038.4548000000004</v>
      </c>
      <c r="O18" s="3">
        <f t="shared" si="9"/>
        <v>0</v>
      </c>
      <c r="P18" s="18">
        <f t="shared" si="10"/>
        <v>3.2315933707458312E-3</v>
      </c>
      <c r="Q18" s="3" t="s">
        <v>491</v>
      </c>
      <c r="R18" s="3">
        <f t="shared" si="11"/>
        <v>61469.148560000001</v>
      </c>
      <c r="S18" s="3">
        <v>0</v>
      </c>
      <c r="T18" t="s">
        <v>481</v>
      </c>
    </row>
    <row r="19" spans="1:20" ht="15" customHeight="1" x14ac:dyDescent="0.25">
      <c r="A19" t="s">
        <v>143</v>
      </c>
      <c r="B19" t="s">
        <v>268</v>
      </c>
      <c r="C19" t="s">
        <v>145</v>
      </c>
      <c r="D19" s="2">
        <v>49.64</v>
      </c>
      <c r="E19" s="3">
        <v>1894.7331999999999</v>
      </c>
      <c r="F19" s="3">
        <f t="shared" si="0"/>
        <v>94054.556047999999</v>
      </c>
      <c r="G19" s="3">
        <f t="shared" si="1"/>
        <v>77093.898400000005</v>
      </c>
      <c r="H19" s="3">
        <f t="shared" si="2"/>
        <v>16960.657647999993</v>
      </c>
      <c r="I19" s="3">
        <f t="shared" si="3"/>
        <v>10022.206791999997</v>
      </c>
      <c r="J19" s="3">
        <f t="shared" si="4"/>
        <v>26982.864440000001</v>
      </c>
      <c r="K19" s="3">
        <f t="shared" si="5"/>
        <v>16960.657648</v>
      </c>
      <c r="L19" s="3">
        <f t="shared" si="6"/>
        <v>6167.5118720000009</v>
      </c>
      <c r="M19" s="3">
        <f t="shared" si="7"/>
        <v>9251.2678080000005</v>
      </c>
      <c r="N19" s="3">
        <f t="shared" si="8"/>
        <v>7709.3898400000007</v>
      </c>
      <c r="O19" s="3">
        <f t="shared" si="9"/>
        <v>0</v>
      </c>
      <c r="P19" s="18">
        <f t="shared" si="10"/>
        <v>4.9446931824096672E-3</v>
      </c>
      <c r="Q19" s="3" t="s">
        <v>491</v>
      </c>
      <c r="R19" s="3">
        <f t="shared" si="11"/>
        <v>94054.556047999999</v>
      </c>
      <c r="S19" s="3">
        <v>0</v>
      </c>
      <c r="T19" t="s">
        <v>481</v>
      </c>
    </row>
    <row r="20" spans="1:20" ht="15" customHeight="1" x14ac:dyDescent="0.25">
      <c r="A20" t="s">
        <v>143</v>
      </c>
      <c r="B20" t="s">
        <v>262</v>
      </c>
      <c r="C20" t="s">
        <v>146</v>
      </c>
      <c r="D20" s="2">
        <v>30</v>
      </c>
      <c r="E20" s="3">
        <v>46361.024799999999</v>
      </c>
      <c r="F20" s="3">
        <f t="shared" si="0"/>
        <v>1390830.7439999999</v>
      </c>
      <c r="G20" s="3">
        <f t="shared" si="1"/>
        <v>1140025.2</v>
      </c>
      <c r="H20" s="3">
        <f t="shared" si="2"/>
        <v>250805.54399999999</v>
      </c>
      <c r="I20" s="3">
        <f t="shared" si="3"/>
        <v>148203.27600000007</v>
      </c>
      <c r="J20" s="3">
        <f t="shared" si="4"/>
        <v>399008.81999999995</v>
      </c>
      <c r="K20" s="3">
        <f t="shared" si="5"/>
        <v>250805.54399999999</v>
      </c>
      <c r="L20" s="3">
        <f t="shared" si="6"/>
        <v>91202.016000000003</v>
      </c>
      <c r="M20" s="3">
        <f t="shared" si="7"/>
        <v>136803.02399999998</v>
      </c>
      <c r="N20" s="3">
        <f t="shared" si="8"/>
        <v>114002.52</v>
      </c>
      <c r="O20" s="3">
        <f t="shared" si="9"/>
        <v>0</v>
      </c>
      <c r="P20" s="18">
        <f t="shared" si="10"/>
        <v>7.3119597675128309E-2</v>
      </c>
      <c r="Q20" s="3" t="s">
        <v>491</v>
      </c>
      <c r="R20" s="3">
        <f t="shared" si="11"/>
        <v>1390830.7439999999</v>
      </c>
      <c r="S20" s="3">
        <v>0</v>
      </c>
      <c r="T20" t="s">
        <v>481</v>
      </c>
    </row>
    <row r="21" spans="1:20" ht="15" customHeight="1" x14ac:dyDescent="0.25">
      <c r="A21" t="s">
        <v>143</v>
      </c>
      <c r="B21" t="s">
        <v>274</v>
      </c>
      <c r="C21" t="s">
        <v>145</v>
      </c>
      <c r="D21" s="2">
        <v>36</v>
      </c>
      <c r="E21" s="3">
        <v>13418.536</v>
      </c>
      <c r="F21" s="3">
        <f t="shared" si="0"/>
        <v>483067.29599999997</v>
      </c>
      <c r="G21" s="3">
        <f t="shared" si="1"/>
        <v>395956.8</v>
      </c>
      <c r="H21" s="3">
        <f t="shared" si="2"/>
        <v>87110.495999999985</v>
      </c>
      <c r="I21" s="3">
        <f t="shared" si="3"/>
        <v>51474.38400000002</v>
      </c>
      <c r="J21" s="3">
        <f t="shared" si="4"/>
        <v>138584.87999999998</v>
      </c>
      <c r="K21" s="3">
        <f t="shared" si="5"/>
        <v>87110.495999999999</v>
      </c>
      <c r="L21" s="3">
        <f t="shared" si="6"/>
        <v>31676.543999999998</v>
      </c>
      <c r="M21" s="3">
        <f t="shared" si="7"/>
        <v>47514.815999999999</v>
      </c>
      <c r="N21" s="3">
        <f t="shared" si="8"/>
        <v>39595.68</v>
      </c>
      <c r="O21" s="3">
        <f t="shared" si="9"/>
        <v>0</v>
      </c>
      <c r="P21" s="18">
        <f t="shared" si="10"/>
        <v>2.539610695687362E-2</v>
      </c>
      <c r="Q21" s="3" t="s">
        <v>491</v>
      </c>
      <c r="R21" s="3">
        <f t="shared" si="11"/>
        <v>483067.29599999997</v>
      </c>
      <c r="S21" s="3">
        <v>0</v>
      </c>
      <c r="T21" t="s">
        <v>481</v>
      </c>
    </row>
    <row r="22" spans="1:20" ht="15" customHeight="1" x14ac:dyDescent="0.25">
      <c r="A22" t="s">
        <v>143</v>
      </c>
      <c r="B22" t="s">
        <v>116</v>
      </c>
      <c r="C22" t="s">
        <v>112</v>
      </c>
      <c r="D22" s="2">
        <v>3701.3712</v>
      </c>
      <c r="E22" s="3">
        <v>0</v>
      </c>
      <c r="F22" s="3">
        <f t="shared" si="0"/>
        <v>0</v>
      </c>
      <c r="G22" s="3">
        <f t="shared" si="1"/>
        <v>0</v>
      </c>
      <c r="H22" s="3">
        <f t="shared" si="2"/>
        <v>0</v>
      </c>
      <c r="I22" s="3">
        <f t="shared" si="3"/>
        <v>0</v>
      </c>
      <c r="J22" s="3">
        <f t="shared" si="4"/>
        <v>0</v>
      </c>
      <c r="K22" s="3">
        <f t="shared" si="5"/>
        <v>0</v>
      </c>
      <c r="L22" s="3">
        <f t="shared" si="6"/>
        <v>0</v>
      </c>
      <c r="M22" s="3">
        <f t="shared" si="7"/>
        <v>0</v>
      </c>
      <c r="N22" s="3">
        <f t="shared" si="8"/>
        <v>0</v>
      </c>
      <c r="O22" s="3">
        <f t="shared" si="9"/>
        <v>0</v>
      </c>
      <c r="P22" s="18">
        <f t="shared" si="10"/>
        <v>0</v>
      </c>
      <c r="Q22" s="3" t="s">
        <v>491</v>
      </c>
      <c r="R22" s="3">
        <f t="shared" si="11"/>
        <v>0</v>
      </c>
      <c r="S22" s="3">
        <v>0</v>
      </c>
      <c r="T22" t="s">
        <v>481</v>
      </c>
    </row>
    <row r="23" spans="1:20" ht="15" customHeight="1" x14ac:dyDescent="0.25">
      <c r="A23" t="s">
        <v>143</v>
      </c>
      <c r="B23" t="s">
        <v>129</v>
      </c>
      <c r="C23" t="s">
        <v>145</v>
      </c>
      <c r="D23" s="2">
        <v>36</v>
      </c>
      <c r="E23" s="3">
        <v>0</v>
      </c>
      <c r="F23" s="3">
        <f t="shared" si="0"/>
        <v>0</v>
      </c>
      <c r="G23" s="3">
        <f t="shared" si="1"/>
        <v>0</v>
      </c>
      <c r="H23" s="3">
        <f t="shared" si="2"/>
        <v>0</v>
      </c>
      <c r="I23" s="3">
        <f t="shared" si="3"/>
        <v>0</v>
      </c>
      <c r="J23" s="3">
        <f t="shared" si="4"/>
        <v>0</v>
      </c>
      <c r="K23" s="3">
        <f t="shared" si="5"/>
        <v>0</v>
      </c>
      <c r="L23" s="3">
        <f t="shared" si="6"/>
        <v>0</v>
      </c>
      <c r="M23" s="3">
        <f t="shared" si="7"/>
        <v>0</v>
      </c>
      <c r="N23" s="3">
        <f t="shared" si="8"/>
        <v>0</v>
      </c>
      <c r="O23" s="3">
        <f t="shared" si="9"/>
        <v>0</v>
      </c>
      <c r="P23" s="18">
        <f t="shared" si="10"/>
        <v>0</v>
      </c>
      <c r="Q23" s="3" t="s">
        <v>491</v>
      </c>
      <c r="R23" s="3">
        <f t="shared" si="11"/>
        <v>0</v>
      </c>
      <c r="S23" s="3">
        <v>0</v>
      </c>
      <c r="T23" t="s">
        <v>481</v>
      </c>
    </row>
    <row r="24" spans="1:20" ht="15" customHeight="1" x14ac:dyDescent="0.25">
      <c r="A24" t="s">
        <v>143</v>
      </c>
      <c r="B24" t="s">
        <v>108</v>
      </c>
      <c r="C24" t="s">
        <v>146</v>
      </c>
      <c r="D24" s="2">
        <v>12.50928</v>
      </c>
      <c r="E24" s="3">
        <v>0</v>
      </c>
      <c r="F24" s="3">
        <f t="shared" si="0"/>
        <v>0</v>
      </c>
      <c r="G24" s="3">
        <f t="shared" si="1"/>
        <v>0</v>
      </c>
      <c r="H24" s="3">
        <f t="shared" si="2"/>
        <v>0</v>
      </c>
      <c r="I24" s="3">
        <f t="shared" si="3"/>
        <v>0</v>
      </c>
      <c r="J24" s="3">
        <f t="shared" si="4"/>
        <v>0</v>
      </c>
      <c r="K24" s="3">
        <f t="shared" si="5"/>
        <v>0</v>
      </c>
      <c r="L24" s="3">
        <f t="shared" si="6"/>
        <v>0</v>
      </c>
      <c r="M24" s="3">
        <f t="shared" si="7"/>
        <v>0</v>
      </c>
      <c r="N24" s="3">
        <f t="shared" si="8"/>
        <v>0</v>
      </c>
      <c r="O24" s="3">
        <f t="shared" si="9"/>
        <v>0</v>
      </c>
      <c r="P24" s="18">
        <f t="shared" si="10"/>
        <v>0</v>
      </c>
      <c r="Q24" s="3" t="s">
        <v>491</v>
      </c>
      <c r="R24" s="3">
        <f t="shared" si="11"/>
        <v>0</v>
      </c>
      <c r="S24" s="3">
        <v>0</v>
      </c>
      <c r="T24" t="s">
        <v>481</v>
      </c>
    </row>
    <row r="25" spans="1:20" ht="15" customHeight="1" x14ac:dyDescent="0.25">
      <c r="A25" t="s">
        <v>143</v>
      </c>
      <c r="B25" t="s">
        <v>109</v>
      </c>
      <c r="C25" t="s">
        <v>146</v>
      </c>
      <c r="D25" s="2">
        <v>2.4820000000000002</v>
      </c>
      <c r="E25" s="3">
        <v>0</v>
      </c>
      <c r="F25" s="3">
        <f t="shared" si="0"/>
        <v>0</v>
      </c>
      <c r="G25" s="3">
        <f t="shared" si="1"/>
        <v>0</v>
      </c>
      <c r="H25" s="3">
        <f t="shared" si="2"/>
        <v>0</v>
      </c>
      <c r="I25" s="3">
        <f t="shared" si="3"/>
        <v>0</v>
      </c>
      <c r="J25" s="3">
        <f t="shared" si="4"/>
        <v>0</v>
      </c>
      <c r="K25" s="3">
        <f t="shared" si="5"/>
        <v>0</v>
      </c>
      <c r="L25" s="3">
        <f t="shared" si="6"/>
        <v>0</v>
      </c>
      <c r="M25" s="3">
        <f t="shared" si="7"/>
        <v>0</v>
      </c>
      <c r="N25" s="3">
        <f t="shared" si="8"/>
        <v>0</v>
      </c>
      <c r="O25" s="3">
        <f t="shared" si="9"/>
        <v>0</v>
      </c>
      <c r="P25" s="18">
        <f t="shared" si="10"/>
        <v>0</v>
      </c>
      <c r="Q25" s="3" t="s">
        <v>491</v>
      </c>
      <c r="R25" s="3">
        <f t="shared" si="11"/>
        <v>0</v>
      </c>
      <c r="S25" s="3">
        <v>0</v>
      </c>
      <c r="T25" t="s">
        <v>481</v>
      </c>
    </row>
    <row r="26" spans="1:20" ht="15" customHeight="1" x14ac:dyDescent="0.25">
      <c r="A26" t="s">
        <v>143</v>
      </c>
      <c r="B26" t="s">
        <v>110</v>
      </c>
      <c r="C26" t="s">
        <v>146</v>
      </c>
      <c r="D26" s="2">
        <v>29.783999999999999</v>
      </c>
      <c r="E26" s="3">
        <v>0</v>
      </c>
      <c r="F26" s="3">
        <f t="shared" si="0"/>
        <v>0</v>
      </c>
      <c r="G26" s="3">
        <f t="shared" si="1"/>
        <v>0</v>
      </c>
      <c r="H26" s="3">
        <f t="shared" si="2"/>
        <v>0</v>
      </c>
      <c r="I26" s="3">
        <f t="shared" si="3"/>
        <v>0</v>
      </c>
      <c r="J26" s="3">
        <f t="shared" si="4"/>
        <v>0</v>
      </c>
      <c r="K26" s="3">
        <f t="shared" si="5"/>
        <v>0</v>
      </c>
      <c r="L26" s="3">
        <f t="shared" si="6"/>
        <v>0</v>
      </c>
      <c r="M26" s="3">
        <f t="shared" si="7"/>
        <v>0</v>
      </c>
      <c r="N26" s="3">
        <f t="shared" si="8"/>
        <v>0</v>
      </c>
      <c r="O26" s="3">
        <f t="shared" si="9"/>
        <v>0</v>
      </c>
      <c r="P26" s="18">
        <f t="shared" si="10"/>
        <v>0</v>
      </c>
      <c r="Q26" s="3" t="s">
        <v>491</v>
      </c>
      <c r="R26" s="3">
        <f t="shared" si="11"/>
        <v>0</v>
      </c>
      <c r="S26" s="3">
        <v>0</v>
      </c>
      <c r="T26" t="s">
        <v>481</v>
      </c>
    </row>
    <row r="27" spans="1:20" ht="15" customHeight="1" x14ac:dyDescent="0.25">
      <c r="A27" t="s">
        <v>143</v>
      </c>
      <c r="B27" t="s">
        <v>111</v>
      </c>
      <c r="C27" t="s">
        <v>145</v>
      </c>
      <c r="D27" s="2">
        <v>148.80000000000001</v>
      </c>
      <c r="E27" s="3">
        <v>0</v>
      </c>
      <c r="F27" s="3">
        <f t="shared" si="0"/>
        <v>0</v>
      </c>
      <c r="G27" s="3">
        <f t="shared" si="1"/>
        <v>0</v>
      </c>
      <c r="H27" s="3">
        <f t="shared" si="2"/>
        <v>0</v>
      </c>
      <c r="I27" s="3">
        <f t="shared" si="3"/>
        <v>0</v>
      </c>
      <c r="J27" s="3">
        <f t="shared" si="4"/>
        <v>0</v>
      </c>
      <c r="K27" s="3">
        <f t="shared" si="5"/>
        <v>0</v>
      </c>
      <c r="L27" s="3">
        <f t="shared" si="6"/>
        <v>0</v>
      </c>
      <c r="M27" s="3">
        <f t="shared" si="7"/>
        <v>0</v>
      </c>
      <c r="N27" s="3">
        <f t="shared" si="8"/>
        <v>0</v>
      </c>
      <c r="O27" s="3">
        <f t="shared" si="9"/>
        <v>0</v>
      </c>
      <c r="P27" s="18">
        <f t="shared" si="10"/>
        <v>0</v>
      </c>
      <c r="Q27" s="3" t="s">
        <v>491</v>
      </c>
      <c r="R27" s="3">
        <f t="shared" si="11"/>
        <v>0</v>
      </c>
      <c r="S27" s="3">
        <v>0</v>
      </c>
      <c r="T27" t="s">
        <v>481</v>
      </c>
    </row>
    <row r="28" spans="1:20" ht="15" customHeight="1" x14ac:dyDescent="0.25">
      <c r="A28" t="s">
        <v>143</v>
      </c>
      <c r="B28" t="s">
        <v>147</v>
      </c>
      <c r="C28" t="s">
        <v>148</v>
      </c>
      <c r="D28" s="2">
        <v>68</v>
      </c>
      <c r="E28" s="3">
        <v>0</v>
      </c>
      <c r="F28" s="3">
        <f t="shared" si="0"/>
        <v>0</v>
      </c>
      <c r="G28" s="3">
        <f t="shared" si="1"/>
        <v>0</v>
      </c>
      <c r="H28" s="3">
        <f t="shared" si="2"/>
        <v>0</v>
      </c>
      <c r="I28" s="3">
        <f t="shared" si="3"/>
        <v>0</v>
      </c>
      <c r="J28" s="3">
        <f t="shared" si="4"/>
        <v>0</v>
      </c>
      <c r="K28" s="3">
        <f t="shared" si="5"/>
        <v>0</v>
      </c>
      <c r="L28" s="3">
        <f t="shared" si="6"/>
        <v>0</v>
      </c>
      <c r="M28" s="3">
        <f t="shared" si="7"/>
        <v>0</v>
      </c>
      <c r="N28" s="3">
        <f t="shared" si="8"/>
        <v>0</v>
      </c>
      <c r="O28" s="3">
        <f t="shared" si="9"/>
        <v>0</v>
      </c>
      <c r="P28" s="18">
        <f t="shared" si="10"/>
        <v>0</v>
      </c>
      <c r="Q28" s="3" t="s">
        <v>491</v>
      </c>
      <c r="R28" s="3">
        <f t="shared" si="11"/>
        <v>0</v>
      </c>
      <c r="S28" s="3">
        <v>0</v>
      </c>
      <c r="T28" t="s">
        <v>481</v>
      </c>
    </row>
    <row r="29" spans="1:20" ht="15" customHeight="1" x14ac:dyDescent="0.25">
      <c r="A29" t="s">
        <v>143</v>
      </c>
      <c r="B29" t="s">
        <v>149</v>
      </c>
      <c r="C29" t="s">
        <v>150</v>
      </c>
      <c r="D29" s="2">
        <v>19.72</v>
      </c>
      <c r="E29" s="3">
        <v>0</v>
      </c>
      <c r="F29" s="3">
        <f t="shared" si="0"/>
        <v>0</v>
      </c>
      <c r="G29" s="3">
        <f t="shared" si="1"/>
        <v>0</v>
      </c>
      <c r="H29" s="3">
        <f t="shared" si="2"/>
        <v>0</v>
      </c>
      <c r="I29" s="3">
        <f t="shared" si="3"/>
        <v>0</v>
      </c>
      <c r="J29" s="3">
        <f t="shared" si="4"/>
        <v>0</v>
      </c>
      <c r="K29" s="3">
        <f t="shared" si="5"/>
        <v>0</v>
      </c>
      <c r="L29" s="3">
        <f t="shared" si="6"/>
        <v>0</v>
      </c>
      <c r="M29" s="3">
        <f t="shared" si="7"/>
        <v>0</v>
      </c>
      <c r="N29" s="3">
        <f t="shared" si="8"/>
        <v>0</v>
      </c>
      <c r="O29" s="3">
        <f t="shared" si="9"/>
        <v>0</v>
      </c>
      <c r="P29" s="18">
        <f t="shared" si="10"/>
        <v>0</v>
      </c>
      <c r="Q29" s="3" t="s">
        <v>491</v>
      </c>
      <c r="R29" s="3">
        <f t="shared" si="11"/>
        <v>0</v>
      </c>
      <c r="S29" s="3">
        <v>0</v>
      </c>
      <c r="T29" t="s">
        <v>481</v>
      </c>
    </row>
    <row r="30" spans="1:20" ht="15" customHeight="1" x14ac:dyDescent="0.25">
      <c r="A30" t="s">
        <v>143</v>
      </c>
      <c r="B30" t="s">
        <v>115</v>
      </c>
      <c r="C30" t="s">
        <v>112</v>
      </c>
      <c r="D30" s="2">
        <v>55.411200000000001</v>
      </c>
      <c r="E30" s="3">
        <v>0</v>
      </c>
      <c r="F30" s="3">
        <f t="shared" si="0"/>
        <v>0</v>
      </c>
      <c r="G30" s="3">
        <f t="shared" si="1"/>
        <v>0</v>
      </c>
      <c r="H30" s="3">
        <f t="shared" si="2"/>
        <v>0</v>
      </c>
      <c r="I30" s="3">
        <f t="shared" si="3"/>
        <v>0</v>
      </c>
      <c r="J30" s="3">
        <f t="shared" si="4"/>
        <v>0</v>
      </c>
      <c r="K30" s="3">
        <f t="shared" si="5"/>
        <v>0</v>
      </c>
      <c r="L30" s="3">
        <f t="shared" si="6"/>
        <v>0</v>
      </c>
      <c r="M30" s="3">
        <f t="shared" si="7"/>
        <v>0</v>
      </c>
      <c r="N30" s="3">
        <f t="shared" si="8"/>
        <v>0</v>
      </c>
      <c r="O30" s="3">
        <f t="shared" si="9"/>
        <v>0</v>
      </c>
      <c r="P30" s="18">
        <f t="shared" si="10"/>
        <v>0</v>
      </c>
      <c r="Q30" s="3" t="s">
        <v>491</v>
      </c>
      <c r="R30" s="3">
        <f t="shared" si="11"/>
        <v>0</v>
      </c>
      <c r="S30" s="3">
        <v>0</v>
      </c>
      <c r="T30" t="s">
        <v>481</v>
      </c>
    </row>
    <row r="31" spans="1:20" ht="15" customHeight="1" x14ac:dyDescent="0.25">
      <c r="A31" t="s">
        <v>151</v>
      </c>
      <c r="B31" t="s">
        <v>247</v>
      </c>
      <c r="C31" t="s">
        <v>145</v>
      </c>
      <c r="D31" s="2">
        <v>53.4</v>
      </c>
      <c r="E31" s="3">
        <v>598.53200000000004</v>
      </c>
      <c r="F31" s="3">
        <f t="shared" si="0"/>
        <v>31961.608800000002</v>
      </c>
      <c r="G31" s="3">
        <f t="shared" si="1"/>
        <v>26198.04</v>
      </c>
      <c r="H31" s="3">
        <f t="shared" si="2"/>
        <v>5763.5688000000009</v>
      </c>
      <c r="I31" s="3">
        <f t="shared" si="3"/>
        <v>3405.7452000000012</v>
      </c>
      <c r="J31" s="3">
        <f t="shared" si="4"/>
        <v>9169.3140000000003</v>
      </c>
      <c r="K31" s="3">
        <f t="shared" si="5"/>
        <v>5763.5688</v>
      </c>
      <c r="L31" s="3">
        <f t="shared" si="6"/>
        <v>2095.8432000000003</v>
      </c>
      <c r="M31" s="3">
        <f t="shared" si="7"/>
        <v>3143.7647999999999</v>
      </c>
      <c r="N31" s="3">
        <f t="shared" si="8"/>
        <v>2619.8040000000001</v>
      </c>
      <c r="O31" s="3">
        <f t="shared" si="9"/>
        <v>0</v>
      </c>
      <c r="P31" s="18">
        <f t="shared" si="10"/>
        <v>1.6803050885865667E-3</v>
      </c>
      <c r="Q31" s="3" t="s">
        <v>491</v>
      </c>
      <c r="R31" s="3">
        <f t="shared" si="11"/>
        <v>31961.608800000002</v>
      </c>
      <c r="S31" s="3">
        <v>0</v>
      </c>
      <c r="T31" t="s">
        <v>481</v>
      </c>
    </row>
    <row r="32" spans="1:20" ht="15" customHeight="1" x14ac:dyDescent="0.25">
      <c r="A32" t="s">
        <v>151</v>
      </c>
      <c r="B32" t="s">
        <v>248</v>
      </c>
      <c r="C32" t="s">
        <v>146</v>
      </c>
      <c r="D32" s="2">
        <v>2.67</v>
      </c>
      <c r="E32" s="3">
        <v>5261.2744000000002</v>
      </c>
      <c r="F32" s="3">
        <f t="shared" si="0"/>
        <v>14047.602648</v>
      </c>
      <c r="G32" s="3">
        <f t="shared" si="1"/>
        <v>11514.428400000001</v>
      </c>
      <c r="H32" s="3">
        <f t="shared" si="2"/>
        <v>2533.1742479999994</v>
      </c>
      <c r="I32" s="3">
        <f t="shared" si="3"/>
        <v>1496.8756920000014</v>
      </c>
      <c r="J32" s="3">
        <f t="shared" si="4"/>
        <v>4030.0499399999999</v>
      </c>
      <c r="K32" s="3">
        <f t="shared" si="5"/>
        <v>2533.1742480000003</v>
      </c>
      <c r="L32" s="3">
        <f t="shared" si="6"/>
        <v>921.15427200000011</v>
      </c>
      <c r="M32" s="3">
        <f t="shared" si="7"/>
        <v>1381.7314080000001</v>
      </c>
      <c r="N32" s="3">
        <f t="shared" si="8"/>
        <v>1151.4428400000002</v>
      </c>
      <c r="O32" s="3">
        <f t="shared" si="9"/>
        <v>0</v>
      </c>
      <c r="P32" s="18">
        <f t="shared" si="10"/>
        <v>7.3851908893511414E-4</v>
      </c>
      <c r="Q32" s="3" t="s">
        <v>491</v>
      </c>
      <c r="R32" s="3">
        <f t="shared" si="11"/>
        <v>14047.602648</v>
      </c>
      <c r="S32" s="3">
        <v>0</v>
      </c>
      <c r="T32" t="s">
        <v>481</v>
      </c>
    </row>
    <row r="33" spans="1:20" ht="15" customHeight="1" x14ac:dyDescent="0.25">
      <c r="A33" t="s">
        <v>151</v>
      </c>
      <c r="B33" t="s">
        <v>249</v>
      </c>
      <c r="C33" t="s">
        <v>146</v>
      </c>
      <c r="D33" s="2">
        <v>5.34</v>
      </c>
      <c r="E33" s="3">
        <v>10026.301600000001</v>
      </c>
      <c r="F33" s="3">
        <f t="shared" si="0"/>
        <v>53540.450543999999</v>
      </c>
      <c r="G33" s="3">
        <f t="shared" si="1"/>
        <v>43885.6152</v>
      </c>
      <c r="H33" s="3">
        <f t="shared" si="2"/>
        <v>9654.8353439999992</v>
      </c>
      <c r="I33" s="3">
        <f t="shared" si="3"/>
        <v>5705.1299759999965</v>
      </c>
      <c r="J33" s="3">
        <f t="shared" si="4"/>
        <v>15359.965319999999</v>
      </c>
      <c r="K33" s="3">
        <f t="shared" si="5"/>
        <v>9654.835344000001</v>
      </c>
      <c r="L33" s="3">
        <f t="shared" si="6"/>
        <v>3510.8492160000001</v>
      </c>
      <c r="M33" s="3">
        <f t="shared" si="7"/>
        <v>5266.2738239999999</v>
      </c>
      <c r="N33" s="3">
        <f t="shared" si="8"/>
        <v>4388.5615200000002</v>
      </c>
      <c r="O33" s="3">
        <f t="shared" si="9"/>
        <v>0</v>
      </c>
      <c r="P33" s="18">
        <f t="shared" si="10"/>
        <v>2.8147610483956805E-3</v>
      </c>
      <c r="Q33" s="3" t="s">
        <v>491</v>
      </c>
      <c r="R33" s="3">
        <f t="shared" si="11"/>
        <v>53540.450543999999</v>
      </c>
      <c r="S33" s="3">
        <v>0</v>
      </c>
      <c r="T33" t="s">
        <v>481</v>
      </c>
    </row>
    <row r="34" spans="1:20" ht="15" customHeight="1" x14ac:dyDescent="0.25">
      <c r="A34" t="s">
        <v>151</v>
      </c>
      <c r="B34" t="s">
        <v>250</v>
      </c>
      <c r="C34" t="s">
        <v>146</v>
      </c>
      <c r="D34" s="2">
        <v>4.8949999999999996</v>
      </c>
      <c r="E34" s="3">
        <v>74702.954599999997</v>
      </c>
      <c r="F34" s="3">
        <f t="shared" si="0"/>
        <v>365670.96276699996</v>
      </c>
      <c r="G34" s="3">
        <f t="shared" si="1"/>
        <v>299730.29734999995</v>
      </c>
      <c r="H34" s="3">
        <f t="shared" si="2"/>
        <v>65940.665417000011</v>
      </c>
      <c r="I34" s="3">
        <f t="shared" si="3"/>
        <v>38964.938655500009</v>
      </c>
      <c r="J34" s="3">
        <f t="shared" si="4"/>
        <v>104905.60407249998</v>
      </c>
      <c r="K34" s="3">
        <f t="shared" si="5"/>
        <v>65940.665416999997</v>
      </c>
      <c r="L34" s="3">
        <f t="shared" si="6"/>
        <v>23978.423787999996</v>
      </c>
      <c r="M34" s="3">
        <f t="shared" si="7"/>
        <v>35967.635681999993</v>
      </c>
      <c r="N34" s="3">
        <f t="shared" si="8"/>
        <v>29973.029734999996</v>
      </c>
      <c r="O34" s="3">
        <f t="shared" si="9"/>
        <v>0</v>
      </c>
      <c r="P34" s="18">
        <f t="shared" si="10"/>
        <v>1.9224275703097243E-2</v>
      </c>
      <c r="Q34" s="3" t="s">
        <v>491</v>
      </c>
      <c r="R34" s="3">
        <f t="shared" si="11"/>
        <v>365670.96276699996</v>
      </c>
      <c r="S34" s="3">
        <v>0</v>
      </c>
      <c r="T34" t="s">
        <v>481</v>
      </c>
    </row>
    <row r="35" spans="1:20" ht="15" customHeight="1" x14ac:dyDescent="0.25">
      <c r="A35" t="s">
        <v>151</v>
      </c>
      <c r="B35" t="s">
        <v>251</v>
      </c>
      <c r="C35" t="s">
        <v>145</v>
      </c>
      <c r="D35" s="2">
        <v>99.146000000000001</v>
      </c>
      <c r="E35" s="3">
        <v>1894.7331999999999</v>
      </c>
      <c r="F35" s="3">
        <f t="shared" si="0"/>
        <v>187855.21784719999</v>
      </c>
      <c r="G35" s="3">
        <f t="shared" si="1"/>
        <v>153979.68676000001</v>
      </c>
      <c r="H35" s="3">
        <f t="shared" si="2"/>
        <v>33875.531087199983</v>
      </c>
      <c r="I35" s="3">
        <f t="shared" si="3"/>
        <v>20017.359278800024</v>
      </c>
      <c r="J35" s="3">
        <f t="shared" si="4"/>
        <v>53892.890366</v>
      </c>
      <c r="K35" s="3">
        <f t="shared" si="5"/>
        <v>33875.531087200005</v>
      </c>
      <c r="L35" s="3">
        <f t="shared" si="6"/>
        <v>12318.3749408</v>
      </c>
      <c r="M35" s="3">
        <f t="shared" si="7"/>
        <v>18477.5624112</v>
      </c>
      <c r="N35" s="3">
        <f t="shared" si="8"/>
        <v>15397.968676000002</v>
      </c>
      <c r="O35" s="3">
        <f t="shared" si="9"/>
        <v>0</v>
      </c>
      <c r="P35" s="18">
        <f t="shared" si="10"/>
        <v>9.8760384823366014E-3</v>
      </c>
      <c r="Q35" s="3" t="s">
        <v>491</v>
      </c>
      <c r="R35" s="3">
        <f t="shared" si="11"/>
        <v>187855.21784719999</v>
      </c>
      <c r="S35" s="3">
        <v>0</v>
      </c>
      <c r="T35" t="s">
        <v>481</v>
      </c>
    </row>
    <row r="36" spans="1:20" ht="15" customHeight="1" x14ac:dyDescent="0.25">
      <c r="A36" t="s">
        <v>151</v>
      </c>
      <c r="B36" t="s">
        <v>252</v>
      </c>
      <c r="C36" t="s">
        <v>112</v>
      </c>
      <c r="D36" s="2">
        <v>1335</v>
      </c>
      <c r="E36" s="3">
        <v>487.89019999999999</v>
      </c>
      <c r="F36" s="3">
        <f t="shared" si="0"/>
        <v>651333.41700000002</v>
      </c>
      <c r="G36" s="3">
        <f t="shared" si="1"/>
        <v>533879.85</v>
      </c>
      <c r="H36" s="3">
        <f t="shared" si="2"/>
        <v>117453.56700000004</v>
      </c>
      <c r="I36" s="3">
        <f t="shared" si="3"/>
        <v>69404.380500000028</v>
      </c>
      <c r="J36" s="3">
        <f t="shared" si="4"/>
        <v>186857.94749999998</v>
      </c>
      <c r="K36" s="3">
        <f t="shared" si="5"/>
        <v>117453.567</v>
      </c>
      <c r="L36" s="3">
        <f t="shared" si="6"/>
        <v>42710.387999999999</v>
      </c>
      <c r="M36" s="3">
        <f t="shared" si="7"/>
        <v>64065.581999999995</v>
      </c>
      <c r="N36" s="3">
        <f t="shared" si="8"/>
        <v>53387.985000000001</v>
      </c>
      <c r="O36" s="3">
        <f t="shared" si="9"/>
        <v>0</v>
      </c>
      <c r="P36" s="18">
        <f t="shared" si="10"/>
        <v>3.4242295555271807E-2</v>
      </c>
      <c r="Q36" s="3" t="s">
        <v>491</v>
      </c>
      <c r="R36" s="3">
        <f t="shared" si="11"/>
        <v>651333.41700000002</v>
      </c>
      <c r="S36" s="3">
        <v>0</v>
      </c>
      <c r="T36" t="s">
        <v>481</v>
      </c>
    </row>
    <row r="37" spans="1:20" ht="15" customHeight="1" x14ac:dyDescent="0.25">
      <c r="A37" t="s">
        <v>151</v>
      </c>
      <c r="B37" t="s">
        <v>106</v>
      </c>
      <c r="C37" t="s">
        <v>146</v>
      </c>
      <c r="D37" s="2">
        <v>2.9369999999999998</v>
      </c>
      <c r="E37" s="3">
        <v>0</v>
      </c>
      <c r="F37" s="3">
        <f t="shared" si="0"/>
        <v>0</v>
      </c>
      <c r="G37" s="3">
        <f t="shared" si="1"/>
        <v>0</v>
      </c>
      <c r="H37" s="3">
        <f t="shared" si="2"/>
        <v>0</v>
      </c>
      <c r="I37" s="3">
        <f t="shared" si="3"/>
        <v>0</v>
      </c>
      <c r="J37" s="3">
        <f t="shared" si="4"/>
        <v>0</v>
      </c>
      <c r="K37" s="3">
        <f t="shared" si="5"/>
        <v>0</v>
      </c>
      <c r="L37" s="3">
        <f t="shared" si="6"/>
        <v>0</v>
      </c>
      <c r="M37" s="3">
        <f t="shared" si="7"/>
        <v>0</v>
      </c>
      <c r="N37" s="3">
        <f t="shared" si="8"/>
        <v>0</v>
      </c>
      <c r="O37" s="3">
        <f t="shared" si="9"/>
        <v>0</v>
      </c>
      <c r="P37" s="18">
        <f t="shared" si="10"/>
        <v>0</v>
      </c>
      <c r="Q37" s="3" t="s">
        <v>491</v>
      </c>
      <c r="R37" s="3">
        <f t="shared" si="11"/>
        <v>0</v>
      </c>
      <c r="S37" s="3">
        <v>0</v>
      </c>
      <c r="T37" t="s">
        <v>481</v>
      </c>
    </row>
    <row r="38" spans="1:20" ht="15" customHeight="1" x14ac:dyDescent="0.25">
      <c r="A38" t="s">
        <v>151</v>
      </c>
      <c r="B38" t="s">
        <v>108</v>
      </c>
      <c r="C38" t="s">
        <v>146</v>
      </c>
      <c r="D38" s="2">
        <v>3.3641999999999999</v>
      </c>
      <c r="E38" s="3">
        <v>0</v>
      </c>
      <c r="F38" s="3">
        <f t="shared" si="0"/>
        <v>0</v>
      </c>
      <c r="G38" s="3">
        <f t="shared" si="1"/>
        <v>0</v>
      </c>
      <c r="H38" s="3">
        <f t="shared" si="2"/>
        <v>0</v>
      </c>
      <c r="I38" s="3">
        <f t="shared" si="3"/>
        <v>0</v>
      </c>
      <c r="J38" s="3">
        <f t="shared" si="4"/>
        <v>0</v>
      </c>
      <c r="K38" s="3">
        <f t="shared" si="5"/>
        <v>0</v>
      </c>
      <c r="L38" s="3">
        <f t="shared" si="6"/>
        <v>0</v>
      </c>
      <c r="M38" s="3">
        <f t="shared" si="7"/>
        <v>0</v>
      </c>
      <c r="N38" s="3">
        <f t="shared" si="8"/>
        <v>0</v>
      </c>
      <c r="O38" s="3">
        <f t="shared" si="9"/>
        <v>0</v>
      </c>
      <c r="P38" s="18">
        <f t="shared" si="10"/>
        <v>0</v>
      </c>
      <c r="Q38" s="3" t="s">
        <v>491</v>
      </c>
      <c r="R38" s="3">
        <f t="shared" si="11"/>
        <v>0</v>
      </c>
      <c r="S38" s="3">
        <v>0</v>
      </c>
      <c r="T38" t="s">
        <v>481</v>
      </c>
    </row>
    <row r="39" spans="1:20" ht="15" customHeight="1" x14ac:dyDescent="0.25">
      <c r="A39" t="s">
        <v>151</v>
      </c>
      <c r="B39" t="s">
        <v>122</v>
      </c>
      <c r="C39" t="s">
        <v>148</v>
      </c>
      <c r="D39" s="2">
        <v>89</v>
      </c>
      <c r="E39" s="3">
        <v>0</v>
      </c>
      <c r="F39" s="3">
        <f t="shared" si="0"/>
        <v>0</v>
      </c>
      <c r="G39" s="3">
        <f t="shared" si="1"/>
        <v>0</v>
      </c>
      <c r="H39" s="3">
        <f t="shared" si="2"/>
        <v>0</v>
      </c>
      <c r="I39" s="3">
        <f t="shared" si="3"/>
        <v>0</v>
      </c>
      <c r="J39" s="3">
        <f t="shared" si="4"/>
        <v>0</v>
      </c>
      <c r="K39" s="3">
        <f t="shared" si="5"/>
        <v>0</v>
      </c>
      <c r="L39" s="3">
        <f t="shared" si="6"/>
        <v>0</v>
      </c>
      <c r="M39" s="3">
        <f t="shared" si="7"/>
        <v>0</v>
      </c>
      <c r="N39" s="3">
        <f t="shared" si="8"/>
        <v>0</v>
      </c>
      <c r="O39" s="3">
        <f t="shared" si="9"/>
        <v>0</v>
      </c>
      <c r="P39" s="18">
        <f t="shared" si="10"/>
        <v>0</v>
      </c>
      <c r="Q39" s="3" t="s">
        <v>491</v>
      </c>
      <c r="R39" s="3">
        <f t="shared" si="11"/>
        <v>0</v>
      </c>
      <c r="S39" s="3">
        <v>0</v>
      </c>
      <c r="T39" t="s">
        <v>481</v>
      </c>
    </row>
    <row r="40" spans="1:20" ht="15" customHeight="1" x14ac:dyDescent="0.25">
      <c r="A40" t="s">
        <v>151</v>
      </c>
      <c r="B40" t="s">
        <v>124</v>
      </c>
      <c r="C40" t="s">
        <v>148</v>
      </c>
      <c r="D40" s="2">
        <v>178</v>
      </c>
      <c r="E40" s="3">
        <v>0</v>
      </c>
      <c r="F40" s="3">
        <f t="shared" si="0"/>
        <v>0</v>
      </c>
      <c r="G40" s="3">
        <f t="shared" si="1"/>
        <v>0</v>
      </c>
      <c r="H40" s="3">
        <f t="shared" si="2"/>
        <v>0</v>
      </c>
      <c r="I40" s="3">
        <f t="shared" si="3"/>
        <v>0</v>
      </c>
      <c r="J40" s="3">
        <f t="shared" si="4"/>
        <v>0</v>
      </c>
      <c r="K40" s="3">
        <f t="shared" si="5"/>
        <v>0</v>
      </c>
      <c r="L40" s="3">
        <f t="shared" si="6"/>
        <v>0</v>
      </c>
      <c r="M40" s="3">
        <f t="shared" si="7"/>
        <v>0</v>
      </c>
      <c r="N40" s="3">
        <f t="shared" si="8"/>
        <v>0</v>
      </c>
      <c r="O40" s="3">
        <f t="shared" si="9"/>
        <v>0</v>
      </c>
      <c r="P40" s="18">
        <f t="shared" si="10"/>
        <v>0</v>
      </c>
      <c r="Q40" s="3" t="s">
        <v>491</v>
      </c>
      <c r="R40" s="3">
        <f t="shared" si="11"/>
        <v>0</v>
      </c>
      <c r="S40" s="3">
        <v>0</v>
      </c>
      <c r="T40" t="s">
        <v>481</v>
      </c>
    </row>
    <row r="41" spans="1:20" ht="15" customHeight="1" x14ac:dyDescent="0.25">
      <c r="A41" t="s">
        <v>151</v>
      </c>
      <c r="B41" t="s">
        <v>111</v>
      </c>
      <c r="C41" t="s">
        <v>112</v>
      </c>
      <c r="D41" s="2">
        <v>297.43799999999999</v>
      </c>
      <c r="E41" s="3">
        <v>0</v>
      </c>
      <c r="F41" s="3">
        <f t="shared" ref="F41:F64" si="12">D41*E41</f>
        <v>0</v>
      </c>
      <c r="G41" s="3">
        <f t="shared" ref="G41:G64" si="13">F41/1.22</f>
        <v>0</v>
      </c>
      <c r="H41" s="3">
        <f t="shared" ref="H41:H64" si="14">F41-G41</f>
        <v>0</v>
      </c>
      <c r="I41" s="3">
        <f t="shared" ref="I41:I64" si="15">G41-SUM(J41:N41)</f>
        <v>0</v>
      </c>
      <c r="J41" s="3">
        <f t="shared" ref="J41:J64" si="16">G41*0.35</f>
        <v>0</v>
      </c>
      <c r="K41" s="3">
        <f t="shared" ref="K41:K64" si="17">G41*0.22</f>
        <v>0</v>
      </c>
      <c r="L41" s="3">
        <f t="shared" ref="L41:L64" si="18">G41*0.08</f>
        <v>0</v>
      </c>
      <c r="M41" s="3">
        <f t="shared" ref="M41:M64" si="19">G41*0.12</f>
        <v>0</v>
      </c>
      <c r="N41" s="3">
        <f t="shared" ref="N41:N64" si="20">G41*0.1</f>
        <v>0</v>
      </c>
      <c r="O41" s="3">
        <f t="shared" ref="O41:O64" si="21">G41-SUM(I41:N41)</f>
        <v>0</v>
      </c>
      <c r="P41" s="18">
        <f t="shared" ref="P41:P64" si="22">IF($F$65=0,0,F41/$F$65)</f>
        <v>0</v>
      </c>
      <c r="Q41" s="3" t="s">
        <v>491</v>
      </c>
      <c r="R41" s="3">
        <f t="shared" ref="R41:R64" si="23">F41</f>
        <v>0</v>
      </c>
      <c r="S41" s="3">
        <v>0</v>
      </c>
      <c r="T41" t="s">
        <v>481</v>
      </c>
    </row>
    <row r="42" spans="1:20" ht="15" customHeight="1" x14ac:dyDescent="0.25">
      <c r="A42" t="s">
        <v>152</v>
      </c>
      <c r="B42" t="s">
        <v>247</v>
      </c>
      <c r="C42" t="s">
        <v>145</v>
      </c>
      <c r="D42" s="2">
        <v>677</v>
      </c>
      <c r="E42" s="3">
        <v>598.53200000000004</v>
      </c>
      <c r="F42" s="3">
        <f t="shared" si="12"/>
        <v>405206.16400000005</v>
      </c>
      <c r="G42" s="3">
        <f t="shared" si="13"/>
        <v>332136.20000000007</v>
      </c>
      <c r="H42" s="3">
        <f t="shared" si="14"/>
        <v>73069.963999999978</v>
      </c>
      <c r="I42" s="3">
        <f t="shared" si="15"/>
        <v>43177.706000000006</v>
      </c>
      <c r="J42" s="3">
        <f t="shared" si="16"/>
        <v>116247.67000000001</v>
      </c>
      <c r="K42" s="3">
        <f t="shared" si="17"/>
        <v>73069.964000000022</v>
      </c>
      <c r="L42" s="3">
        <f t="shared" si="18"/>
        <v>26570.896000000008</v>
      </c>
      <c r="M42" s="3">
        <f t="shared" si="19"/>
        <v>39856.344000000005</v>
      </c>
      <c r="N42" s="3">
        <f t="shared" si="20"/>
        <v>33213.62000000001</v>
      </c>
      <c r="O42" s="3">
        <f t="shared" si="21"/>
        <v>0</v>
      </c>
      <c r="P42" s="18">
        <f t="shared" si="22"/>
        <v>2.1302744287885877E-2</v>
      </c>
      <c r="Q42" s="3" t="s">
        <v>491</v>
      </c>
      <c r="R42" s="3">
        <f t="shared" si="23"/>
        <v>405206.16400000005</v>
      </c>
      <c r="S42" s="3">
        <v>0</v>
      </c>
      <c r="T42" t="s">
        <v>481</v>
      </c>
    </row>
    <row r="43" spans="1:20" ht="15" customHeight="1" x14ac:dyDescent="0.25">
      <c r="A43" t="s">
        <v>152</v>
      </c>
      <c r="B43" t="s">
        <v>254</v>
      </c>
      <c r="C43" t="s">
        <v>146</v>
      </c>
      <c r="D43" s="2">
        <v>6.77</v>
      </c>
      <c r="E43" s="3">
        <v>5261.2744000000002</v>
      </c>
      <c r="F43" s="3">
        <f t="shared" si="12"/>
        <v>35618.827687999998</v>
      </c>
      <c r="G43" s="3">
        <f t="shared" si="13"/>
        <v>29195.760399999999</v>
      </c>
      <c r="H43" s="3">
        <f t="shared" si="14"/>
        <v>6423.0672879999984</v>
      </c>
      <c r="I43" s="3">
        <f t="shared" si="15"/>
        <v>3795.4488520000014</v>
      </c>
      <c r="J43" s="3">
        <f t="shared" si="16"/>
        <v>10218.51614</v>
      </c>
      <c r="K43" s="3">
        <f t="shared" si="17"/>
        <v>6423.0672880000002</v>
      </c>
      <c r="L43" s="3">
        <f t="shared" si="18"/>
        <v>2335.660832</v>
      </c>
      <c r="M43" s="3">
        <f t="shared" si="19"/>
        <v>3503.4912479999998</v>
      </c>
      <c r="N43" s="3">
        <f t="shared" si="20"/>
        <v>2919.5760399999999</v>
      </c>
      <c r="O43" s="3">
        <f t="shared" si="21"/>
        <v>0</v>
      </c>
      <c r="P43" s="18">
        <f t="shared" si="22"/>
        <v>1.8725746187605702E-3</v>
      </c>
      <c r="Q43" s="3" t="s">
        <v>491</v>
      </c>
      <c r="R43" s="3">
        <f t="shared" si="23"/>
        <v>35618.827687999998</v>
      </c>
      <c r="S43" s="3">
        <v>0</v>
      </c>
      <c r="T43" t="s">
        <v>481</v>
      </c>
    </row>
    <row r="44" spans="1:20" ht="15" customHeight="1" x14ac:dyDescent="0.25">
      <c r="A44" t="s">
        <v>152</v>
      </c>
      <c r="B44" t="s">
        <v>255</v>
      </c>
      <c r="C44" t="s">
        <v>146</v>
      </c>
      <c r="D44" s="2">
        <v>33.85</v>
      </c>
      <c r="E44" s="3">
        <v>20671.9728</v>
      </c>
      <c r="F44" s="3">
        <f t="shared" si="12"/>
        <v>699746.27928000002</v>
      </c>
      <c r="G44" s="3">
        <f t="shared" si="13"/>
        <v>573562.52399999998</v>
      </c>
      <c r="H44" s="3">
        <f t="shared" si="14"/>
        <v>126183.75528000004</v>
      </c>
      <c r="I44" s="3">
        <f t="shared" si="15"/>
        <v>74563.128120000008</v>
      </c>
      <c r="J44" s="3">
        <f t="shared" si="16"/>
        <v>200746.88339999999</v>
      </c>
      <c r="K44" s="3">
        <f t="shared" si="17"/>
        <v>126183.75528</v>
      </c>
      <c r="L44" s="3">
        <f t="shared" si="18"/>
        <v>45885.001920000002</v>
      </c>
      <c r="M44" s="3">
        <f t="shared" si="19"/>
        <v>68827.50288</v>
      </c>
      <c r="N44" s="3">
        <f t="shared" si="20"/>
        <v>57356.252399999998</v>
      </c>
      <c r="O44" s="3">
        <f t="shared" si="21"/>
        <v>0</v>
      </c>
      <c r="P44" s="18">
        <f t="shared" si="22"/>
        <v>3.6787485922601643E-2</v>
      </c>
      <c r="Q44" s="3" t="s">
        <v>491</v>
      </c>
      <c r="R44" s="3">
        <f t="shared" si="23"/>
        <v>699746.27928000002</v>
      </c>
      <c r="S44" s="3">
        <v>0</v>
      </c>
      <c r="T44" t="s">
        <v>481</v>
      </c>
    </row>
    <row r="45" spans="1:20" ht="15" customHeight="1" x14ac:dyDescent="0.25">
      <c r="A45" t="s">
        <v>152</v>
      </c>
      <c r="B45" t="s">
        <v>256</v>
      </c>
      <c r="C45" t="s">
        <v>145</v>
      </c>
      <c r="D45" s="2">
        <v>677</v>
      </c>
      <c r="E45" s="3">
        <v>1741.6964</v>
      </c>
      <c r="F45" s="3">
        <f t="shared" si="12"/>
        <v>1179128.4628000001</v>
      </c>
      <c r="G45" s="3">
        <f t="shared" si="13"/>
        <v>966498.74000000011</v>
      </c>
      <c r="H45" s="3">
        <f t="shared" si="14"/>
        <v>212629.72279999999</v>
      </c>
      <c r="I45" s="3">
        <f t="shared" si="15"/>
        <v>125644.83620000014</v>
      </c>
      <c r="J45" s="3">
        <f t="shared" si="16"/>
        <v>338274.55900000001</v>
      </c>
      <c r="K45" s="3">
        <f t="shared" si="17"/>
        <v>212629.72280000002</v>
      </c>
      <c r="L45" s="3">
        <f t="shared" si="18"/>
        <v>77319.899200000014</v>
      </c>
      <c r="M45" s="3">
        <f t="shared" si="19"/>
        <v>115979.84880000001</v>
      </c>
      <c r="N45" s="3">
        <f t="shared" si="20"/>
        <v>96649.874000000011</v>
      </c>
      <c r="O45" s="3">
        <f t="shared" si="21"/>
        <v>0</v>
      </c>
      <c r="P45" s="18">
        <f t="shared" si="22"/>
        <v>6.1989856910459912E-2</v>
      </c>
      <c r="Q45" s="3" t="s">
        <v>491</v>
      </c>
      <c r="R45" s="3">
        <f t="shared" si="23"/>
        <v>1179128.4628000001</v>
      </c>
      <c r="S45" s="3">
        <v>0</v>
      </c>
      <c r="T45" t="s">
        <v>481</v>
      </c>
    </row>
    <row r="46" spans="1:20" ht="15" customHeight="1" x14ac:dyDescent="0.25">
      <c r="A46" t="s">
        <v>152</v>
      </c>
      <c r="B46" t="s">
        <v>257</v>
      </c>
      <c r="C46" t="s">
        <v>112</v>
      </c>
      <c r="D46" s="2">
        <v>8834.85</v>
      </c>
      <c r="E46" s="3">
        <v>148.2056</v>
      </c>
      <c r="F46" s="3">
        <f t="shared" si="12"/>
        <v>1309374.2451600002</v>
      </c>
      <c r="G46" s="3">
        <f t="shared" si="13"/>
        <v>1073257.5780000002</v>
      </c>
      <c r="H46" s="3">
        <f t="shared" si="14"/>
        <v>236116.66715999995</v>
      </c>
      <c r="I46" s="3">
        <f t="shared" si="15"/>
        <v>139523.48514</v>
      </c>
      <c r="J46" s="3">
        <f t="shared" si="16"/>
        <v>375640.15230000007</v>
      </c>
      <c r="K46" s="3">
        <f t="shared" si="17"/>
        <v>236116.66716000004</v>
      </c>
      <c r="L46" s="3">
        <f t="shared" si="18"/>
        <v>85860.606240000023</v>
      </c>
      <c r="M46" s="3">
        <f t="shared" si="19"/>
        <v>128790.90936000002</v>
      </c>
      <c r="N46" s="3">
        <f t="shared" si="20"/>
        <v>107325.75780000002</v>
      </c>
      <c r="O46" s="3">
        <f t="shared" si="21"/>
        <v>0</v>
      </c>
      <c r="P46" s="18">
        <f t="shared" si="22"/>
        <v>6.8837217199358966E-2</v>
      </c>
      <c r="Q46" s="3" t="s">
        <v>491</v>
      </c>
      <c r="R46" s="3">
        <f t="shared" si="23"/>
        <v>1309374.2451600002</v>
      </c>
      <c r="S46" s="3">
        <v>0</v>
      </c>
      <c r="T46" t="s">
        <v>481</v>
      </c>
    </row>
    <row r="47" spans="1:20" ht="15" customHeight="1" x14ac:dyDescent="0.25">
      <c r="A47" t="s">
        <v>152</v>
      </c>
      <c r="B47" t="s">
        <v>258</v>
      </c>
      <c r="C47" t="s">
        <v>146</v>
      </c>
      <c r="D47" s="2">
        <v>203.1</v>
      </c>
      <c r="E47" s="3">
        <v>27220.091</v>
      </c>
      <c r="F47" s="3">
        <f t="shared" si="12"/>
        <v>5528400.4820999997</v>
      </c>
      <c r="G47" s="3">
        <f t="shared" si="13"/>
        <v>4531475.8049999997</v>
      </c>
      <c r="H47" s="3">
        <f t="shared" si="14"/>
        <v>996924.67709999997</v>
      </c>
      <c r="I47" s="3">
        <f t="shared" si="15"/>
        <v>589091.85464999964</v>
      </c>
      <c r="J47" s="3">
        <f t="shared" si="16"/>
        <v>1586016.5317499998</v>
      </c>
      <c r="K47" s="3">
        <f t="shared" si="17"/>
        <v>996924.67709999997</v>
      </c>
      <c r="L47" s="3">
        <f t="shared" si="18"/>
        <v>362518.06439999997</v>
      </c>
      <c r="M47" s="3">
        <f t="shared" si="19"/>
        <v>543777.09659999993</v>
      </c>
      <c r="N47" s="3">
        <f t="shared" si="20"/>
        <v>453147.58049999998</v>
      </c>
      <c r="O47" s="3">
        <f t="shared" si="21"/>
        <v>0</v>
      </c>
      <c r="P47" s="18">
        <f t="shared" si="22"/>
        <v>0.29064242416411334</v>
      </c>
      <c r="Q47" s="3" t="s">
        <v>491</v>
      </c>
      <c r="R47" s="3">
        <f t="shared" si="23"/>
        <v>5528400.4820999997</v>
      </c>
      <c r="S47" s="3">
        <v>0</v>
      </c>
      <c r="T47" t="s">
        <v>481</v>
      </c>
    </row>
    <row r="48" spans="1:20" ht="15" customHeight="1" x14ac:dyDescent="0.25">
      <c r="A48" t="s">
        <v>152</v>
      </c>
      <c r="B48" t="s">
        <v>259</v>
      </c>
      <c r="C48" t="s">
        <v>145</v>
      </c>
      <c r="D48" s="2">
        <v>677</v>
      </c>
      <c r="E48" s="3">
        <v>2551.5567999999998</v>
      </c>
      <c r="F48" s="3">
        <f t="shared" si="12"/>
        <v>1727403.9535999999</v>
      </c>
      <c r="G48" s="3">
        <f t="shared" si="13"/>
        <v>1415904.88</v>
      </c>
      <c r="H48" s="3">
        <f t="shared" si="14"/>
        <v>311499.0736</v>
      </c>
      <c r="I48" s="3">
        <f t="shared" si="15"/>
        <v>184067.6344000001</v>
      </c>
      <c r="J48" s="3">
        <f t="shared" si="16"/>
        <v>495566.70799999993</v>
      </c>
      <c r="K48" s="3">
        <f t="shared" si="17"/>
        <v>311499.0736</v>
      </c>
      <c r="L48" s="3">
        <f t="shared" si="18"/>
        <v>113272.39039999999</v>
      </c>
      <c r="M48" s="3">
        <f t="shared" si="19"/>
        <v>169908.58559999999</v>
      </c>
      <c r="N48" s="3">
        <f t="shared" si="20"/>
        <v>141590.48799999998</v>
      </c>
      <c r="O48" s="3">
        <f t="shared" si="21"/>
        <v>0</v>
      </c>
      <c r="P48" s="18">
        <f t="shared" si="22"/>
        <v>9.0814128645446454E-2</v>
      </c>
      <c r="Q48" s="3" t="s">
        <v>491</v>
      </c>
      <c r="R48" s="3">
        <f t="shared" si="23"/>
        <v>1727403.9535999999</v>
      </c>
      <c r="S48" s="3">
        <v>0</v>
      </c>
      <c r="T48" t="s">
        <v>481</v>
      </c>
    </row>
    <row r="49" spans="1:20" ht="15" customHeight="1" x14ac:dyDescent="0.25">
      <c r="A49" t="s">
        <v>152</v>
      </c>
      <c r="B49" t="s">
        <v>153</v>
      </c>
      <c r="C49" t="s">
        <v>146</v>
      </c>
      <c r="D49" s="2">
        <v>7.4470000000000001</v>
      </c>
      <c r="E49" s="3">
        <v>0</v>
      </c>
      <c r="F49" s="3">
        <f t="shared" si="12"/>
        <v>0</v>
      </c>
      <c r="G49" s="3">
        <f t="shared" si="13"/>
        <v>0</v>
      </c>
      <c r="H49" s="3">
        <f t="shared" si="14"/>
        <v>0</v>
      </c>
      <c r="I49" s="3">
        <f t="shared" si="15"/>
        <v>0</v>
      </c>
      <c r="J49" s="3">
        <f t="shared" si="16"/>
        <v>0</v>
      </c>
      <c r="K49" s="3">
        <f t="shared" si="17"/>
        <v>0</v>
      </c>
      <c r="L49" s="3">
        <f t="shared" si="18"/>
        <v>0</v>
      </c>
      <c r="M49" s="3">
        <f t="shared" si="19"/>
        <v>0</v>
      </c>
      <c r="N49" s="3">
        <f t="shared" si="20"/>
        <v>0</v>
      </c>
      <c r="O49" s="3">
        <f t="shared" si="21"/>
        <v>0</v>
      </c>
      <c r="P49" s="18">
        <f t="shared" si="22"/>
        <v>0</v>
      </c>
      <c r="Q49" s="3" t="s">
        <v>491</v>
      </c>
      <c r="R49" s="3">
        <f t="shared" si="23"/>
        <v>0</v>
      </c>
      <c r="S49" s="3">
        <v>0</v>
      </c>
      <c r="T49" t="s">
        <v>481</v>
      </c>
    </row>
    <row r="50" spans="1:20" ht="15" customHeight="1" x14ac:dyDescent="0.25">
      <c r="A50" t="s">
        <v>152</v>
      </c>
      <c r="B50" t="s">
        <v>154</v>
      </c>
      <c r="C50" t="s">
        <v>146</v>
      </c>
      <c r="D50" s="2">
        <v>33.85</v>
      </c>
      <c r="E50" s="3">
        <v>0</v>
      </c>
      <c r="F50" s="3">
        <f t="shared" si="12"/>
        <v>0</v>
      </c>
      <c r="G50" s="3">
        <f t="shared" si="13"/>
        <v>0</v>
      </c>
      <c r="H50" s="3">
        <f t="shared" si="14"/>
        <v>0</v>
      </c>
      <c r="I50" s="3">
        <f t="shared" si="15"/>
        <v>0</v>
      </c>
      <c r="J50" s="3">
        <f t="shared" si="16"/>
        <v>0</v>
      </c>
      <c r="K50" s="3">
        <f t="shared" si="17"/>
        <v>0</v>
      </c>
      <c r="L50" s="3">
        <f t="shared" si="18"/>
        <v>0</v>
      </c>
      <c r="M50" s="3">
        <f t="shared" si="19"/>
        <v>0</v>
      </c>
      <c r="N50" s="3">
        <f t="shared" si="20"/>
        <v>0</v>
      </c>
      <c r="O50" s="3">
        <f t="shared" si="21"/>
        <v>0</v>
      </c>
      <c r="P50" s="18">
        <f t="shared" si="22"/>
        <v>0</v>
      </c>
      <c r="Q50" s="3" t="s">
        <v>491</v>
      </c>
      <c r="R50" s="3">
        <f t="shared" si="23"/>
        <v>0</v>
      </c>
      <c r="S50" s="3">
        <v>0</v>
      </c>
      <c r="T50" t="s">
        <v>481</v>
      </c>
    </row>
    <row r="51" spans="1:20" ht="15" customHeight="1" x14ac:dyDescent="0.25">
      <c r="A51" t="s">
        <v>152</v>
      </c>
      <c r="B51" t="s">
        <v>155</v>
      </c>
      <c r="C51" t="s">
        <v>112</v>
      </c>
      <c r="D51" s="2">
        <v>2031</v>
      </c>
      <c r="E51" s="3">
        <v>0</v>
      </c>
      <c r="F51" s="3">
        <f t="shared" si="12"/>
        <v>0</v>
      </c>
      <c r="G51" s="3">
        <f t="shared" si="13"/>
        <v>0</v>
      </c>
      <c r="H51" s="3">
        <f t="shared" si="14"/>
        <v>0</v>
      </c>
      <c r="I51" s="3">
        <f t="shared" si="15"/>
        <v>0</v>
      </c>
      <c r="J51" s="3">
        <f t="shared" si="16"/>
        <v>0</v>
      </c>
      <c r="K51" s="3">
        <f t="shared" si="17"/>
        <v>0</v>
      </c>
      <c r="L51" s="3">
        <f t="shared" si="18"/>
        <v>0</v>
      </c>
      <c r="M51" s="3">
        <f t="shared" si="19"/>
        <v>0</v>
      </c>
      <c r="N51" s="3">
        <f t="shared" si="20"/>
        <v>0</v>
      </c>
      <c r="O51" s="3">
        <f t="shared" si="21"/>
        <v>0</v>
      </c>
      <c r="P51" s="18">
        <f t="shared" si="22"/>
        <v>0</v>
      </c>
      <c r="Q51" s="3" t="s">
        <v>491</v>
      </c>
      <c r="R51" s="3">
        <f t="shared" si="23"/>
        <v>0</v>
      </c>
      <c r="S51" s="3">
        <v>0</v>
      </c>
      <c r="T51" t="s">
        <v>481</v>
      </c>
    </row>
    <row r="52" spans="1:20" ht="15" customHeight="1" x14ac:dyDescent="0.25">
      <c r="A52" t="s">
        <v>152</v>
      </c>
      <c r="B52" t="s">
        <v>156</v>
      </c>
      <c r="C52" t="s">
        <v>112</v>
      </c>
      <c r="D52" s="2">
        <v>7711.03</v>
      </c>
      <c r="E52" s="3">
        <v>0</v>
      </c>
      <c r="F52" s="3">
        <f t="shared" si="12"/>
        <v>0</v>
      </c>
      <c r="G52" s="3">
        <f t="shared" si="13"/>
        <v>0</v>
      </c>
      <c r="H52" s="3">
        <f t="shared" si="14"/>
        <v>0</v>
      </c>
      <c r="I52" s="3">
        <f t="shared" si="15"/>
        <v>0</v>
      </c>
      <c r="J52" s="3">
        <f t="shared" si="16"/>
        <v>0</v>
      </c>
      <c r="K52" s="3">
        <f t="shared" si="17"/>
        <v>0</v>
      </c>
      <c r="L52" s="3">
        <f t="shared" si="18"/>
        <v>0</v>
      </c>
      <c r="M52" s="3">
        <f t="shared" si="19"/>
        <v>0</v>
      </c>
      <c r="N52" s="3">
        <f t="shared" si="20"/>
        <v>0</v>
      </c>
      <c r="O52" s="3">
        <f t="shared" si="21"/>
        <v>0</v>
      </c>
      <c r="P52" s="18">
        <f t="shared" si="22"/>
        <v>0</v>
      </c>
      <c r="Q52" s="3" t="s">
        <v>491</v>
      </c>
      <c r="R52" s="3">
        <f t="shared" si="23"/>
        <v>0</v>
      </c>
      <c r="S52" s="3">
        <v>0</v>
      </c>
      <c r="T52" t="s">
        <v>481</v>
      </c>
    </row>
    <row r="53" spans="1:20" ht="15" customHeight="1" x14ac:dyDescent="0.25">
      <c r="A53" t="s">
        <v>152</v>
      </c>
      <c r="B53" t="s">
        <v>157</v>
      </c>
      <c r="C53" t="s">
        <v>112</v>
      </c>
      <c r="D53" s="2">
        <v>1123.82</v>
      </c>
      <c r="E53" s="3">
        <v>0</v>
      </c>
      <c r="F53" s="3">
        <f t="shared" si="12"/>
        <v>0</v>
      </c>
      <c r="G53" s="3">
        <f t="shared" si="13"/>
        <v>0</v>
      </c>
      <c r="H53" s="3">
        <f t="shared" si="14"/>
        <v>0</v>
      </c>
      <c r="I53" s="3">
        <f t="shared" si="15"/>
        <v>0</v>
      </c>
      <c r="J53" s="3">
        <f t="shared" si="16"/>
        <v>0</v>
      </c>
      <c r="K53" s="3">
        <f t="shared" si="17"/>
        <v>0</v>
      </c>
      <c r="L53" s="3">
        <f t="shared" si="18"/>
        <v>0</v>
      </c>
      <c r="M53" s="3">
        <f t="shared" si="19"/>
        <v>0</v>
      </c>
      <c r="N53" s="3">
        <f t="shared" si="20"/>
        <v>0</v>
      </c>
      <c r="O53" s="3">
        <f t="shared" si="21"/>
        <v>0</v>
      </c>
      <c r="P53" s="18">
        <f t="shared" si="22"/>
        <v>0</v>
      </c>
      <c r="Q53" s="3" t="s">
        <v>491</v>
      </c>
      <c r="R53" s="3">
        <f t="shared" si="23"/>
        <v>0</v>
      </c>
      <c r="S53" s="3">
        <v>0</v>
      </c>
      <c r="T53" t="s">
        <v>481</v>
      </c>
    </row>
    <row r="54" spans="1:20" ht="15" customHeight="1" x14ac:dyDescent="0.25">
      <c r="A54" t="s">
        <v>152</v>
      </c>
      <c r="B54" t="s">
        <v>158</v>
      </c>
      <c r="C54" t="s">
        <v>146</v>
      </c>
      <c r="D54" s="2">
        <v>203.1</v>
      </c>
      <c r="E54" s="3">
        <v>0</v>
      </c>
      <c r="F54" s="3">
        <f t="shared" si="12"/>
        <v>0</v>
      </c>
      <c r="G54" s="3">
        <f t="shared" si="13"/>
        <v>0</v>
      </c>
      <c r="H54" s="3">
        <f t="shared" si="14"/>
        <v>0</v>
      </c>
      <c r="I54" s="3">
        <f t="shared" si="15"/>
        <v>0</v>
      </c>
      <c r="J54" s="3">
        <f t="shared" si="16"/>
        <v>0</v>
      </c>
      <c r="K54" s="3">
        <f t="shared" si="17"/>
        <v>0</v>
      </c>
      <c r="L54" s="3">
        <f t="shared" si="18"/>
        <v>0</v>
      </c>
      <c r="M54" s="3">
        <f t="shared" si="19"/>
        <v>0</v>
      </c>
      <c r="N54" s="3">
        <f t="shared" si="20"/>
        <v>0</v>
      </c>
      <c r="O54" s="3">
        <f t="shared" si="21"/>
        <v>0</v>
      </c>
      <c r="P54" s="18">
        <f t="shared" si="22"/>
        <v>0</v>
      </c>
      <c r="Q54" s="3" t="s">
        <v>491</v>
      </c>
      <c r="R54" s="3">
        <f t="shared" si="23"/>
        <v>0</v>
      </c>
      <c r="S54" s="3">
        <v>0</v>
      </c>
      <c r="T54" t="s">
        <v>481</v>
      </c>
    </row>
    <row r="55" spans="1:20" ht="15" customHeight="1" x14ac:dyDescent="0.25">
      <c r="A55" t="s">
        <v>152</v>
      </c>
      <c r="B55" t="s">
        <v>159</v>
      </c>
      <c r="C55" t="s">
        <v>112</v>
      </c>
      <c r="D55" s="2">
        <v>2708</v>
      </c>
      <c r="E55" s="3">
        <v>0</v>
      </c>
      <c r="F55" s="3">
        <f t="shared" si="12"/>
        <v>0</v>
      </c>
      <c r="G55" s="3">
        <f t="shared" si="13"/>
        <v>0</v>
      </c>
      <c r="H55" s="3">
        <f t="shared" si="14"/>
        <v>0</v>
      </c>
      <c r="I55" s="3">
        <f t="shared" si="15"/>
        <v>0</v>
      </c>
      <c r="J55" s="3">
        <f t="shared" si="16"/>
        <v>0</v>
      </c>
      <c r="K55" s="3">
        <f t="shared" si="17"/>
        <v>0</v>
      </c>
      <c r="L55" s="3">
        <f t="shared" si="18"/>
        <v>0</v>
      </c>
      <c r="M55" s="3">
        <f t="shared" si="19"/>
        <v>0</v>
      </c>
      <c r="N55" s="3">
        <f t="shared" si="20"/>
        <v>0</v>
      </c>
      <c r="O55" s="3">
        <f t="shared" si="21"/>
        <v>0</v>
      </c>
      <c r="P55" s="18">
        <f t="shared" si="22"/>
        <v>0</v>
      </c>
      <c r="Q55" s="3" t="s">
        <v>491</v>
      </c>
      <c r="R55" s="3">
        <f t="shared" si="23"/>
        <v>0</v>
      </c>
      <c r="S55" s="3">
        <v>0</v>
      </c>
      <c r="T55" t="s">
        <v>481</v>
      </c>
    </row>
    <row r="56" spans="1:20" ht="15" customHeight="1" x14ac:dyDescent="0.25">
      <c r="A56" t="s">
        <v>152</v>
      </c>
      <c r="B56" t="s">
        <v>161</v>
      </c>
      <c r="C56" t="s">
        <v>132</v>
      </c>
      <c r="D56" s="2">
        <v>28</v>
      </c>
      <c r="E56" s="3">
        <v>0</v>
      </c>
      <c r="F56" s="3">
        <f t="shared" si="12"/>
        <v>0</v>
      </c>
      <c r="G56" s="3">
        <f t="shared" si="13"/>
        <v>0</v>
      </c>
      <c r="H56" s="3">
        <f t="shared" si="14"/>
        <v>0</v>
      </c>
      <c r="I56" s="3">
        <f t="shared" si="15"/>
        <v>0</v>
      </c>
      <c r="J56" s="3">
        <f t="shared" si="16"/>
        <v>0</v>
      </c>
      <c r="K56" s="3">
        <f t="shared" si="17"/>
        <v>0</v>
      </c>
      <c r="L56" s="3">
        <f t="shared" si="18"/>
        <v>0</v>
      </c>
      <c r="M56" s="3">
        <f t="shared" si="19"/>
        <v>0</v>
      </c>
      <c r="N56" s="3">
        <f t="shared" si="20"/>
        <v>0</v>
      </c>
      <c r="O56" s="3">
        <f t="shared" si="21"/>
        <v>0</v>
      </c>
      <c r="P56" s="18">
        <f t="shared" si="22"/>
        <v>0</v>
      </c>
      <c r="Q56" s="3" t="s">
        <v>491</v>
      </c>
      <c r="R56" s="3">
        <f t="shared" si="23"/>
        <v>0</v>
      </c>
      <c r="S56" s="3">
        <v>0</v>
      </c>
      <c r="T56" t="s">
        <v>481</v>
      </c>
    </row>
    <row r="57" spans="1:20" ht="15" customHeight="1" x14ac:dyDescent="0.25">
      <c r="A57" t="s">
        <v>152</v>
      </c>
      <c r="B57" t="s">
        <v>163</v>
      </c>
      <c r="C57" t="s">
        <v>132</v>
      </c>
      <c r="D57" s="2">
        <v>1.2</v>
      </c>
      <c r="E57" s="3">
        <v>0</v>
      </c>
      <c r="F57" s="3">
        <f t="shared" si="12"/>
        <v>0</v>
      </c>
      <c r="G57" s="3">
        <f t="shared" si="13"/>
        <v>0</v>
      </c>
      <c r="H57" s="3">
        <f t="shared" si="14"/>
        <v>0</v>
      </c>
      <c r="I57" s="3">
        <f t="shared" si="15"/>
        <v>0</v>
      </c>
      <c r="J57" s="3">
        <f t="shared" si="16"/>
        <v>0</v>
      </c>
      <c r="K57" s="3">
        <f t="shared" si="17"/>
        <v>0</v>
      </c>
      <c r="L57" s="3">
        <f t="shared" si="18"/>
        <v>0</v>
      </c>
      <c r="M57" s="3">
        <f t="shared" si="19"/>
        <v>0</v>
      </c>
      <c r="N57" s="3">
        <f t="shared" si="20"/>
        <v>0</v>
      </c>
      <c r="O57" s="3">
        <f t="shared" si="21"/>
        <v>0</v>
      </c>
      <c r="P57" s="18">
        <f t="shared" si="22"/>
        <v>0</v>
      </c>
      <c r="Q57" s="3" t="s">
        <v>491</v>
      </c>
      <c r="R57" s="3">
        <f t="shared" si="23"/>
        <v>0</v>
      </c>
      <c r="S57" s="3">
        <v>0</v>
      </c>
      <c r="T57" t="s">
        <v>481</v>
      </c>
    </row>
    <row r="58" spans="1:20" ht="15" customHeight="1" x14ac:dyDescent="0.25">
      <c r="A58" t="s">
        <v>152</v>
      </c>
      <c r="B58" t="s">
        <v>133</v>
      </c>
      <c r="C58" t="s">
        <v>146</v>
      </c>
      <c r="D58" s="2">
        <v>0.44800000000000001</v>
      </c>
      <c r="E58" s="3">
        <v>0</v>
      </c>
      <c r="F58" s="3">
        <f t="shared" si="12"/>
        <v>0</v>
      </c>
      <c r="G58" s="3">
        <f t="shared" si="13"/>
        <v>0</v>
      </c>
      <c r="H58" s="3">
        <f t="shared" si="14"/>
        <v>0</v>
      </c>
      <c r="I58" s="3">
        <f t="shared" si="15"/>
        <v>0</v>
      </c>
      <c r="J58" s="3">
        <f t="shared" si="16"/>
        <v>0</v>
      </c>
      <c r="K58" s="3">
        <f t="shared" si="17"/>
        <v>0</v>
      </c>
      <c r="L58" s="3">
        <f t="shared" si="18"/>
        <v>0</v>
      </c>
      <c r="M58" s="3">
        <f t="shared" si="19"/>
        <v>0</v>
      </c>
      <c r="N58" s="3">
        <f t="shared" si="20"/>
        <v>0</v>
      </c>
      <c r="O58" s="3">
        <f t="shared" si="21"/>
        <v>0</v>
      </c>
      <c r="P58" s="18">
        <f t="shared" si="22"/>
        <v>0</v>
      </c>
      <c r="Q58" s="3" t="s">
        <v>491</v>
      </c>
      <c r="R58" s="3">
        <f t="shared" si="23"/>
        <v>0</v>
      </c>
      <c r="S58" s="3">
        <v>0</v>
      </c>
      <c r="T58" t="s">
        <v>481</v>
      </c>
    </row>
    <row r="59" spans="1:20" ht="15" customHeight="1" x14ac:dyDescent="0.25">
      <c r="A59" t="s">
        <v>165</v>
      </c>
      <c r="B59" t="s">
        <v>264</v>
      </c>
      <c r="C59" t="s">
        <v>123</v>
      </c>
      <c r="D59" s="2">
        <v>165.2</v>
      </c>
      <c r="E59" s="3">
        <v>352.75080000000003</v>
      </c>
      <c r="F59" s="3">
        <f t="shared" si="12"/>
        <v>58274.432160000004</v>
      </c>
      <c r="G59" s="3">
        <f t="shared" si="13"/>
        <v>47765.928000000007</v>
      </c>
      <c r="H59" s="3">
        <f t="shared" si="14"/>
        <v>10508.504159999997</v>
      </c>
      <c r="I59" s="3">
        <f t="shared" si="15"/>
        <v>6209.5706400000054</v>
      </c>
      <c r="J59" s="3">
        <f t="shared" si="16"/>
        <v>16718.074800000002</v>
      </c>
      <c r="K59" s="3">
        <f t="shared" si="17"/>
        <v>10508.504160000002</v>
      </c>
      <c r="L59" s="3">
        <f t="shared" si="18"/>
        <v>3821.2742400000006</v>
      </c>
      <c r="M59" s="3">
        <f t="shared" si="19"/>
        <v>5731.911360000001</v>
      </c>
      <c r="N59" s="3">
        <f t="shared" si="20"/>
        <v>4776.5928000000013</v>
      </c>
      <c r="O59" s="3">
        <f t="shared" si="21"/>
        <v>0</v>
      </c>
      <c r="P59" s="18">
        <f t="shared" si="22"/>
        <v>3.0636388019660847E-3</v>
      </c>
      <c r="Q59" s="3" t="s">
        <v>491</v>
      </c>
      <c r="R59" s="3">
        <f t="shared" si="23"/>
        <v>58274.432160000004</v>
      </c>
      <c r="S59" s="3">
        <v>0</v>
      </c>
      <c r="T59" t="s">
        <v>481</v>
      </c>
    </row>
    <row r="60" spans="1:20" ht="15" customHeight="1" x14ac:dyDescent="0.25">
      <c r="A60" t="s">
        <v>165</v>
      </c>
      <c r="B60" t="s">
        <v>166</v>
      </c>
      <c r="C60" t="s">
        <v>145</v>
      </c>
      <c r="D60" s="2">
        <v>49.56</v>
      </c>
      <c r="E60" s="3">
        <v>0</v>
      </c>
      <c r="F60" s="3">
        <f t="shared" si="12"/>
        <v>0</v>
      </c>
      <c r="G60" s="3">
        <f t="shared" si="13"/>
        <v>0</v>
      </c>
      <c r="H60" s="3">
        <f t="shared" si="14"/>
        <v>0</v>
      </c>
      <c r="I60" s="3">
        <f t="shared" si="15"/>
        <v>0</v>
      </c>
      <c r="J60" s="3">
        <f t="shared" si="16"/>
        <v>0</v>
      </c>
      <c r="K60" s="3">
        <f t="shared" si="17"/>
        <v>0</v>
      </c>
      <c r="L60" s="3">
        <f t="shared" si="18"/>
        <v>0</v>
      </c>
      <c r="M60" s="3">
        <f t="shared" si="19"/>
        <v>0</v>
      </c>
      <c r="N60" s="3">
        <f t="shared" si="20"/>
        <v>0</v>
      </c>
      <c r="O60" s="3">
        <f t="shared" si="21"/>
        <v>0</v>
      </c>
      <c r="P60" s="18">
        <f t="shared" si="22"/>
        <v>0</v>
      </c>
      <c r="Q60" s="3" t="s">
        <v>491</v>
      </c>
      <c r="R60" s="3">
        <f t="shared" si="23"/>
        <v>0</v>
      </c>
      <c r="S60" s="3">
        <v>0</v>
      </c>
      <c r="T60" t="s">
        <v>481</v>
      </c>
    </row>
    <row r="61" spans="1:20" ht="15" customHeight="1" x14ac:dyDescent="0.25">
      <c r="A61" t="s">
        <v>165</v>
      </c>
      <c r="B61" t="s">
        <v>168</v>
      </c>
      <c r="C61" t="s">
        <v>123</v>
      </c>
      <c r="D61" s="2">
        <v>80</v>
      </c>
      <c r="E61" s="3">
        <v>0</v>
      </c>
      <c r="F61" s="3">
        <f t="shared" si="12"/>
        <v>0</v>
      </c>
      <c r="G61" s="3">
        <f t="shared" si="13"/>
        <v>0</v>
      </c>
      <c r="H61" s="3">
        <f t="shared" si="14"/>
        <v>0</v>
      </c>
      <c r="I61" s="3">
        <f t="shared" si="15"/>
        <v>0</v>
      </c>
      <c r="J61" s="3">
        <f t="shared" si="16"/>
        <v>0</v>
      </c>
      <c r="K61" s="3">
        <f t="shared" si="17"/>
        <v>0</v>
      </c>
      <c r="L61" s="3">
        <f t="shared" si="18"/>
        <v>0</v>
      </c>
      <c r="M61" s="3">
        <f t="shared" si="19"/>
        <v>0</v>
      </c>
      <c r="N61" s="3">
        <f t="shared" si="20"/>
        <v>0</v>
      </c>
      <c r="O61" s="3">
        <f t="shared" si="21"/>
        <v>0</v>
      </c>
      <c r="P61" s="18">
        <f t="shared" si="22"/>
        <v>0</v>
      </c>
      <c r="Q61" s="3" t="s">
        <v>491</v>
      </c>
      <c r="R61" s="3">
        <f t="shared" si="23"/>
        <v>0</v>
      </c>
      <c r="S61" s="3">
        <v>0</v>
      </c>
      <c r="T61" t="s">
        <v>481</v>
      </c>
    </row>
    <row r="62" spans="1:20" ht="15" customHeight="1" x14ac:dyDescent="0.25">
      <c r="A62" t="s">
        <v>165</v>
      </c>
      <c r="B62" t="s">
        <v>161</v>
      </c>
      <c r="C62" t="s">
        <v>132</v>
      </c>
      <c r="D62" s="2">
        <v>28</v>
      </c>
      <c r="E62" s="3">
        <v>0</v>
      </c>
      <c r="F62" s="3">
        <f t="shared" si="12"/>
        <v>0</v>
      </c>
      <c r="G62" s="3">
        <f t="shared" si="13"/>
        <v>0</v>
      </c>
      <c r="H62" s="3">
        <f t="shared" si="14"/>
        <v>0</v>
      </c>
      <c r="I62" s="3">
        <f t="shared" si="15"/>
        <v>0</v>
      </c>
      <c r="J62" s="3">
        <f t="shared" si="16"/>
        <v>0</v>
      </c>
      <c r="K62" s="3">
        <f t="shared" si="17"/>
        <v>0</v>
      </c>
      <c r="L62" s="3">
        <f t="shared" si="18"/>
        <v>0</v>
      </c>
      <c r="M62" s="3">
        <f t="shared" si="19"/>
        <v>0</v>
      </c>
      <c r="N62" s="3">
        <f t="shared" si="20"/>
        <v>0</v>
      </c>
      <c r="O62" s="3">
        <f t="shared" si="21"/>
        <v>0</v>
      </c>
      <c r="P62" s="18">
        <f t="shared" si="22"/>
        <v>0</v>
      </c>
      <c r="Q62" s="3" t="s">
        <v>491</v>
      </c>
      <c r="R62" s="3">
        <f t="shared" si="23"/>
        <v>0</v>
      </c>
      <c r="S62" s="3">
        <v>0</v>
      </c>
      <c r="T62" t="s">
        <v>481</v>
      </c>
    </row>
    <row r="63" spans="1:20" ht="15" customHeight="1" x14ac:dyDescent="0.25">
      <c r="A63" t="s">
        <v>165</v>
      </c>
      <c r="B63" t="s">
        <v>163</v>
      </c>
      <c r="C63" t="s">
        <v>132</v>
      </c>
      <c r="D63" s="2">
        <v>1.2</v>
      </c>
      <c r="E63" s="3">
        <v>0</v>
      </c>
      <c r="F63" s="3">
        <f t="shared" si="12"/>
        <v>0</v>
      </c>
      <c r="G63" s="3">
        <f t="shared" si="13"/>
        <v>0</v>
      </c>
      <c r="H63" s="3">
        <f t="shared" si="14"/>
        <v>0</v>
      </c>
      <c r="I63" s="3">
        <f t="shared" si="15"/>
        <v>0</v>
      </c>
      <c r="J63" s="3">
        <f t="shared" si="16"/>
        <v>0</v>
      </c>
      <c r="K63" s="3">
        <f t="shared" si="17"/>
        <v>0</v>
      </c>
      <c r="L63" s="3">
        <f t="shared" si="18"/>
        <v>0</v>
      </c>
      <c r="M63" s="3">
        <f t="shared" si="19"/>
        <v>0</v>
      </c>
      <c r="N63" s="3">
        <f t="shared" si="20"/>
        <v>0</v>
      </c>
      <c r="O63" s="3">
        <f t="shared" si="21"/>
        <v>0</v>
      </c>
      <c r="P63" s="18">
        <f t="shared" si="22"/>
        <v>0</v>
      </c>
      <c r="Q63" s="3" t="s">
        <v>491</v>
      </c>
      <c r="R63" s="3">
        <f t="shared" si="23"/>
        <v>0</v>
      </c>
      <c r="S63" s="3">
        <v>0</v>
      </c>
      <c r="T63" t="s">
        <v>481</v>
      </c>
    </row>
    <row r="64" spans="1:20" ht="15" customHeight="1" x14ac:dyDescent="0.25">
      <c r="A64" t="s">
        <v>165</v>
      </c>
      <c r="B64" t="s">
        <v>133</v>
      </c>
      <c r="C64" t="s">
        <v>146</v>
      </c>
      <c r="D64" s="2">
        <v>0.44800000000000001</v>
      </c>
      <c r="E64" s="3">
        <v>0</v>
      </c>
      <c r="F64" s="3">
        <f t="shared" si="12"/>
        <v>0</v>
      </c>
      <c r="G64" s="3">
        <f t="shared" si="13"/>
        <v>0</v>
      </c>
      <c r="H64" s="3">
        <f t="shared" si="14"/>
        <v>0</v>
      </c>
      <c r="I64" s="3">
        <f t="shared" si="15"/>
        <v>0</v>
      </c>
      <c r="J64" s="3">
        <f t="shared" si="16"/>
        <v>0</v>
      </c>
      <c r="K64" s="3">
        <f t="shared" si="17"/>
        <v>0</v>
      </c>
      <c r="L64" s="3">
        <f t="shared" si="18"/>
        <v>0</v>
      </c>
      <c r="M64" s="3">
        <f t="shared" si="19"/>
        <v>0</v>
      </c>
      <c r="N64" s="3">
        <f t="shared" si="20"/>
        <v>0</v>
      </c>
      <c r="O64" s="3">
        <f t="shared" si="21"/>
        <v>0</v>
      </c>
      <c r="P64" s="18">
        <f t="shared" si="22"/>
        <v>0</v>
      </c>
      <c r="Q64" s="3" t="s">
        <v>491</v>
      </c>
      <c r="R64" s="3">
        <f t="shared" si="23"/>
        <v>0</v>
      </c>
      <c r="S64" s="3">
        <v>0</v>
      </c>
      <c r="T64" t="s">
        <v>481</v>
      </c>
    </row>
    <row r="65" spans="1:20" ht="15" customHeight="1" x14ac:dyDescent="0.25">
      <c r="A65" s="13" t="s">
        <v>54</v>
      </c>
      <c r="B65" s="13"/>
      <c r="C65" s="13"/>
      <c r="D65" s="14">
        <f>SUM(D9:D64)</f>
        <v>56582.485159999975</v>
      </c>
      <c r="E65" s="13"/>
      <c r="F65" s="10">
        <f t="shared" ref="F65:O65" si="24">SUM(F9:F64)</f>
        <v>19021312.865799483</v>
      </c>
      <c r="G65" s="10">
        <f t="shared" si="24"/>
        <v>15591240.053933997</v>
      </c>
      <c r="H65" s="10">
        <f t="shared" si="24"/>
        <v>3430072.8118654797</v>
      </c>
      <c r="I65" s="10">
        <f t="shared" si="24"/>
        <v>2026861.20701142</v>
      </c>
      <c r="J65" s="10">
        <f t="shared" si="24"/>
        <v>5456934.018876899</v>
      </c>
      <c r="K65" s="10">
        <f t="shared" si="24"/>
        <v>3430072.8118654797</v>
      </c>
      <c r="L65" s="10">
        <f t="shared" si="24"/>
        <v>1247299.2043147199</v>
      </c>
      <c r="M65" s="10">
        <f t="shared" si="24"/>
        <v>1870948.8064720796</v>
      </c>
      <c r="N65" s="10">
        <f t="shared" si="24"/>
        <v>1559124.0053933999</v>
      </c>
      <c r="O65" s="10">
        <f t="shared" si="24"/>
        <v>0</v>
      </c>
      <c r="P65" s="19">
        <f>1</f>
        <v>1</v>
      </c>
      <c r="Q65" s="10">
        <f>SUM(Q9:Q64)</f>
        <v>0</v>
      </c>
      <c r="R65" s="10">
        <f>SUM(R9:R64)</f>
        <v>19021312.865799483</v>
      </c>
      <c r="S65" s="10">
        <f>SUM(S9:S64)</f>
        <v>0</v>
      </c>
      <c r="T65" s="13" t="s">
        <v>54</v>
      </c>
    </row>
    <row r="67" spans="1:20" ht="15" customHeight="1" x14ac:dyDescent="0.25">
      <c r="A67" s="1" t="s">
        <v>488</v>
      </c>
      <c r="B67" s="3">
        <f>R65</f>
        <v>19021312.865799483</v>
      </c>
    </row>
    <row r="68" spans="1:20" ht="15" customHeight="1" x14ac:dyDescent="0.25">
      <c r="A68" s="1" t="s">
        <v>61</v>
      </c>
      <c r="B68" s="3">
        <f>S65</f>
        <v>0</v>
      </c>
    </row>
    <row r="69" spans="1:20" ht="15" customHeight="1" x14ac:dyDescent="0.25">
      <c r="A69" s="1" t="s">
        <v>489</v>
      </c>
      <c r="B69" s="3">
        <f>B67+B68</f>
        <v>19021312.865799483</v>
      </c>
    </row>
  </sheetData>
  <mergeCells count="1">
    <mergeCell ref="A1:Q1"/>
  </mergeCells>
  <pageMargins left="0.75" right="0.75" top="1" bottom="1" header="0.511811023622047" footer="0.511811023622047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T52"/>
  <sheetViews>
    <sheetView showGridLines="0" zoomScaleNormal="100" workbookViewId="0">
      <pane ySplit="7" topLeftCell="A8" activePane="bottomLeft" state="frozen"/>
      <selection pane="bottomLeft"/>
    </sheetView>
  </sheetViews>
  <sheetFormatPr defaultColWidth="8.7109375" defaultRowHeight="15" x14ac:dyDescent="0.25"/>
  <cols>
    <col min="1" max="1" width="24" customWidth="1"/>
    <col min="2" max="2" width="68" customWidth="1"/>
    <col min="3" max="3" width="10" customWidth="1"/>
    <col min="4" max="4" width="14" customWidth="1"/>
    <col min="5" max="5" width="18" customWidth="1"/>
    <col min="6" max="7" width="20" customWidth="1"/>
    <col min="8" max="14" width="18" customWidth="1"/>
    <col min="15" max="15" width="22" customWidth="1"/>
    <col min="16" max="16" width="14" customWidth="1"/>
    <col min="17" max="17" width="36" customWidth="1"/>
    <col min="18" max="19" width="24" customWidth="1"/>
    <col min="20" max="20" width="28" customWidth="1"/>
  </cols>
  <sheetData>
    <row r="1" spans="1:20" ht="17.25" customHeight="1" x14ac:dyDescent="0.25">
      <c r="A1" s="31" t="s">
        <v>492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20" ht="15" customHeight="1" x14ac:dyDescent="0.25">
      <c r="A2" s="1" t="s">
        <v>47</v>
      </c>
      <c r="B2" t="s">
        <v>50</v>
      </c>
    </row>
    <row r="3" spans="1:20" ht="15" customHeight="1" x14ac:dyDescent="0.25">
      <c r="A3" s="1" t="s">
        <v>55</v>
      </c>
      <c r="B3" t="s">
        <v>68</v>
      </c>
    </row>
    <row r="4" spans="1:20" ht="15" customHeight="1" x14ac:dyDescent="0.25">
      <c r="A4" s="1" t="s">
        <v>57</v>
      </c>
      <c r="B4" s="2">
        <v>374</v>
      </c>
    </row>
    <row r="5" spans="1:20" ht="15" customHeight="1" x14ac:dyDescent="0.25">
      <c r="A5" s="1" t="s">
        <v>467</v>
      </c>
      <c r="B5" s="3">
        <v>8773869.7930373996</v>
      </c>
    </row>
    <row r="6" spans="1:20" ht="15" customHeight="1" x14ac:dyDescent="0.25">
      <c r="A6" s="1" t="s">
        <v>468</v>
      </c>
      <c r="B6" t="s">
        <v>469</v>
      </c>
    </row>
    <row r="8" spans="1:20" ht="41.25" customHeight="1" x14ac:dyDescent="0.25">
      <c r="A8" s="12" t="s">
        <v>470</v>
      </c>
      <c r="B8" s="12" t="s">
        <v>180</v>
      </c>
      <c r="C8" s="12" t="s">
        <v>139</v>
      </c>
      <c r="D8" s="12" t="s">
        <v>140</v>
      </c>
      <c r="E8" s="12" t="s">
        <v>471</v>
      </c>
      <c r="F8" s="12" t="s">
        <v>472</v>
      </c>
      <c r="G8" s="12" t="s">
        <v>473</v>
      </c>
      <c r="H8" s="12" t="s">
        <v>181</v>
      </c>
      <c r="I8" s="12" t="s">
        <v>452</v>
      </c>
      <c r="J8" s="12" t="s">
        <v>454</v>
      </c>
      <c r="K8" s="12" t="s">
        <v>456</v>
      </c>
      <c r="L8" s="12" t="s">
        <v>457</v>
      </c>
      <c r="M8" s="12" t="s">
        <v>458</v>
      </c>
      <c r="N8" s="12" t="s">
        <v>459</v>
      </c>
      <c r="O8" s="12" t="s">
        <v>474</v>
      </c>
      <c r="P8" s="12" t="s">
        <v>475</v>
      </c>
      <c r="Q8" s="12" t="s">
        <v>476</v>
      </c>
      <c r="R8" s="12" t="s">
        <v>477</v>
      </c>
      <c r="S8" s="12" t="s">
        <v>61</v>
      </c>
      <c r="T8" s="12" t="s">
        <v>478</v>
      </c>
    </row>
    <row r="9" spans="1:20" ht="15" customHeight="1" x14ac:dyDescent="0.25">
      <c r="A9" t="s">
        <v>479</v>
      </c>
      <c r="B9" t="s">
        <v>482</v>
      </c>
      <c r="C9" t="s">
        <v>107</v>
      </c>
      <c r="D9" s="2">
        <v>112.2</v>
      </c>
      <c r="E9" s="3">
        <v>8492.2369999999992</v>
      </c>
      <c r="F9" s="3">
        <f t="shared" ref="F9:F47" si="0">D9*E9</f>
        <v>952828.99139999994</v>
      </c>
      <c r="G9" s="3">
        <f t="shared" ref="G9:G47" si="1">F9/1.22</f>
        <v>781007.37</v>
      </c>
      <c r="H9" s="3">
        <f t="shared" ref="H9:H47" si="2">F9-G9</f>
        <v>171821.62139999995</v>
      </c>
      <c r="I9" s="3">
        <f t="shared" ref="I9:I47" si="3">G9-SUM(J9:N9)</f>
        <v>101530.95810000005</v>
      </c>
      <c r="J9" s="3">
        <f t="shared" ref="J9:J47" si="4">G9*0.35</f>
        <v>273352.57949999999</v>
      </c>
      <c r="K9" s="3">
        <f t="shared" ref="K9:K47" si="5">G9*0.22</f>
        <v>171821.6214</v>
      </c>
      <c r="L9" s="3">
        <f t="shared" ref="L9:L47" si="6">G9*0.08</f>
        <v>62480.589599999999</v>
      </c>
      <c r="M9" s="3">
        <f t="shared" ref="M9:M47" si="7">G9*0.12</f>
        <v>93720.884399999995</v>
      </c>
      <c r="N9" s="3">
        <f t="shared" ref="N9:N47" si="8">G9*0.1</f>
        <v>78100.737000000008</v>
      </c>
      <c r="O9" s="3">
        <f t="shared" ref="O9:O47" si="9">G9-SUM(I9:N9)</f>
        <v>0</v>
      </c>
      <c r="P9" s="18">
        <f t="shared" ref="P9:P47" si="10">IF($F$48=0,0,F9/$F$48)</f>
        <v>0.10859848776831947</v>
      </c>
      <c r="Q9" s="3" t="s">
        <v>493</v>
      </c>
      <c r="R9" s="3">
        <f t="shared" ref="R9:R47" si="11">F9</f>
        <v>952828.99139999994</v>
      </c>
      <c r="S9" s="3">
        <v>0</v>
      </c>
      <c r="T9" t="s">
        <v>481</v>
      </c>
    </row>
    <row r="10" spans="1:20" ht="15" customHeight="1" x14ac:dyDescent="0.25">
      <c r="A10" t="s">
        <v>479</v>
      </c>
      <c r="B10" t="s">
        <v>483</v>
      </c>
      <c r="C10" t="s">
        <v>112</v>
      </c>
      <c r="D10" s="2">
        <v>11953.964</v>
      </c>
      <c r="E10" s="3">
        <v>0</v>
      </c>
      <c r="F10" s="3">
        <f t="shared" si="0"/>
        <v>0</v>
      </c>
      <c r="G10" s="3">
        <f t="shared" si="1"/>
        <v>0</v>
      </c>
      <c r="H10" s="3">
        <f t="shared" si="2"/>
        <v>0</v>
      </c>
      <c r="I10" s="3">
        <f t="shared" si="3"/>
        <v>0</v>
      </c>
      <c r="J10" s="3">
        <f t="shared" si="4"/>
        <v>0</v>
      </c>
      <c r="K10" s="3">
        <f t="shared" si="5"/>
        <v>0</v>
      </c>
      <c r="L10" s="3">
        <f t="shared" si="6"/>
        <v>0</v>
      </c>
      <c r="M10" s="3">
        <f t="shared" si="7"/>
        <v>0</v>
      </c>
      <c r="N10" s="3">
        <f t="shared" si="8"/>
        <v>0</v>
      </c>
      <c r="O10" s="3">
        <f t="shared" si="9"/>
        <v>0</v>
      </c>
      <c r="P10" s="18">
        <f t="shared" si="10"/>
        <v>0</v>
      </c>
      <c r="Q10" s="3" t="s">
        <v>493</v>
      </c>
      <c r="R10" s="3">
        <f t="shared" si="11"/>
        <v>0</v>
      </c>
      <c r="S10" s="3">
        <v>0</v>
      </c>
      <c r="T10" t="s">
        <v>481</v>
      </c>
    </row>
    <row r="11" spans="1:20" ht="15" customHeight="1" x14ac:dyDescent="0.25">
      <c r="A11" t="s">
        <v>479</v>
      </c>
      <c r="B11" t="s">
        <v>484</v>
      </c>
      <c r="C11" t="s">
        <v>107</v>
      </c>
      <c r="D11" s="2">
        <v>56.1</v>
      </c>
      <c r="E11" s="3">
        <v>1853.3630000000001</v>
      </c>
      <c r="F11" s="3">
        <f t="shared" si="0"/>
        <v>103973.6643</v>
      </c>
      <c r="G11" s="3">
        <f t="shared" si="1"/>
        <v>85224.315000000002</v>
      </c>
      <c r="H11" s="3">
        <f t="shared" si="2"/>
        <v>18749.349300000002</v>
      </c>
      <c r="I11" s="3">
        <f t="shared" si="3"/>
        <v>11079.16094999999</v>
      </c>
      <c r="J11" s="3">
        <f t="shared" si="4"/>
        <v>29828.510249999999</v>
      </c>
      <c r="K11" s="3">
        <f t="shared" si="5"/>
        <v>18749.349300000002</v>
      </c>
      <c r="L11" s="3">
        <f t="shared" si="6"/>
        <v>6817.9452000000001</v>
      </c>
      <c r="M11" s="3">
        <f t="shared" si="7"/>
        <v>10226.917799999999</v>
      </c>
      <c r="N11" s="3">
        <f t="shared" si="8"/>
        <v>8522.4315000000006</v>
      </c>
      <c r="O11" s="3">
        <f t="shared" si="9"/>
        <v>0</v>
      </c>
      <c r="P11" s="18">
        <f t="shared" si="10"/>
        <v>1.1850376943422322E-2</v>
      </c>
      <c r="Q11" s="3" t="s">
        <v>493</v>
      </c>
      <c r="R11" s="3">
        <f t="shared" si="11"/>
        <v>103973.6643</v>
      </c>
      <c r="S11" s="3">
        <v>0</v>
      </c>
      <c r="T11" t="s">
        <v>481</v>
      </c>
    </row>
    <row r="12" spans="1:20" ht="15" customHeight="1" x14ac:dyDescent="0.25">
      <c r="A12" t="s">
        <v>479</v>
      </c>
      <c r="B12" t="s">
        <v>485</v>
      </c>
      <c r="C12" t="s">
        <v>107</v>
      </c>
      <c r="D12" s="2">
        <v>168.3</v>
      </c>
      <c r="E12" s="3">
        <v>3497.9474</v>
      </c>
      <c r="F12" s="3">
        <f t="shared" si="0"/>
        <v>588704.54742000008</v>
      </c>
      <c r="G12" s="3">
        <f t="shared" si="1"/>
        <v>482544.71100000007</v>
      </c>
      <c r="H12" s="3">
        <f t="shared" si="2"/>
        <v>106159.83642000001</v>
      </c>
      <c r="I12" s="3">
        <f t="shared" si="3"/>
        <v>62730.812429999991</v>
      </c>
      <c r="J12" s="3">
        <f t="shared" si="4"/>
        <v>168890.64885000003</v>
      </c>
      <c r="K12" s="3">
        <f t="shared" si="5"/>
        <v>106159.83642000002</v>
      </c>
      <c r="L12" s="3">
        <f t="shared" si="6"/>
        <v>38603.576880000008</v>
      </c>
      <c r="M12" s="3">
        <f t="shared" si="7"/>
        <v>57905.365320000004</v>
      </c>
      <c r="N12" s="3">
        <f t="shared" si="8"/>
        <v>48254.47110000001</v>
      </c>
      <c r="O12" s="3">
        <f t="shared" si="9"/>
        <v>0</v>
      </c>
      <c r="P12" s="18">
        <f t="shared" si="10"/>
        <v>6.7097479368473517E-2</v>
      </c>
      <c r="Q12" s="3" t="s">
        <v>493</v>
      </c>
      <c r="R12" s="3">
        <f t="shared" si="11"/>
        <v>588704.54742000008</v>
      </c>
      <c r="S12" s="3">
        <v>0</v>
      </c>
      <c r="T12" t="s">
        <v>481</v>
      </c>
    </row>
    <row r="13" spans="1:20" ht="15" customHeight="1" x14ac:dyDescent="0.25">
      <c r="A13" t="s">
        <v>479</v>
      </c>
      <c r="B13" t="s">
        <v>486</v>
      </c>
      <c r="C13" t="s">
        <v>107</v>
      </c>
      <c r="D13" s="2">
        <v>168.3</v>
      </c>
      <c r="E13" s="3">
        <v>3497.9474</v>
      </c>
      <c r="F13" s="3">
        <f t="shared" si="0"/>
        <v>588704.54742000008</v>
      </c>
      <c r="G13" s="3">
        <f t="shared" si="1"/>
        <v>482544.71100000007</v>
      </c>
      <c r="H13" s="3">
        <f t="shared" si="2"/>
        <v>106159.83642000001</v>
      </c>
      <c r="I13" s="3">
        <f t="shared" si="3"/>
        <v>62730.812429999991</v>
      </c>
      <c r="J13" s="3">
        <f t="shared" si="4"/>
        <v>168890.64885000003</v>
      </c>
      <c r="K13" s="3">
        <f t="shared" si="5"/>
        <v>106159.83642000002</v>
      </c>
      <c r="L13" s="3">
        <f t="shared" si="6"/>
        <v>38603.576880000008</v>
      </c>
      <c r="M13" s="3">
        <f t="shared" si="7"/>
        <v>57905.365320000004</v>
      </c>
      <c r="N13" s="3">
        <f t="shared" si="8"/>
        <v>48254.47110000001</v>
      </c>
      <c r="O13" s="3">
        <f t="shared" si="9"/>
        <v>0</v>
      </c>
      <c r="P13" s="18">
        <f t="shared" si="10"/>
        <v>6.7097479368473517E-2</v>
      </c>
      <c r="Q13" s="3" t="s">
        <v>493</v>
      </c>
      <c r="R13" s="3">
        <f t="shared" si="11"/>
        <v>588704.54742000008</v>
      </c>
      <c r="S13" s="3">
        <v>0</v>
      </c>
      <c r="T13" t="s">
        <v>481</v>
      </c>
    </row>
    <row r="14" spans="1:20" ht="15" customHeight="1" x14ac:dyDescent="0.25">
      <c r="A14" t="s">
        <v>151</v>
      </c>
      <c r="B14" t="s">
        <v>247</v>
      </c>
      <c r="C14" t="s">
        <v>145</v>
      </c>
      <c r="D14" s="2">
        <v>19.8</v>
      </c>
      <c r="E14" s="3">
        <v>598.53200000000004</v>
      </c>
      <c r="F14" s="3">
        <f t="shared" si="0"/>
        <v>11850.9336</v>
      </c>
      <c r="G14" s="3">
        <f t="shared" si="1"/>
        <v>9713.880000000001</v>
      </c>
      <c r="H14" s="3">
        <f t="shared" si="2"/>
        <v>2137.0535999999993</v>
      </c>
      <c r="I14" s="3">
        <f t="shared" si="3"/>
        <v>1262.8043999999991</v>
      </c>
      <c r="J14" s="3">
        <f t="shared" si="4"/>
        <v>3399.8580000000002</v>
      </c>
      <c r="K14" s="3">
        <f t="shared" si="5"/>
        <v>2137.0536000000002</v>
      </c>
      <c r="L14" s="3">
        <f t="shared" si="6"/>
        <v>777.11040000000014</v>
      </c>
      <c r="M14" s="3">
        <f t="shared" si="7"/>
        <v>1165.6656</v>
      </c>
      <c r="N14" s="3">
        <f t="shared" si="8"/>
        <v>971.38800000000015</v>
      </c>
      <c r="O14" s="3">
        <f t="shared" si="9"/>
        <v>0</v>
      </c>
      <c r="P14" s="18">
        <f t="shared" si="10"/>
        <v>1.3507077127363385E-3</v>
      </c>
      <c r="Q14" s="3" t="s">
        <v>493</v>
      </c>
      <c r="R14" s="3">
        <f t="shared" si="11"/>
        <v>11850.9336</v>
      </c>
      <c r="S14" s="3">
        <v>0</v>
      </c>
      <c r="T14" t="s">
        <v>481</v>
      </c>
    </row>
    <row r="15" spans="1:20" ht="15" customHeight="1" x14ac:dyDescent="0.25">
      <c r="A15" t="s">
        <v>151</v>
      </c>
      <c r="B15" t="s">
        <v>248</v>
      </c>
      <c r="C15" t="s">
        <v>146</v>
      </c>
      <c r="D15" s="2">
        <v>0.99</v>
      </c>
      <c r="E15" s="3">
        <v>5261.2744000000002</v>
      </c>
      <c r="F15" s="3">
        <f t="shared" si="0"/>
        <v>5208.6616560000002</v>
      </c>
      <c r="G15" s="3">
        <f t="shared" si="1"/>
        <v>4269.3948</v>
      </c>
      <c r="H15" s="3">
        <f t="shared" si="2"/>
        <v>939.26685600000019</v>
      </c>
      <c r="I15" s="3">
        <f t="shared" si="3"/>
        <v>555.02132400000028</v>
      </c>
      <c r="J15" s="3">
        <f t="shared" si="4"/>
        <v>1494.28818</v>
      </c>
      <c r="K15" s="3">
        <f t="shared" si="5"/>
        <v>939.26685599999996</v>
      </c>
      <c r="L15" s="3">
        <f t="shared" si="6"/>
        <v>341.55158399999999</v>
      </c>
      <c r="M15" s="3">
        <f t="shared" si="7"/>
        <v>512.32737599999996</v>
      </c>
      <c r="N15" s="3">
        <f t="shared" si="8"/>
        <v>426.93948</v>
      </c>
      <c r="O15" s="3">
        <f t="shared" si="9"/>
        <v>0</v>
      </c>
      <c r="P15" s="18">
        <f t="shared" si="10"/>
        <v>5.9365613792597991E-4</v>
      </c>
      <c r="Q15" s="3" t="s">
        <v>493</v>
      </c>
      <c r="R15" s="3">
        <f t="shared" si="11"/>
        <v>5208.6616560000002</v>
      </c>
      <c r="S15" s="3">
        <v>0</v>
      </c>
      <c r="T15" t="s">
        <v>481</v>
      </c>
    </row>
    <row r="16" spans="1:20" ht="15" customHeight="1" x14ac:dyDescent="0.25">
      <c r="A16" t="s">
        <v>151</v>
      </c>
      <c r="B16" t="s">
        <v>249</v>
      </c>
      <c r="C16" t="s">
        <v>146</v>
      </c>
      <c r="D16" s="2">
        <v>1.98</v>
      </c>
      <c r="E16" s="3">
        <v>10026.301600000001</v>
      </c>
      <c r="F16" s="3">
        <f t="shared" si="0"/>
        <v>19852.077168</v>
      </c>
      <c r="G16" s="3">
        <f t="shared" si="1"/>
        <v>16272.1944</v>
      </c>
      <c r="H16" s="3">
        <f t="shared" si="2"/>
        <v>3579.8827679999995</v>
      </c>
      <c r="I16" s="3">
        <f t="shared" si="3"/>
        <v>2115.3852719999977</v>
      </c>
      <c r="J16" s="3">
        <f t="shared" si="4"/>
        <v>5695.2680399999999</v>
      </c>
      <c r="K16" s="3">
        <f t="shared" si="5"/>
        <v>3579.8827679999999</v>
      </c>
      <c r="L16" s="3">
        <f t="shared" si="6"/>
        <v>1301.7755520000001</v>
      </c>
      <c r="M16" s="3">
        <f t="shared" si="7"/>
        <v>1952.6633279999999</v>
      </c>
      <c r="N16" s="3">
        <f t="shared" si="8"/>
        <v>1627.2194400000001</v>
      </c>
      <c r="O16" s="3">
        <f t="shared" si="9"/>
        <v>0</v>
      </c>
      <c r="P16" s="18">
        <f t="shared" si="10"/>
        <v>2.2626364006169577E-3</v>
      </c>
      <c r="Q16" s="3" t="s">
        <v>493</v>
      </c>
      <c r="R16" s="3">
        <f t="shared" si="11"/>
        <v>19852.077168</v>
      </c>
      <c r="S16" s="3">
        <v>0</v>
      </c>
      <c r="T16" t="s">
        <v>481</v>
      </c>
    </row>
    <row r="17" spans="1:20" ht="15" customHeight="1" x14ac:dyDescent="0.25">
      <c r="A17" t="s">
        <v>151</v>
      </c>
      <c r="B17" t="s">
        <v>250</v>
      </c>
      <c r="C17" t="s">
        <v>146</v>
      </c>
      <c r="D17" s="2">
        <v>1.8149999999999999</v>
      </c>
      <c r="E17" s="3">
        <v>74702.954599999997</v>
      </c>
      <c r="F17" s="3">
        <f t="shared" si="0"/>
        <v>135585.86259899999</v>
      </c>
      <c r="G17" s="3">
        <f t="shared" si="1"/>
        <v>111135.95294999999</v>
      </c>
      <c r="H17" s="3">
        <f t="shared" si="2"/>
        <v>24449.909648999994</v>
      </c>
      <c r="I17" s="3">
        <f t="shared" si="3"/>
        <v>14447.6738835</v>
      </c>
      <c r="J17" s="3">
        <f t="shared" si="4"/>
        <v>38897.583532499993</v>
      </c>
      <c r="K17" s="3">
        <f t="shared" si="5"/>
        <v>24449.909648999997</v>
      </c>
      <c r="L17" s="3">
        <f t="shared" si="6"/>
        <v>8890.8762360000001</v>
      </c>
      <c r="M17" s="3">
        <f t="shared" si="7"/>
        <v>13336.314353999998</v>
      </c>
      <c r="N17" s="3">
        <f t="shared" si="8"/>
        <v>11113.595294999999</v>
      </c>
      <c r="O17" s="3">
        <f t="shared" si="9"/>
        <v>0</v>
      </c>
      <c r="P17" s="18">
        <f t="shared" si="10"/>
        <v>1.5453370724351939E-2</v>
      </c>
      <c r="Q17" s="3" t="s">
        <v>493</v>
      </c>
      <c r="R17" s="3">
        <f t="shared" si="11"/>
        <v>135585.86259899999</v>
      </c>
      <c r="S17" s="3">
        <v>0</v>
      </c>
      <c r="T17" t="s">
        <v>481</v>
      </c>
    </row>
    <row r="18" spans="1:20" ht="15" customHeight="1" x14ac:dyDescent="0.25">
      <c r="A18" t="s">
        <v>151</v>
      </c>
      <c r="B18" t="s">
        <v>251</v>
      </c>
      <c r="C18" t="s">
        <v>145</v>
      </c>
      <c r="D18" s="2">
        <v>36.762</v>
      </c>
      <c r="E18" s="3">
        <v>1894.7331999999999</v>
      </c>
      <c r="F18" s="3">
        <f t="shared" si="0"/>
        <v>69654.181898399998</v>
      </c>
      <c r="G18" s="3">
        <f t="shared" si="1"/>
        <v>57093.591719999997</v>
      </c>
      <c r="H18" s="3">
        <f t="shared" si="2"/>
        <v>12560.590178400002</v>
      </c>
      <c r="I18" s="3">
        <f t="shared" si="3"/>
        <v>7422.1669236000016</v>
      </c>
      <c r="J18" s="3">
        <f t="shared" si="4"/>
        <v>19982.757101999996</v>
      </c>
      <c r="K18" s="3">
        <f t="shared" si="5"/>
        <v>12560.5901784</v>
      </c>
      <c r="L18" s="3">
        <f t="shared" si="6"/>
        <v>4567.4873375999996</v>
      </c>
      <c r="M18" s="3">
        <f t="shared" si="7"/>
        <v>6851.2310063999994</v>
      </c>
      <c r="N18" s="3">
        <f t="shared" si="8"/>
        <v>5709.3591720000004</v>
      </c>
      <c r="O18" s="3">
        <f t="shared" si="9"/>
        <v>0</v>
      </c>
      <c r="P18" s="18">
        <f t="shared" si="10"/>
        <v>7.9388210152918862E-3</v>
      </c>
      <c r="Q18" s="3" t="s">
        <v>493</v>
      </c>
      <c r="R18" s="3">
        <f t="shared" si="11"/>
        <v>69654.181898399998</v>
      </c>
      <c r="S18" s="3">
        <v>0</v>
      </c>
      <c r="T18" t="s">
        <v>481</v>
      </c>
    </row>
    <row r="19" spans="1:20" ht="15" customHeight="1" x14ac:dyDescent="0.25">
      <c r="A19" t="s">
        <v>151</v>
      </c>
      <c r="B19" t="s">
        <v>252</v>
      </c>
      <c r="C19" t="s">
        <v>112</v>
      </c>
      <c r="D19" s="2">
        <v>495</v>
      </c>
      <c r="E19" s="3">
        <v>487.89019999999999</v>
      </c>
      <c r="F19" s="3">
        <f t="shared" si="0"/>
        <v>241505.649</v>
      </c>
      <c r="G19" s="3">
        <f t="shared" si="1"/>
        <v>197955.45</v>
      </c>
      <c r="H19" s="3">
        <f t="shared" si="2"/>
        <v>43550.198999999993</v>
      </c>
      <c r="I19" s="3">
        <f t="shared" si="3"/>
        <v>25734.208500000008</v>
      </c>
      <c r="J19" s="3">
        <f t="shared" si="4"/>
        <v>69284.407500000001</v>
      </c>
      <c r="K19" s="3">
        <f t="shared" si="5"/>
        <v>43550.199000000001</v>
      </c>
      <c r="L19" s="3">
        <f t="shared" si="6"/>
        <v>15836.436000000002</v>
      </c>
      <c r="M19" s="3">
        <f t="shared" si="7"/>
        <v>23754.654000000002</v>
      </c>
      <c r="N19" s="3">
        <f t="shared" si="8"/>
        <v>19795.545000000002</v>
      </c>
      <c r="O19" s="3">
        <f t="shared" si="9"/>
        <v>0</v>
      </c>
      <c r="P19" s="18">
        <f t="shared" si="10"/>
        <v>2.7525556532836788E-2</v>
      </c>
      <c r="Q19" s="3" t="s">
        <v>493</v>
      </c>
      <c r="R19" s="3">
        <f t="shared" si="11"/>
        <v>241505.649</v>
      </c>
      <c r="S19" s="3">
        <v>0</v>
      </c>
      <c r="T19" t="s">
        <v>481</v>
      </c>
    </row>
    <row r="20" spans="1:20" ht="15" customHeight="1" x14ac:dyDescent="0.25">
      <c r="A20" t="s">
        <v>151</v>
      </c>
      <c r="B20" t="s">
        <v>106</v>
      </c>
      <c r="C20" t="s">
        <v>146</v>
      </c>
      <c r="D20" s="2">
        <v>1.089</v>
      </c>
      <c r="E20" s="3">
        <v>0</v>
      </c>
      <c r="F20" s="3">
        <f t="shared" si="0"/>
        <v>0</v>
      </c>
      <c r="G20" s="3">
        <f t="shared" si="1"/>
        <v>0</v>
      </c>
      <c r="H20" s="3">
        <f t="shared" si="2"/>
        <v>0</v>
      </c>
      <c r="I20" s="3">
        <f t="shared" si="3"/>
        <v>0</v>
      </c>
      <c r="J20" s="3">
        <f t="shared" si="4"/>
        <v>0</v>
      </c>
      <c r="K20" s="3">
        <f t="shared" si="5"/>
        <v>0</v>
      </c>
      <c r="L20" s="3">
        <f t="shared" si="6"/>
        <v>0</v>
      </c>
      <c r="M20" s="3">
        <f t="shared" si="7"/>
        <v>0</v>
      </c>
      <c r="N20" s="3">
        <f t="shared" si="8"/>
        <v>0</v>
      </c>
      <c r="O20" s="3">
        <f t="shared" si="9"/>
        <v>0</v>
      </c>
      <c r="P20" s="18">
        <f t="shared" si="10"/>
        <v>0</v>
      </c>
      <c r="Q20" s="3" t="s">
        <v>493</v>
      </c>
      <c r="R20" s="3">
        <f t="shared" si="11"/>
        <v>0</v>
      </c>
      <c r="S20" s="3">
        <v>0</v>
      </c>
      <c r="T20" t="s">
        <v>481</v>
      </c>
    </row>
    <row r="21" spans="1:20" ht="15" customHeight="1" x14ac:dyDescent="0.25">
      <c r="A21" t="s">
        <v>151</v>
      </c>
      <c r="B21" t="s">
        <v>108</v>
      </c>
      <c r="C21" t="s">
        <v>146</v>
      </c>
      <c r="D21" s="2">
        <v>1.2474000000000001</v>
      </c>
      <c r="E21" s="3">
        <v>0</v>
      </c>
      <c r="F21" s="3">
        <f t="shared" si="0"/>
        <v>0</v>
      </c>
      <c r="G21" s="3">
        <f t="shared" si="1"/>
        <v>0</v>
      </c>
      <c r="H21" s="3">
        <f t="shared" si="2"/>
        <v>0</v>
      </c>
      <c r="I21" s="3">
        <f t="shared" si="3"/>
        <v>0</v>
      </c>
      <c r="J21" s="3">
        <f t="shared" si="4"/>
        <v>0</v>
      </c>
      <c r="K21" s="3">
        <f t="shared" si="5"/>
        <v>0</v>
      </c>
      <c r="L21" s="3">
        <f t="shared" si="6"/>
        <v>0</v>
      </c>
      <c r="M21" s="3">
        <f t="shared" si="7"/>
        <v>0</v>
      </c>
      <c r="N21" s="3">
        <f t="shared" si="8"/>
        <v>0</v>
      </c>
      <c r="O21" s="3">
        <f t="shared" si="9"/>
        <v>0</v>
      </c>
      <c r="P21" s="18">
        <f t="shared" si="10"/>
        <v>0</v>
      </c>
      <c r="Q21" s="3" t="s">
        <v>493</v>
      </c>
      <c r="R21" s="3">
        <f t="shared" si="11"/>
        <v>0</v>
      </c>
      <c r="S21" s="3">
        <v>0</v>
      </c>
      <c r="T21" t="s">
        <v>481</v>
      </c>
    </row>
    <row r="22" spans="1:20" ht="15" customHeight="1" x14ac:dyDescent="0.25">
      <c r="A22" t="s">
        <v>151</v>
      </c>
      <c r="B22" t="s">
        <v>122</v>
      </c>
      <c r="C22" t="s">
        <v>148</v>
      </c>
      <c r="D22" s="2">
        <v>33</v>
      </c>
      <c r="E22" s="3">
        <v>0</v>
      </c>
      <c r="F22" s="3">
        <f t="shared" si="0"/>
        <v>0</v>
      </c>
      <c r="G22" s="3">
        <f t="shared" si="1"/>
        <v>0</v>
      </c>
      <c r="H22" s="3">
        <f t="shared" si="2"/>
        <v>0</v>
      </c>
      <c r="I22" s="3">
        <f t="shared" si="3"/>
        <v>0</v>
      </c>
      <c r="J22" s="3">
        <f t="shared" si="4"/>
        <v>0</v>
      </c>
      <c r="K22" s="3">
        <f t="shared" si="5"/>
        <v>0</v>
      </c>
      <c r="L22" s="3">
        <f t="shared" si="6"/>
        <v>0</v>
      </c>
      <c r="M22" s="3">
        <f t="shared" si="7"/>
        <v>0</v>
      </c>
      <c r="N22" s="3">
        <f t="shared" si="8"/>
        <v>0</v>
      </c>
      <c r="O22" s="3">
        <f t="shared" si="9"/>
        <v>0</v>
      </c>
      <c r="P22" s="18">
        <f t="shared" si="10"/>
        <v>0</v>
      </c>
      <c r="Q22" s="3" t="s">
        <v>493</v>
      </c>
      <c r="R22" s="3">
        <f t="shared" si="11"/>
        <v>0</v>
      </c>
      <c r="S22" s="3">
        <v>0</v>
      </c>
      <c r="T22" t="s">
        <v>481</v>
      </c>
    </row>
    <row r="23" spans="1:20" ht="15" customHeight="1" x14ac:dyDescent="0.25">
      <c r="A23" t="s">
        <v>151</v>
      </c>
      <c r="B23" t="s">
        <v>124</v>
      </c>
      <c r="C23" t="s">
        <v>148</v>
      </c>
      <c r="D23" s="2">
        <v>66</v>
      </c>
      <c r="E23" s="3">
        <v>0</v>
      </c>
      <c r="F23" s="3">
        <f t="shared" si="0"/>
        <v>0</v>
      </c>
      <c r="G23" s="3">
        <f t="shared" si="1"/>
        <v>0</v>
      </c>
      <c r="H23" s="3">
        <f t="shared" si="2"/>
        <v>0</v>
      </c>
      <c r="I23" s="3">
        <f t="shared" si="3"/>
        <v>0</v>
      </c>
      <c r="J23" s="3">
        <f t="shared" si="4"/>
        <v>0</v>
      </c>
      <c r="K23" s="3">
        <f t="shared" si="5"/>
        <v>0</v>
      </c>
      <c r="L23" s="3">
        <f t="shared" si="6"/>
        <v>0</v>
      </c>
      <c r="M23" s="3">
        <f t="shared" si="7"/>
        <v>0</v>
      </c>
      <c r="N23" s="3">
        <f t="shared" si="8"/>
        <v>0</v>
      </c>
      <c r="O23" s="3">
        <f t="shared" si="9"/>
        <v>0</v>
      </c>
      <c r="P23" s="18">
        <f t="shared" si="10"/>
        <v>0</v>
      </c>
      <c r="Q23" s="3" t="s">
        <v>493</v>
      </c>
      <c r="R23" s="3">
        <f t="shared" si="11"/>
        <v>0</v>
      </c>
      <c r="S23" s="3">
        <v>0</v>
      </c>
      <c r="T23" t="s">
        <v>481</v>
      </c>
    </row>
    <row r="24" spans="1:20" ht="15" customHeight="1" x14ac:dyDescent="0.25">
      <c r="A24" t="s">
        <v>151</v>
      </c>
      <c r="B24" t="s">
        <v>111</v>
      </c>
      <c r="C24" t="s">
        <v>112</v>
      </c>
      <c r="D24" s="2">
        <v>110.286</v>
      </c>
      <c r="E24" s="3">
        <v>0</v>
      </c>
      <c r="F24" s="3">
        <f t="shared" si="0"/>
        <v>0</v>
      </c>
      <c r="G24" s="3">
        <f t="shared" si="1"/>
        <v>0</v>
      </c>
      <c r="H24" s="3">
        <f t="shared" si="2"/>
        <v>0</v>
      </c>
      <c r="I24" s="3">
        <f t="shared" si="3"/>
        <v>0</v>
      </c>
      <c r="J24" s="3">
        <f t="shared" si="4"/>
        <v>0</v>
      </c>
      <c r="K24" s="3">
        <f t="shared" si="5"/>
        <v>0</v>
      </c>
      <c r="L24" s="3">
        <f t="shared" si="6"/>
        <v>0</v>
      </c>
      <c r="M24" s="3">
        <f t="shared" si="7"/>
        <v>0</v>
      </c>
      <c r="N24" s="3">
        <f t="shared" si="8"/>
        <v>0</v>
      </c>
      <c r="O24" s="3">
        <f t="shared" si="9"/>
        <v>0</v>
      </c>
      <c r="P24" s="18">
        <f t="shared" si="10"/>
        <v>0</v>
      </c>
      <c r="Q24" s="3" t="s">
        <v>493</v>
      </c>
      <c r="R24" s="3">
        <f t="shared" si="11"/>
        <v>0</v>
      </c>
      <c r="S24" s="3">
        <v>0</v>
      </c>
      <c r="T24" t="s">
        <v>481</v>
      </c>
    </row>
    <row r="25" spans="1:20" ht="15" customHeight="1" x14ac:dyDescent="0.25">
      <c r="A25" t="s">
        <v>152</v>
      </c>
      <c r="B25" t="s">
        <v>247</v>
      </c>
      <c r="C25" t="s">
        <v>145</v>
      </c>
      <c r="D25" s="2">
        <v>374</v>
      </c>
      <c r="E25" s="3">
        <v>598.53200000000004</v>
      </c>
      <c r="F25" s="3">
        <f t="shared" si="0"/>
        <v>223850.96800000002</v>
      </c>
      <c r="G25" s="3">
        <f t="shared" si="1"/>
        <v>183484.40000000002</v>
      </c>
      <c r="H25" s="3">
        <f t="shared" si="2"/>
        <v>40366.567999999999</v>
      </c>
      <c r="I25" s="3">
        <f t="shared" si="3"/>
        <v>23852.972000000009</v>
      </c>
      <c r="J25" s="3">
        <f t="shared" si="4"/>
        <v>64219.54</v>
      </c>
      <c r="K25" s="3">
        <f t="shared" si="5"/>
        <v>40366.568000000007</v>
      </c>
      <c r="L25" s="3">
        <f t="shared" si="6"/>
        <v>14678.752000000002</v>
      </c>
      <c r="M25" s="3">
        <f t="shared" si="7"/>
        <v>22018.128000000001</v>
      </c>
      <c r="N25" s="3">
        <f t="shared" si="8"/>
        <v>18348.440000000002</v>
      </c>
      <c r="O25" s="3">
        <f t="shared" si="9"/>
        <v>0</v>
      </c>
      <c r="P25" s="18">
        <f t="shared" si="10"/>
        <v>2.551336790724195E-2</v>
      </c>
      <c r="Q25" s="3" t="s">
        <v>493</v>
      </c>
      <c r="R25" s="3">
        <f t="shared" si="11"/>
        <v>223850.96800000002</v>
      </c>
      <c r="S25" s="3">
        <v>0</v>
      </c>
      <c r="T25" t="s">
        <v>481</v>
      </c>
    </row>
    <row r="26" spans="1:20" ht="15" customHeight="1" x14ac:dyDescent="0.25">
      <c r="A26" t="s">
        <v>152</v>
      </c>
      <c r="B26" t="s">
        <v>254</v>
      </c>
      <c r="C26" t="s">
        <v>146</v>
      </c>
      <c r="D26" s="2">
        <v>3.74</v>
      </c>
      <c r="E26" s="3">
        <v>5261.2744000000002</v>
      </c>
      <c r="F26" s="3">
        <f t="shared" si="0"/>
        <v>19677.166256</v>
      </c>
      <c r="G26" s="3">
        <f t="shared" si="1"/>
        <v>16128.8248</v>
      </c>
      <c r="H26" s="3">
        <f t="shared" si="2"/>
        <v>3548.3414560000001</v>
      </c>
      <c r="I26" s="3">
        <f t="shared" si="3"/>
        <v>2096.7472240000006</v>
      </c>
      <c r="J26" s="3">
        <f t="shared" si="4"/>
        <v>5645.0886799999998</v>
      </c>
      <c r="K26" s="3">
        <f t="shared" si="5"/>
        <v>3548.3414560000001</v>
      </c>
      <c r="L26" s="3">
        <f t="shared" si="6"/>
        <v>1290.3059840000001</v>
      </c>
      <c r="M26" s="3">
        <f t="shared" si="7"/>
        <v>1935.4589759999999</v>
      </c>
      <c r="N26" s="3">
        <f t="shared" si="8"/>
        <v>1612.8824800000002</v>
      </c>
      <c r="O26" s="3">
        <f t="shared" si="9"/>
        <v>0</v>
      </c>
      <c r="P26" s="18">
        <f t="shared" si="10"/>
        <v>2.2427009654981461E-3</v>
      </c>
      <c r="Q26" s="3" t="s">
        <v>493</v>
      </c>
      <c r="R26" s="3">
        <f t="shared" si="11"/>
        <v>19677.166256</v>
      </c>
      <c r="S26" s="3">
        <v>0</v>
      </c>
      <c r="T26" t="s">
        <v>481</v>
      </c>
    </row>
    <row r="27" spans="1:20" ht="15" customHeight="1" x14ac:dyDescent="0.25">
      <c r="A27" t="s">
        <v>152</v>
      </c>
      <c r="B27" t="s">
        <v>255</v>
      </c>
      <c r="C27" t="s">
        <v>146</v>
      </c>
      <c r="D27" s="2">
        <v>18.7</v>
      </c>
      <c r="E27" s="3">
        <v>20671.9728</v>
      </c>
      <c r="F27" s="3">
        <f t="shared" si="0"/>
        <v>386565.89135999995</v>
      </c>
      <c r="G27" s="3">
        <f t="shared" si="1"/>
        <v>316857.28799999994</v>
      </c>
      <c r="H27" s="3">
        <f t="shared" si="2"/>
        <v>69708.603360000008</v>
      </c>
      <c r="I27" s="3">
        <f t="shared" si="3"/>
        <v>41191.44743999996</v>
      </c>
      <c r="J27" s="3">
        <f t="shared" si="4"/>
        <v>110900.05079999997</v>
      </c>
      <c r="K27" s="3">
        <f t="shared" si="5"/>
        <v>69708.603359999994</v>
      </c>
      <c r="L27" s="3">
        <f t="shared" si="6"/>
        <v>25348.583039999998</v>
      </c>
      <c r="M27" s="3">
        <f t="shared" si="7"/>
        <v>38022.874559999989</v>
      </c>
      <c r="N27" s="3">
        <f t="shared" si="8"/>
        <v>31685.728799999997</v>
      </c>
      <c r="O27" s="3">
        <f t="shared" si="9"/>
        <v>0</v>
      </c>
      <c r="P27" s="18">
        <f t="shared" si="10"/>
        <v>4.4058767736303024E-2</v>
      </c>
      <c r="Q27" s="3" t="s">
        <v>493</v>
      </c>
      <c r="R27" s="3">
        <f t="shared" si="11"/>
        <v>386565.89135999995</v>
      </c>
      <c r="S27" s="3">
        <v>0</v>
      </c>
      <c r="T27" t="s">
        <v>481</v>
      </c>
    </row>
    <row r="28" spans="1:20" ht="15" customHeight="1" x14ac:dyDescent="0.25">
      <c r="A28" t="s">
        <v>152</v>
      </c>
      <c r="B28" t="s">
        <v>256</v>
      </c>
      <c r="C28" t="s">
        <v>145</v>
      </c>
      <c r="D28" s="2">
        <v>374</v>
      </c>
      <c r="E28" s="3">
        <v>1741.6964</v>
      </c>
      <c r="F28" s="3">
        <f t="shared" si="0"/>
        <v>651394.45360000001</v>
      </c>
      <c r="G28" s="3">
        <f t="shared" si="1"/>
        <v>533929.88</v>
      </c>
      <c r="H28" s="3">
        <f t="shared" si="2"/>
        <v>117464.5736</v>
      </c>
      <c r="I28" s="3">
        <f t="shared" si="3"/>
        <v>69410.884399999981</v>
      </c>
      <c r="J28" s="3">
        <f t="shared" si="4"/>
        <v>186875.45799999998</v>
      </c>
      <c r="K28" s="3">
        <f t="shared" si="5"/>
        <v>117464.5736</v>
      </c>
      <c r="L28" s="3">
        <f t="shared" si="6"/>
        <v>42714.390400000004</v>
      </c>
      <c r="M28" s="3">
        <f t="shared" si="7"/>
        <v>64071.585599999999</v>
      </c>
      <c r="N28" s="3">
        <f t="shared" si="8"/>
        <v>53392.988000000005</v>
      </c>
      <c r="O28" s="3">
        <f t="shared" si="9"/>
        <v>0</v>
      </c>
      <c r="P28" s="18">
        <f t="shared" si="10"/>
        <v>7.4242548495182942E-2</v>
      </c>
      <c r="Q28" s="3" t="s">
        <v>493</v>
      </c>
      <c r="R28" s="3">
        <f t="shared" si="11"/>
        <v>651394.45360000001</v>
      </c>
      <c r="S28" s="3">
        <v>0</v>
      </c>
      <c r="T28" t="s">
        <v>481</v>
      </c>
    </row>
    <row r="29" spans="1:20" ht="15" customHeight="1" x14ac:dyDescent="0.25">
      <c r="A29" t="s">
        <v>152</v>
      </c>
      <c r="B29" t="s">
        <v>257</v>
      </c>
      <c r="C29" t="s">
        <v>112</v>
      </c>
      <c r="D29" s="2">
        <v>4880.7</v>
      </c>
      <c r="E29" s="3">
        <v>148.2056</v>
      </c>
      <c r="F29" s="3">
        <f t="shared" si="0"/>
        <v>723347.07192000002</v>
      </c>
      <c r="G29" s="3">
        <f t="shared" si="1"/>
        <v>592907.43599999999</v>
      </c>
      <c r="H29" s="3">
        <f t="shared" si="2"/>
        <v>130439.63592000003</v>
      </c>
      <c r="I29" s="3">
        <f t="shared" si="3"/>
        <v>77077.966680000012</v>
      </c>
      <c r="J29" s="3">
        <f t="shared" si="4"/>
        <v>207517.60259999998</v>
      </c>
      <c r="K29" s="3">
        <f t="shared" si="5"/>
        <v>130439.63592</v>
      </c>
      <c r="L29" s="3">
        <f t="shared" si="6"/>
        <v>47432.594879999997</v>
      </c>
      <c r="M29" s="3">
        <f t="shared" si="7"/>
        <v>71148.892319999999</v>
      </c>
      <c r="N29" s="3">
        <f t="shared" si="8"/>
        <v>59290.743600000002</v>
      </c>
      <c r="O29" s="3">
        <f t="shared" si="9"/>
        <v>0</v>
      </c>
      <c r="P29" s="18">
        <f t="shared" si="10"/>
        <v>8.2443333327560875E-2</v>
      </c>
      <c r="Q29" s="3" t="s">
        <v>493</v>
      </c>
      <c r="R29" s="3">
        <f t="shared" si="11"/>
        <v>723347.07192000002</v>
      </c>
      <c r="S29" s="3">
        <v>0</v>
      </c>
      <c r="T29" t="s">
        <v>481</v>
      </c>
    </row>
    <row r="30" spans="1:20" ht="15" customHeight="1" x14ac:dyDescent="0.25">
      <c r="A30" t="s">
        <v>152</v>
      </c>
      <c r="B30" t="s">
        <v>258</v>
      </c>
      <c r="C30" t="s">
        <v>146</v>
      </c>
      <c r="D30" s="2">
        <v>112.2</v>
      </c>
      <c r="E30" s="3">
        <v>27220.091</v>
      </c>
      <c r="F30" s="3">
        <f t="shared" si="0"/>
        <v>3054094.2102000001</v>
      </c>
      <c r="G30" s="3">
        <f t="shared" si="1"/>
        <v>2503355.91</v>
      </c>
      <c r="H30" s="3">
        <f t="shared" si="2"/>
        <v>550738.30019999994</v>
      </c>
      <c r="I30" s="3">
        <f t="shared" si="3"/>
        <v>325436.26830000011</v>
      </c>
      <c r="J30" s="3">
        <f t="shared" si="4"/>
        <v>876174.56850000005</v>
      </c>
      <c r="K30" s="3">
        <f t="shared" si="5"/>
        <v>550738.30020000006</v>
      </c>
      <c r="L30" s="3">
        <f t="shared" si="6"/>
        <v>200268.47280000002</v>
      </c>
      <c r="M30" s="3">
        <f t="shared" si="7"/>
        <v>300402.70919999998</v>
      </c>
      <c r="N30" s="3">
        <f t="shared" si="8"/>
        <v>250335.59100000001</v>
      </c>
      <c r="O30" s="3">
        <f t="shared" si="9"/>
        <v>0</v>
      </c>
      <c r="P30" s="18">
        <f t="shared" si="10"/>
        <v>0.3480897576829336</v>
      </c>
      <c r="Q30" s="3" t="s">
        <v>493</v>
      </c>
      <c r="R30" s="3">
        <f t="shared" si="11"/>
        <v>3054094.2102000001</v>
      </c>
      <c r="S30" s="3">
        <v>0</v>
      </c>
      <c r="T30" t="s">
        <v>481</v>
      </c>
    </row>
    <row r="31" spans="1:20" ht="15" customHeight="1" x14ac:dyDescent="0.25">
      <c r="A31" t="s">
        <v>152</v>
      </c>
      <c r="B31" t="s">
        <v>259</v>
      </c>
      <c r="C31" t="s">
        <v>145</v>
      </c>
      <c r="D31" s="2">
        <v>374</v>
      </c>
      <c r="E31" s="3">
        <v>2551.5567999999998</v>
      </c>
      <c r="F31" s="3">
        <f t="shared" si="0"/>
        <v>954282.24319999991</v>
      </c>
      <c r="G31" s="3">
        <f t="shared" si="1"/>
        <v>782198.55999999994</v>
      </c>
      <c r="H31" s="3">
        <f t="shared" si="2"/>
        <v>172083.68319999997</v>
      </c>
      <c r="I31" s="3">
        <f t="shared" si="3"/>
        <v>101685.81279999996</v>
      </c>
      <c r="J31" s="3">
        <f t="shared" si="4"/>
        <v>273769.49599999998</v>
      </c>
      <c r="K31" s="3">
        <f t="shared" si="5"/>
        <v>172083.6832</v>
      </c>
      <c r="L31" s="3">
        <f t="shared" si="6"/>
        <v>62575.8848</v>
      </c>
      <c r="M31" s="3">
        <f t="shared" si="7"/>
        <v>93863.827199999985</v>
      </c>
      <c r="N31" s="3">
        <f t="shared" si="8"/>
        <v>78219.856</v>
      </c>
      <c r="O31" s="3">
        <f t="shared" si="9"/>
        <v>0</v>
      </c>
      <c r="P31" s="18">
        <f t="shared" si="10"/>
        <v>0.10876412184248287</v>
      </c>
      <c r="Q31" s="3" t="s">
        <v>493</v>
      </c>
      <c r="R31" s="3">
        <f t="shared" si="11"/>
        <v>954282.24319999991</v>
      </c>
      <c r="S31" s="3">
        <v>0</v>
      </c>
      <c r="T31" t="s">
        <v>481</v>
      </c>
    </row>
    <row r="32" spans="1:20" ht="15" customHeight="1" x14ac:dyDescent="0.25">
      <c r="A32" t="s">
        <v>152</v>
      </c>
      <c r="B32" t="s">
        <v>153</v>
      </c>
      <c r="C32" t="s">
        <v>146</v>
      </c>
      <c r="D32" s="2">
        <v>4.1139999999999999</v>
      </c>
      <c r="E32" s="3">
        <v>0</v>
      </c>
      <c r="F32" s="3">
        <f t="shared" si="0"/>
        <v>0</v>
      </c>
      <c r="G32" s="3">
        <f t="shared" si="1"/>
        <v>0</v>
      </c>
      <c r="H32" s="3">
        <f t="shared" si="2"/>
        <v>0</v>
      </c>
      <c r="I32" s="3">
        <f t="shared" si="3"/>
        <v>0</v>
      </c>
      <c r="J32" s="3">
        <f t="shared" si="4"/>
        <v>0</v>
      </c>
      <c r="K32" s="3">
        <f t="shared" si="5"/>
        <v>0</v>
      </c>
      <c r="L32" s="3">
        <f t="shared" si="6"/>
        <v>0</v>
      </c>
      <c r="M32" s="3">
        <f t="shared" si="7"/>
        <v>0</v>
      </c>
      <c r="N32" s="3">
        <f t="shared" si="8"/>
        <v>0</v>
      </c>
      <c r="O32" s="3">
        <f t="shared" si="9"/>
        <v>0</v>
      </c>
      <c r="P32" s="18">
        <f t="shared" si="10"/>
        <v>0</v>
      </c>
      <c r="Q32" s="3" t="s">
        <v>493</v>
      </c>
      <c r="R32" s="3">
        <f t="shared" si="11"/>
        <v>0</v>
      </c>
      <c r="S32" s="3">
        <v>0</v>
      </c>
      <c r="T32" t="s">
        <v>481</v>
      </c>
    </row>
    <row r="33" spans="1:20" ht="15" customHeight="1" x14ac:dyDescent="0.25">
      <c r="A33" t="s">
        <v>152</v>
      </c>
      <c r="B33" t="s">
        <v>154</v>
      </c>
      <c r="C33" t="s">
        <v>146</v>
      </c>
      <c r="D33" s="2">
        <v>18.7</v>
      </c>
      <c r="E33" s="3">
        <v>0</v>
      </c>
      <c r="F33" s="3">
        <f t="shared" si="0"/>
        <v>0</v>
      </c>
      <c r="G33" s="3">
        <f t="shared" si="1"/>
        <v>0</v>
      </c>
      <c r="H33" s="3">
        <f t="shared" si="2"/>
        <v>0</v>
      </c>
      <c r="I33" s="3">
        <f t="shared" si="3"/>
        <v>0</v>
      </c>
      <c r="J33" s="3">
        <f t="shared" si="4"/>
        <v>0</v>
      </c>
      <c r="K33" s="3">
        <f t="shared" si="5"/>
        <v>0</v>
      </c>
      <c r="L33" s="3">
        <f t="shared" si="6"/>
        <v>0</v>
      </c>
      <c r="M33" s="3">
        <f t="shared" si="7"/>
        <v>0</v>
      </c>
      <c r="N33" s="3">
        <f t="shared" si="8"/>
        <v>0</v>
      </c>
      <c r="O33" s="3">
        <f t="shared" si="9"/>
        <v>0</v>
      </c>
      <c r="P33" s="18">
        <f t="shared" si="10"/>
        <v>0</v>
      </c>
      <c r="Q33" s="3" t="s">
        <v>493</v>
      </c>
      <c r="R33" s="3">
        <f t="shared" si="11"/>
        <v>0</v>
      </c>
      <c r="S33" s="3">
        <v>0</v>
      </c>
      <c r="T33" t="s">
        <v>481</v>
      </c>
    </row>
    <row r="34" spans="1:20" ht="15" customHeight="1" x14ac:dyDescent="0.25">
      <c r="A34" t="s">
        <v>152</v>
      </c>
      <c r="B34" t="s">
        <v>155</v>
      </c>
      <c r="C34" t="s">
        <v>112</v>
      </c>
      <c r="D34" s="2">
        <v>1122</v>
      </c>
      <c r="E34" s="3">
        <v>0</v>
      </c>
      <c r="F34" s="3">
        <f t="shared" si="0"/>
        <v>0</v>
      </c>
      <c r="G34" s="3">
        <f t="shared" si="1"/>
        <v>0</v>
      </c>
      <c r="H34" s="3">
        <f t="shared" si="2"/>
        <v>0</v>
      </c>
      <c r="I34" s="3">
        <f t="shared" si="3"/>
        <v>0</v>
      </c>
      <c r="J34" s="3">
        <f t="shared" si="4"/>
        <v>0</v>
      </c>
      <c r="K34" s="3">
        <f t="shared" si="5"/>
        <v>0</v>
      </c>
      <c r="L34" s="3">
        <f t="shared" si="6"/>
        <v>0</v>
      </c>
      <c r="M34" s="3">
        <f t="shared" si="7"/>
        <v>0</v>
      </c>
      <c r="N34" s="3">
        <f t="shared" si="8"/>
        <v>0</v>
      </c>
      <c r="O34" s="3">
        <f t="shared" si="9"/>
        <v>0</v>
      </c>
      <c r="P34" s="18">
        <f t="shared" si="10"/>
        <v>0</v>
      </c>
      <c r="Q34" s="3" t="s">
        <v>493</v>
      </c>
      <c r="R34" s="3">
        <f t="shared" si="11"/>
        <v>0</v>
      </c>
      <c r="S34" s="3">
        <v>0</v>
      </c>
      <c r="T34" t="s">
        <v>481</v>
      </c>
    </row>
    <row r="35" spans="1:20" ht="15" customHeight="1" x14ac:dyDescent="0.25">
      <c r="A35" t="s">
        <v>152</v>
      </c>
      <c r="B35" t="s">
        <v>156</v>
      </c>
      <c r="C35" t="s">
        <v>112</v>
      </c>
      <c r="D35" s="2">
        <v>4259.8599999999997</v>
      </c>
      <c r="E35" s="3">
        <v>0</v>
      </c>
      <c r="F35" s="3">
        <f t="shared" si="0"/>
        <v>0</v>
      </c>
      <c r="G35" s="3">
        <f t="shared" si="1"/>
        <v>0</v>
      </c>
      <c r="H35" s="3">
        <f t="shared" si="2"/>
        <v>0</v>
      </c>
      <c r="I35" s="3">
        <f t="shared" si="3"/>
        <v>0</v>
      </c>
      <c r="J35" s="3">
        <f t="shared" si="4"/>
        <v>0</v>
      </c>
      <c r="K35" s="3">
        <f t="shared" si="5"/>
        <v>0</v>
      </c>
      <c r="L35" s="3">
        <f t="shared" si="6"/>
        <v>0</v>
      </c>
      <c r="M35" s="3">
        <f t="shared" si="7"/>
        <v>0</v>
      </c>
      <c r="N35" s="3">
        <f t="shared" si="8"/>
        <v>0</v>
      </c>
      <c r="O35" s="3">
        <f t="shared" si="9"/>
        <v>0</v>
      </c>
      <c r="P35" s="18">
        <f t="shared" si="10"/>
        <v>0</v>
      </c>
      <c r="Q35" s="3" t="s">
        <v>493</v>
      </c>
      <c r="R35" s="3">
        <f t="shared" si="11"/>
        <v>0</v>
      </c>
      <c r="S35" s="3">
        <v>0</v>
      </c>
      <c r="T35" t="s">
        <v>481</v>
      </c>
    </row>
    <row r="36" spans="1:20" ht="15" customHeight="1" x14ac:dyDescent="0.25">
      <c r="A36" t="s">
        <v>152</v>
      </c>
      <c r="B36" t="s">
        <v>157</v>
      </c>
      <c r="C36" t="s">
        <v>112</v>
      </c>
      <c r="D36" s="2">
        <v>620.84</v>
      </c>
      <c r="E36" s="3">
        <v>0</v>
      </c>
      <c r="F36" s="3">
        <f t="shared" si="0"/>
        <v>0</v>
      </c>
      <c r="G36" s="3">
        <f t="shared" si="1"/>
        <v>0</v>
      </c>
      <c r="H36" s="3">
        <f t="shared" si="2"/>
        <v>0</v>
      </c>
      <c r="I36" s="3">
        <f t="shared" si="3"/>
        <v>0</v>
      </c>
      <c r="J36" s="3">
        <f t="shared" si="4"/>
        <v>0</v>
      </c>
      <c r="K36" s="3">
        <f t="shared" si="5"/>
        <v>0</v>
      </c>
      <c r="L36" s="3">
        <f t="shared" si="6"/>
        <v>0</v>
      </c>
      <c r="M36" s="3">
        <f t="shared" si="7"/>
        <v>0</v>
      </c>
      <c r="N36" s="3">
        <f t="shared" si="8"/>
        <v>0</v>
      </c>
      <c r="O36" s="3">
        <f t="shared" si="9"/>
        <v>0</v>
      </c>
      <c r="P36" s="18">
        <f t="shared" si="10"/>
        <v>0</v>
      </c>
      <c r="Q36" s="3" t="s">
        <v>493</v>
      </c>
      <c r="R36" s="3">
        <f t="shared" si="11"/>
        <v>0</v>
      </c>
      <c r="S36" s="3">
        <v>0</v>
      </c>
      <c r="T36" t="s">
        <v>481</v>
      </c>
    </row>
    <row r="37" spans="1:20" ht="15" customHeight="1" x14ac:dyDescent="0.25">
      <c r="A37" t="s">
        <v>152</v>
      </c>
      <c r="B37" t="s">
        <v>158</v>
      </c>
      <c r="C37" t="s">
        <v>146</v>
      </c>
      <c r="D37" s="2">
        <v>112.2</v>
      </c>
      <c r="E37" s="3">
        <v>0</v>
      </c>
      <c r="F37" s="3">
        <f t="shared" si="0"/>
        <v>0</v>
      </c>
      <c r="G37" s="3">
        <f t="shared" si="1"/>
        <v>0</v>
      </c>
      <c r="H37" s="3">
        <f t="shared" si="2"/>
        <v>0</v>
      </c>
      <c r="I37" s="3">
        <f t="shared" si="3"/>
        <v>0</v>
      </c>
      <c r="J37" s="3">
        <f t="shared" si="4"/>
        <v>0</v>
      </c>
      <c r="K37" s="3">
        <f t="shared" si="5"/>
        <v>0</v>
      </c>
      <c r="L37" s="3">
        <f t="shared" si="6"/>
        <v>0</v>
      </c>
      <c r="M37" s="3">
        <f t="shared" si="7"/>
        <v>0</v>
      </c>
      <c r="N37" s="3">
        <f t="shared" si="8"/>
        <v>0</v>
      </c>
      <c r="O37" s="3">
        <f t="shared" si="9"/>
        <v>0</v>
      </c>
      <c r="P37" s="18">
        <f t="shared" si="10"/>
        <v>0</v>
      </c>
      <c r="Q37" s="3" t="s">
        <v>493</v>
      </c>
      <c r="R37" s="3">
        <f t="shared" si="11"/>
        <v>0</v>
      </c>
      <c r="S37" s="3">
        <v>0</v>
      </c>
      <c r="T37" t="s">
        <v>481</v>
      </c>
    </row>
    <row r="38" spans="1:20" ht="15" customHeight="1" x14ac:dyDescent="0.25">
      <c r="A38" t="s">
        <v>152</v>
      </c>
      <c r="B38" t="s">
        <v>159</v>
      </c>
      <c r="C38" t="s">
        <v>112</v>
      </c>
      <c r="D38" s="2">
        <v>1496</v>
      </c>
      <c r="E38" s="3">
        <v>0</v>
      </c>
      <c r="F38" s="3">
        <f t="shared" si="0"/>
        <v>0</v>
      </c>
      <c r="G38" s="3">
        <f t="shared" si="1"/>
        <v>0</v>
      </c>
      <c r="H38" s="3">
        <f t="shared" si="2"/>
        <v>0</v>
      </c>
      <c r="I38" s="3">
        <f t="shared" si="3"/>
        <v>0</v>
      </c>
      <c r="J38" s="3">
        <f t="shared" si="4"/>
        <v>0</v>
      </c>
      <c r="K38" s="3">
        <f t="shared" si="5"/>
        <v>0</v>
      </c>
      <c r="L38" s="3">
        <f t="shared" si="6"/>
        <v>0</v>
      </c>
      <c r="M38" s="3">
        <f t="shared" si="7"/>
        <v>0</v>
      </c>
      <c r="N38" s="3">
        <f t="shared" si="8"/>
        <v>0</v>
      </c>
      <c r="O38" s="3">
        <f t="shared" si="9"/>
        <v>0</v>
      </c>
      <c r="P38" s="18">
        <f t="shared" si="10"/>
        <v>0</v>
      </c>
      <c r="Q38" s="3" t="s">
        <v>493</v>
      </c>
      <c r="R38" s="3">
        <f t="shared" si="11"/>
        <v>0</v>
      </c>
      <c r="S38" s="3">
        <v>0</v>
      </c>
      <c r="T38" t="s">
        <v>481</v>
      </c>
    </row>
    <row r="39" spans="1:20" ht="15" customHeight="1" x14ac:dyDescent="0.25">
      <c r="A39" t="s">
        <v>152</v>
      </c>
      <c r="B39" t="s">
        <v>161</v>
      </c>
      <c r="C39" t="s">
        <v>132</v>
      </c>
      <c r="D39" s="2">
        <v>11.55</v>
      </c>
      <c r="E39" s="3">
        <v>0</v>
      </c>
      <c r="F39" s="3">
        <f t="shared" si="0"/>
        <v>0</v>
      </c>
      <c r="G39" s="3">
        <f t="shared" si="1"/>
        <v>0</v>
      </c>
      <c r="H39" s="3">
        <f t="shared" si="2"/>
        <v>0</v>
      </c>
      <c r="I39" s="3">
        <f t="shared" si="3"/>
        <v>0</v>
      </c>
      <c r="J39" s="3">
        <f t="shared" si="4"/>
        <v>0</v>
      </c>
      <c r="K39" s="3">
        <f t="shared" si="5"/>
        <v>0</v>
      </c>
      <c r="L39" s="3">
        <f t="shared" si="6"/>
        <v>0</v>
      </c>
      <c r="M39" s="3">
        <f t="shared" si="7"/>
        <v>0</v>
      </c>
      <c r="N39" s="3">
        <f t="shared" si="8"/>
        <v>0</v>
      </c>
      <c r="O39" s="3">
        <f t="shared" si="9"/>
        <v>0</v>
      </c>
      <c r="P39" s="18">
        <f t="shared" si="10"/>
        <v>0</v>
      </c>
      <c r="Q39" s="3" t="s">
        <v>493</v>
      </c>
      <c r="R39" s="3">
        <f t="shared" si="11"/>
        <v>0</v>
      </c>
      <c r="S39" s="3">
        <v>0</v>
      </c>
      <c r="T39" t="s">
        <v>481</v>
      </c>
    </row>
    <row r="40" spans="1:20" ht="15" customHeight="1" x14ac:dyDescent="0.25">
      <c r="A40" t="s">
        <v>152</v>
      </c>
      <c r="B40" t="s">
        <v>163</v>
      </c>
      <c r="C40" t="s">
        <v>132</v>
      </c>
      <c r="D40" s="2">
        <v>0.495</v>
      </c>
      <c r="E40" s="3">
        <v>0</v>
      </c>
      <c r="F40" s="3">
        <f t="shared" si="0"/>
        <v>0</v>
      </c>
      <c r="G40" s="3">
        <f t="shared" si="1"/>
        <v>0</v>
      </c>
      <c r="H40" s="3">
        <f t="shared" si="2"/>
        <v>0</v>
      </c>
      <c r="I40" s="3">
        <f t="shared" si="3"/>
        <v>0</v>
      </c>
      <c r="J40" s="3">
        <f t="shared" si="4"/>
        <v>0</v>
      </c>
      <c r="K40" s="3">
        <f t="shared" si="5"/>
        <v>0</v>
      </c>
      <c r="L40" s="3">
        <f t="shared" si="6"/>
        <v>0</v>
      </c>
      <c r="M40" s="3">
        <f t="shared" si="7"/>
        <v>0</v>
      </c>
      <c r="N40" s="3">
        <f t="shared" si="8"/>
        <v>0</v>
      </c>
      <c r="O40" s="3">
        <f t="shared" si="9"/>
        <v>0</v>
      </c>
      <c r="P40" s="18">
        <f t="shared" si="10"/>
        <v>0</v>
      </c>
      <c r="Q40" s="3" t="s">
        <v>493</v>
      </c>
      <c r="R40" s="3">
        <f t="shared" si="11"/>
        <v>0</v>
      </c>
      <c r="S40" s="3">
        <v>0</v>
      </c>
      <c r="T40" t="s">
        <v>481</v>
      </c>
    </row>
    <row r="41" spans="1:20" ht="15" customHeight="1" x14ac:dyDescent="0.25">
      <c r="A41" t="s">
        <v>152</v>
      </c>
      <c r="B41" t="s">
        <v>133</v>
      </c>
      <c r="C41" t="s">
        <v>146</v>
      </c>
      <c r="D41" s="2">
        <v>0.18479999999999999</v>
      </c>
      <c r="E41" s="3">
        <v>0</v>
      </c>
      <c r="F41" s="3">
        <f t="shared" si="0"/>
        <v>0</v>
      </c>
      <c r="G41" s="3">
        <f t="shared" si="1"/>
        <v>0</v>
      </c>
      <c r="H41" s="3">
        <f t="shared" si="2"/>
        <v>0</v>
      </c>
      <c r="I41" s="3">
        <f t="shared" si="3"/>
        <v>0</v>
      </c>
      <c r="J41" s="3">
        <f t="shared" si="4"/>
        <v>0</v>
      </c>
      <c r="K41" s="3">
        <f t="shared" si="5"/>
        <v>0</v>
      </c>
      <c r="L41" s="3">
        <f t="shared" si="6"/>
        <v>0</v>
      </c>
      <c r="M41" s="3">
        <f t="shared" si="7"/>
        <v>0</v>
      </c>
      <c r="N41" s="3">
        <f t="shared" si="8"/>
        <v>0</v>
      </c>
      <c r="O41" s="3">
        <f t="shared" si="9"/>
        <v>0</v>
      </c>
      <c r="P41" s="18">
        <f t="shared" si="10"/>
        <v>0</v>
      </c>
      <c r="Q41" s="3" t="s">
        <v>493</v>
      </c>
      <c r="R41" s="3">
        <f t="shared" si="11"/>
        <v>0</v>
      </c>
      <c r="S41" s="3">
        <v>0</v>
      </c>
      <c r="T41" t="s">
        <v>481</v>
      </c>
    </row>
    <row r="42" spans="1:20" ht="15" customHeight="1" x14ac:dyDescent="0.25">
      <c r="A42" t="s">
        <v>165</v>
      </c>
      <c r="B42" t="s">
        <v>264</v>
      </c>
      <c r="C42" t="s">
        <v>123</v>
      </c>
      <c r="D42" s="2">
        <v>121.3</v>
      </c>
      <c r="E42" s="3">
        <v>352.75080000000003</v>
      </c>
      <c r="F42" s="3">
        <f t="shared" si="0"/>
        <v>42788.672040000005</v>
      </c>
      <c r="G42" s="3">
        <f t="shared" si="1"/>
        <v>35072.682000000008</v>
      </c>
      <c r="H42" s="3">
        <f t="shared" si="2"/>
        <v>7715.990039999997</v>
      </c>
      <c r="I42" s="3">
        <f t="shared" si="3"/>
        <v>4559.4486600000018</v>
      </c>
      <c r="J42" s="3">
        <f t="shared" si="4"/>
        <v>12275.438700000002</v>
      </c>
      <c r="K42" s="3">
        <f t="shared" si="5"/>
        <v>7715.9900400000015</v>
      </c>
      <c r="L42" s="3">
        <f t="shared" si="6"/>
        <v>2805.8145600000007</v>
      </c>
      <c r="M42" s="3">
        <f t="shared" si="7"/>
        <v>4208.7218400000011</v>
      </c>
      <c r="N42" s="3">
        <f t="shared" si="8"/>
        <v>3507.2682000000009</v>
      </c>
      <c r="O42" s="3">
        <f t="shared" si="9"/>
        <v>0</v>
      </c>
      <c r="P42" s="18">
        <f t="shared" si="10"/>
        <v>4.8768300703476829E-3</v>
      </c>
      <c r="Q42" s="3" t="s">
        <v>493</v>
      </c>
      <c r="R42" s="3">
        <f t="shared" si="11"/>
        <v>42788.672040000005</v>
      </c>
      <c r="S42" s="3">
        <v>0</v>
      </c>
      <c r="T42" t="s">
        <v>481</v>
      </c>
    </row>
    <row r="43" spans="1:20" ht="15" customHeight="1" x14ac:dyDescent="0.25">
      <c r="A43" t="s">
        <v>165</v>
      </c>
      <c r="B43" t="s">
        <v>166</v>
      </c>
      <c r="C43" t="s">
        <v>145</v>
      </c>
      <c r="D43" s="2">
        <v>36.39</v>
      </c>
      <c r="E43" s="3">
        <v>0</v>
      </c>
      <c r="F43" s="3">
        <f t="shared" si="0"/>
        <v>0</v>
      </c>
      <c r="G43" s="3">
        <f t="shared" si="1"/>
        <v>0</v>
      </c>
      <c r="H43" s="3">
        <f t="shared" si="2"/>
        <v>0</v>
      </c>
      <c r="I43" s="3">
        <f t="shared" si="3"/>
        <v>0</v>
      </c>
      <c r="J43" s="3">
        <f t="shared" si="4"/>
        <v>0</v>
      </c>
      <c r="K43" s="3">
        <f t="shared" si="5"/>
        <v>0</v>
      </c>
      <c r="L43" s="3">
        <f t="shared" si="6"/>
        <v>0</v>
      </c>
      <c r="M43" s="3">
        <f t="shared" si="7"/>
        <v>0</v>
      </c>
      <c r="N43" s="3">
        <f t="shared" si="8"/>
        <v>0</v>
      </c>
      <c r="O43" s="3">
        <f t="shared" si="9"/>
        <v>0</v>
      </c>
      <c r="P43" s="18">
        <f t="shared" si="10"/>
        <v>0</v>
      </c>
      <c r="Q43" s="3" t="s">
        <v>493</v>
      </c>
      <c r="R43" s="3">
        <f t="shared" si="11"/>
        <v>0</v>
      </c>
      <c r="S43" s="3">
        <v>0</v>
      </c>
      <c r="T43" t="s">
        <v>481</v>
      </c>
    </row>
    <row r="44" spans="1:20" ht="15" customHeight="1" x14ac:dyDescent="0.25">
      <c r="A44" t="s">
        <v>165</v>
      </c>
      <c r="B44" t="s">
        <v>168</v>
      </c>
      <c r="C44" t="s">
        <v>123</v>
      </c>
      <c r="D44" s="2">
        <v>33</v>
      </c>
      <c r="E44" s="3">
        <v>0</v>
      </c>
      <c r="F44" s="3">
        <f t="shared" si="0"/>
        <v>0</v>
      </c>
      <c r="G44" s="3">
        <f t="shared" si="1"/>
        <v>0</v>
      </c>
      <c r="H44" s="3">
        <f t="shared" si="2"/>
        <v>0</v>
      </c>
      <c r="I44" s="3">
        <f t="shared" si="3"/>
        <v>0</v>
      </c>
      <c r="J44" s="3">
        <f t="shared" si="4"/>
        <v>0</v>
      </c>
      <c r="K44" s="3">
        <f t="shared" si="5"/>
        <v>0</v>
      </c>
      <c r="L44" s="3">
        <f t="shared" si="6"/>
        <v>0</v>
      </c>
      <c r="M44" s="3">
        <f t="shared" si="7"/>
        <v>0</v>
      </c>
      <c r="N44" s="3">
        <f t="shared" si="8"/>
        <v>0</v>
      </c>
      <c r="O44" s="3">
        <f t="shared" si="9"/>
        <v>0</v>
      </c>
      <c r="P44" s="18">
        <f t="shared" si="10"/>
        <v>0</v>
      </c>
      <c r="Q44" s="3" t="s">
        <v>493</v>
      </c>
      <c r="R44" s="3">
        <f t="shared" si="11"/>
        <v>0</v>
      </c>
      <c r="S44" s="3">
        <v>0</v>
      </c>
      <c r="T44" t="s">
        <v>481</v>
      </c>
    </row>
    <row r="45" spans="1:20" ht="15" customHeight="1" x14ac:dyDescent="0.25">
      <c r="A45" t="s">
        <v>165</v>
      </c>
      <c r="B45" t="s">
        <v>161</v>
      </c>
      <c r="C45" t="s">
        <v>132</v>
      </c>
      <c r="D45" s="2">
        <v>11.55</v>
      </c>
      <c r="E45" s="3">
        <v>0</v>
      </c>
      <c r="F45" s="3">
        <f t="shared" si="0"/>
        <v>0</v>
      </c>
      <c r="G45" s="3">
        <f t="shared" si="1"/>
        <v>0</v>
      </c>
      <c r="H45" s="3">
        <f t="shared" si="2"/>
        <v>0</v>
      </c>
      <c r="I45" s="3">
        <f t="shared" si="3"/>
        <v>0</v>
      </c>
      <c r="J45" s="3">
        <f t="shared" si="4"/>
        <v>0</v>
      </c>
      <c r="K45" s="3">
        <f t="shared" si="5"/>
        <v>0</v>
      </c>
      <c r="L45" s="3">
        <f t="shared" si="6"/>
        <v>0</v>
      </c>
      <c r="M45" s="3">
        <f t="shared" si="7"/>
        <v>0</v>
      </c>
      <c r="N45" s="3">
        <f t="shared" si="8"/>
        <v>0</v>
      </c>
      <c r="O45" s="3">
        <f t="shared" si="9"/>
        <v>0</v>
      </c>
      <c r="P45" s="18">
        <f t="shared" si="10"/>
        <v>0</v>
      </c>
      <c r="Q45" s="3" t="s">
        <v>493</v>
      </c>
      <c r="R45" s="3">
        <f t="shared" si="11"/>
        <v>0</v>
      </c>
      <c r="S45" s="3">
        <v>0</v>
      </c>
      <c r="T45" t="s">
        <v>481</v>
      </c>
    </row>
    <row r="46" spans="1:20" ht="15" customHeight="1" x14ac:dyDescent="0.25">
      <c r="A46" t="s">
        <v>165</v>
      </c>
      <c r="B46" t="s">
        <v>163</v>
      </c>
      <c r="C46" t="s">
        <v>132</v>
      </c>
      <c r="D46" s="2">
        <v>0.495</v>
      </c>
      <c r="E46" s="3">
        <v>0</v>
      </c>
      <c r="F46" s="3">
        <f t="shared" si="0"/>
        <v>0</v>
      </c>
      <c r="G46" s="3">
        <f t="shared" si="1"/>
        <v>0</v>
      </c>
      <c r="H46" s="3">
        <f t="shared" si="2"/>
        <v>0</v>
      </c>
      <c r="I46" s="3">
        <f t="shared" si="3"/>
        <v>0</v>
      </c>
      <c r="J46" s="3">
        <f t="shared" si="4"/>
        <v>0</v>
      </c>
      <c r="K46" s="3">
        <f t="shared" si="5"/>
        <v>0</v>
      </c>
      <c r="L46" s="3">
        <f t="shared" si="6"/>
        <v>0</v>
      </c>
      <c r="M46" s="3">
        <f t="shared" si="7"/>
        <v>0</v>
      </c>
      <c r="N46" s="3">
        <f t="shared" si="8"/>
        <v>0</v>
      </c>
      <c r="O46" s="3">
        <f t="shared" si="9"/>
        <v>0</v>
      </c>
      <c r="P46" s="18">
        <f t="shared" si="10"/>
        <v>0</v>
      </c>
      <c r="Q46" s="3" t="s">
        <v>493</v>
      </c>
      <c r="R46" s="3">
        <f t="shared" si="11"/>
        <v>0</v>
      </c>
      <c r="S46" s="3">
        <v>0</v>
      </c>
      <c r="T46" t="s">
        <v>481</v>
      </c>
    </row>
    <row r="47" spans="1:20" ht="15" customHeight="1" x14ac:dyDescent="0.25">
      <c r="A47" t="s">
        <v>165</v>
      </c>
      <c r="B47" t="s">
        <v>133</v>
      </c>
      <c r="C47" t="s">
        <v>146</v>
      </c>
      <c r="D47" s="2">
        <v>0.18479999999999999</v>
      </c>
      <c r="E47" s="3">
        <v>0</v>
      </c>
      <c r="F47" s="3">
        <f t="shared" si="0"/>
        <v>0</v>
      </c>
      <c r="G47" s="3">
        <f t="shared" si="1"/>
        <v>0</v>
      </c>
      <c r="H47" s="3">
        <f t="shared" si="2"/>
        <v>0</v>
      </c>
      <c r="I47" s="3">
        <f t="shared" si="3"/>
        <v>0</v>
      </c>
      <c r="J47" s="3">
        <f t="shared" si="4"/>
        <v>0</v>
      </c>
      <c r="K47" s="3">
        <f t="shared" si="5"/>
        <v>0</v>
      </c>
      <c r="L47" s="3">
        <f t="shared" si="6"/>
        <v>0</v>
      </c>
      <c r="M47" s="3">
        <f t="shared" si="7"/>
        <v>0</v>
      </c>
      <c r="N47" s="3">
        <f t="shared" si="8"/>
        <v>0</v>
      </c>
      <c r="O47" s="3">
        <f t="shared" si="9"/>
        <v>0</v>
      </c>
      <c r="P47" s="18">
        <f t="shared" si="10"/>
        <v>0</v>
      </c>
      <c r="Q47" s="3" t="s">
        <v>493</v>
      </c>
      <c r="R47" s="3">
        <f t="shared" si="11"/>
        <v>0</v>
      </c>
      <c r="S47" s="3">
        <v>0</v>
      </c>
      <c r="T47" t="s">
        <v>481</v>
      </c>
    </row>
    <row r="48" spans="1:20" ht="15" customHeight="1" x14ac:dyDescent="0.25">
      <c r="A48" s="13" t="s">
        <v>54</v>
      </c>
      <c r="B48" s="13"/>
      <c r="C48" s="13"/>
      <c r="D48" s="14">
        <f>SUM(D9:D47)</f>
        <v>27213.036999999997</v>
      </c>
      <c r="E48" s="13"/>
      <c r="F48" s="10">
        <f t="shared" ref="F48:O48" si="12">SUM(F9:F47)</f>
        <v>8773869.7930374015</v>
      </c>
      <c r="G48" s="10">
        <f t="shared" si="12"/>
        <v>7191696.551669999</v>
      </c>
      <c r="H48" s="10">
        <f t="shared" si="12"/>
        <v>1582173.2413673997</v>
      </c>
      <c r="I48" s="10">
        <f t="shared" si="12"/>
        <v>934920.55171709997</v>
      </c>
      <c r="J48" s="10">
        <f t="shared" si="12"/>
        <v>2517093.7930844994</v>
      </c>
      <c r="K48" s="10">
        <f t="shared" si="12"/>
        <v>1582173.2413674002</v>
      </c>
      <c r="L48" s="10">
        <f t="shared" si="12"/>
        <v>575335.72413360002</v>
      </c>
      <c r="M48" s="10">
        <f t="shared" si="12"/>
        <v>863003.58620039991</v>
      </c>
      <c r="N48" s="10">
        <f t="shared" si="12"/>
        <v>719169.65516700014</v>
      </c>
      <c r="O48" s="10">
        <f t="shared" si="12"/>
        <v>0</v>
      </c>
      <c r="P48" s="19">
        <f>1</f>
        <v>1</v>
      </c>
      <c r="Q48" s="10">
        <f>SUM(Q9:Q47)</f>
        <v>0</v>
      </c>
      <c r="R48" s="10">
        <f>SUM(R9:R47)</f>
        <v>8773869.7930374015</v>
      </c>
      <c r="S48" s="10">
        <f>SUM(S9:S47)</f>
        <v>0</v>
      </c>
      <c r="T48" s="13" t="s">
        <v>54</v>
      </c>
    </row>
    <row r="50" spans="1:2" ht="15" customHeight="1" x14ac:dyDescent="0.25">
      <c r="A50" s="1" t="s">
        <v>488</v>
      </c>
      <c r="B50" s="3">
        <f>R48</f>
        <v>8773869.7930374015</v>
      </c>
    </row>
    <row r="51" spans="1:2" ht="15" customHeight="1" x14ac:dyDescent="0.25">
      <c r="A51" s="1" t="s">
        <v>61</v>
      </c>
      <c r="B51" s="3">
        <f>S48</f>
        <v>0</v>
      </c>
    </row>
    <row r="52" spans="1:2" ht="15" customHeight="1" x14ac:dyDescent="0.25">
      <c r="A52" s="1" t="s">
        <v>489</v>
      </c>
      <c r="B52" s="3">
        <f>B50+B51</f>
        <v>8773869.7930374015</v>
      </c>
    </row>
  </sheetData>
  <mergeCells count="1">
    <mergeCell ref="A1:Q1"/>
  </mergeCells>
  <pageMargins left="0.75" right="0.75" top="1" bottom="1" header="0.511811023622047" footer="0.511811023622047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T53"/>
  <sheetViews>
    <sheetView showGridLines="0" zoomScaleNormal="100" workbookViewId="0">
      <pane ySplit="7" topLeftCell="A8" activePane="bottomLeft" state="frozen"/>
      <selection pane="bottomLeft"/>
    </sheetView>
  </sheetViews>
  <sheetFormatPr defaultColWidth="8.7109375" defaultRowHeight="15" x14ac:dyDescent="0.25"/>
  <cols>
    <col min="1" max="1" width="24" customWidth="1"/>
    <col min="2" max="2" width="68" customWidth="1"/>
    <col min="3" max="3" width="10" customWidth="1"/>
    <col min="4" max="4" width="14" customWidth="1"/>
    <col min="5" max="5" width="18" customWidth="1"/>
    <col min="6" max="7" width="20" customWidth="1"/>
    <col min="8" max="14" width="18" customWidth="1"/>
    <col min="15" max="15" width="22" customWidth="1"/>
    <col min="16" max="16" width="14" customWidth="1"/>
    <col min="17" max="17" width="36" customWidth="1"/>
    <col min="18" max="19" width="24" customWidth="1"/>
    <col min="20" max="20" width="28" customWidth="1"/>
  </cols>
  <sheetData>
    <row r="1" spans="1:20" ht="17.25" customHeight="1" x14ac:dyDescent="0.25">
      <c r="A1" s="31" t="s">
        <v>494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20" ht="15" customHeight="1" x14ac:dyDescent="0.25">
      <c r="A2" s="1" t="s">
        <v>47</v>
      </c>
      <c r="B2" t="s">
        <v>50</v>
      </c>
    </row>
    <row r="3" spans="1:20" ht="15" customHeight="1" x14ac:dyDescent="0.25">
      <c r="A3" s="1" t="s">
        <v>55</v>
      </c>
      <c r="B3" t="s">
        <v>69</v>
      </c>
    </row>
    <row r="4" spans="1:20" ht="15" customHeight="1" x14ac:dyDescent="0.25">
      <c r="A4" s="1" t="s">
        <v>57</v>
      </c>
      <c r="B4" s="2">
        <v>550</v>
      </c>
    </row>
    <row r="5" spans="1:20" ht="15" customHeight="1" x14ac:dyDescent="0.25">
      <c r="A5" s="1" t="s">
        <v>467</v>
      </c>
      <c r="B5" s="3">
        <v>13100086.467472199</v>
      </c>
    </row>
    <row r="6" spans="1:20" ht="15" customHeight="1" x14ac:dyDescent="0.25">
      <c r="A6" s="1" t="s">
        <v>468</v>
      </c>
      <c r="B6" t="s">
        <v>469</v>
      </c>
    </row>
    <row r="8" spans="1:20" ht="41.25" customHeight="1" x14ac:dyDescent="0.25">
      <c r="A8" s="12" t="s">
        <v>470</v>
      </c>
      <c r="B8" s="12" t="s">
        <v>180</v>
      </c>
      <c r="C8" s="12" t="s">
        <v>139</v>
      </c>
      <c r="D8" s="12" t="s">
        <v>140</v>
      </c>
      <c r="E8" s="12" t="s">
        <v>471</v>
      </c>
      <c r="F8" s="12" t="s">
        <v>472</v>
      </c>
      <c r="G8" s="12" t="s">
        <v>473</v>
      </c>
      <c r="H8" s="12" t="s">
        <v>181</v>
      </c>
      <c r="I8" s="12" t="s">
        <v>452</v>
      </c>
      <c r="J8" s="12" t="s">
        <v>454</v>
      </c>
      <c r="K8" s="12" t="s">
        <v>456</v>
      </c>
      <c r="L8" s="12" t="s">
        <v>457</v>
      </c>
      <c r="M8" s="12" t="s">
        <v>458</v>
      </c>
      <c r="N8" s="12" t="s">
        <v>459</v>
      </c>
      <c r="O8" s="12" t="s">
        <v>474</v>
      </c>
      <c r="P8" s="12" t="s">
        <v>475</v>
      </c>
      <c r="Q8" s="12" t="s">
        <v>476</v>
      </c>
      <c r="R8" s="12" t="s">
        <v>477</v>
      </c>
      <c r="S8" s="12" t="s">
        <v>61</v>
      </c>
      <c r="T8" s="12" t="s">
        <v>478</v>
      </c>
    </row>
    <row r="9" spans="1:20" ht="15" customHeight="1" x14ac:dyDescent="0.25">
      <c r="A9" t="s">
        <v>479</v>
      </c>
      <c r="B9" t="s">
        <v>183</v>
      </c>
      <c r="C9" t="s">
        <v>112</v>
      </c>
      <c r="D9" s="2">
        <v>973.2</v>
      </c>
      <c r="E9" s="3">
        <v>71.321200000000005</v>
      </c>
      <c r="F9" s="3">
        <f t="shared" ref="F9:F48" si="0">D9*E9</f>
        <v>69409.791840000005</v>
      </c>
      <c r="G9" s="3">
        <f t="shared" ref="G9:G48" si="1">F9/1.22</f>
        <v>56893.272000000004</v>
      </c>
      <c r="H9" s="3">
        <f t="shared" ref="H9:H48" si="2">F9-G9</f>
        <v>12516.519840000001</v>
      </c>
      <c r="I9" s="3">
        <f t="shared" ref="I9:I48" si="3">G9-SUM(J9:N9)</f>
        <v>7396.1253600000055</v>
      </c>
      <c r="J9" s="3">
        <f t="shared" ref="J9:J48" si="4">G9*0.35</f>
        <v>19912.645199999999</v>
      </c>
      <c r="K9" s="3">
        <f t="shared" ref="K9:K48" si="5">G9*0.22</f>
        <v>12516.519840000001</v>
      </c>
      <c r="L9" s="3">
        <f t="shared" ref="L9:L48" si="6">G9*0.08</f>
        <v>4551.4617600000001</v>
      </c>
      <c r="M9" s="3">
        <f t="shared" ref="M9:M48" si="7">G9*0.12</f>
        <v>6827.1926400000002</v>
      </c>
      <c r="N9" s="3">
        <f t="shared" ref="N9:N48" si="8">G9*0.1</f>
        <v>5689.3272000000006</v>
      </c>
      <c r="O9" s="3">
        <f t="shared" ref="O9:O48" si="9">G9-SUM(I9:N9)</f>
        <v>0</v>
      </c>
      <c r="P9" s="18">
        <f t="shared" ref="P9:P48" si="10">IF($F$49=0,0,F9/$F$49)</f>
        <v>5.2984224197562381E-3</v>
      </c>
      <c r="Q9" s="3" t="s">
        <v>495</v>
      </c>
      <c r="R9" s="3">
        <f t="shared" ref="R9:R48" si="11">F9</f>
        <v>69409.791840000005</v>
      </c>
      <c r="S9" s="3">
        <v>0</v>
      </c>
      <c r="T9" t="s">
        <v>481</v>
      </c>
    </row>
    <row r="10" spans="1:20" ht="15" customHeight="1" x14ac:dyDescent="0.25">
      <c r="A10" t="s">
        <v>479</v>
      </c>
      <c r="B10" t="s">
        <v>482</v>
      </c>
      <c r="C10" t="s">
        <v>107</v>
      </c>
      <c r="D10" s="2">
        <v>165</v>
      </c>
      <c r="E10" s="3">
        <v>8492.2369999999992</v>
      </c>
      <c r="F10" s="3">
        <f t="shared" si="0"/>
        <v>1401219.1049999997</v>
      </c>
      <c r="G10" s="3">
        <f t="shared" si="1"/>
        <v>1148540.2499999998</v>
      </c>
      <c r="H10" s="3">
        <f t="shared" si="2"/>
        <v>252678.85499999998</v>
      </c>
      <c r="I10" s="3">
        <f t="shared" si="3"/>
        <v>149310.23249999993</v>
      </c>
      <c r="J10" s="3">
        <f t="shared" si="4"/>
        <v>401989.08749999991</v>
      </c>
      <c r="K10" s="3">
        <f t="shared" si="5"/>
        <v>252678.85499999995</v>
      </c>
      <c r="L10" s="3">
        <f t="shared" si="6"/>
        <v>91883.219999999987</v>
      </c>
      <c r="M10" s="3">
        <f t="shared" si="7"/>
        <v>137824.82999999996</v>
      </c>
      <c r="N10" s="3">
        <f t="shared" si="8"/>
        <v>114854.02499999998</v>
      </c>
      <c r="O10" s="3">
        <f t="shared" si="9"/>
        <v>0</v>
      </c>
      <c r="P10" s="18">
        <f t="shared" si="10"/>
        <v>0.1069625844439468</v>
      </c>
      <c r="Q10" s="3" t="s">
        <v>495</v>
      </c>
      <c r="R10" s="3">
        <f t="shared" si="11"/>
        <v>1401219.1049999997</v>
      </c>
      <c r="S10" s="3">
        <v>0</v>
      </c>
      <c r="T10" t="s">
        <v>481</v>
      </c>
    </row>
    <row r="11" spans="1:20" ht="15" customHeight="1" x14ac:dyDescent="0.25">
      <c r="A11" t="s">
        <v>479</v>
      </c>
      <c r="B11" t="s">
        <v>483</v>
      </c>
      <c r="C11" t="s">
        <v>112</v>
      </c>
      <c r="D11" s="2">
        <v>17579.452880000001</v>
      </c>
      <c r="E11" s="3">
        <v>0</v>
      </c>
      <c r="F11" s="3">
        <f t="shared" si="0"/>
        <v>0</v>
      </c>
      <c r="G11" s="3">
        <f t="shared" si="1"/>
        <v>0</v>
      </c>
      <c r="H11" s="3">
        <f t="shared" si="2"/>
        <v>0</v>
      </c>
      <c r="I11" s="3">
        <f t="shared" si="3"/>
        <v>0</v>
      </c>
      <c r="J11" s="3">
        <f t="shared" si="4"/>
        <v>0</v>
      </c>
      <c r="K11" s="3">
        <f t="shared" si="5"/>
        <v>0</v>
      </c>
      <c r="L11" s="3">
        <f t="shared" si="6"/>
        <v>0</v>
      </c>
      <c r="M11" s="3">
        <f t="shared" si="7"/>
        <v>0</v>
      </c>
      <c r="N11" s="3">
        <f t="shared" si="8"/>
        <v>0</v>
      </c>
      <c r="O11" s="3">
        <f t="shared" si="9"/>
        <v>0</v>
      </c>
      <c r="P11" s="18">
        <f t="shared" si="10"/>
        <v>0</v>
      </c>
      <c r="Q11" s="3" t="s">
        <v>495</v>
      </c>
      <c r="R11" s="3">
        <f t="shared" si="11"/>
        <v>0</v>
      </c>
      <c r="S11" s="3">
        <v>0</v>
      </c>
      <c r="T11" t="s">
        <v>481</v>
      </c>
    </row>
    <row r="12" spans="1:20" ht="15" customHeight="1" x14ac:dyDescent="0.25">
      <c r="A12" t="s">
        <v>479</v>
      </c>
      <c r="B12" t="s">
        <v>484</v>
      </c>
      <c r="C12" t="s">
        <v>107</v>
      </c>
      <c r="D12" s="2">
        <v>82.5</v>
      </c>
      <c r="E12" s="3">
        <v>1853.3630000000001</v>
      </c>
      <c r="F12" s="3">
        <f t="shared" si="0"/>
        <v>152902.44750000001</v>
      </c>
      <c r="G12" s="3">
        <f t="shared" si="1"/>
        <v>125329.87500000001</v>
      </c>
      <c r="H12" s="3">
        <f t="shared" si="2"/>
        <v>27572.572499999995</v>
      </c>
      <c r="I12" s="3">
        <f t="shared" si="3"/>
        <v>16292.883750000008</v>
      </c>
      <c r="J12" s="3">
        <f t="shared" si="4"/>
        <v>43865.456250000003</v>
      </c>
      <c r="K12" s="3">
        <f t="shared" si="5"/>
        <v>27572.572500000002</v>
      </c>
      <c r="L12" s="3">
        <f t="shared" si="6"/>
        <v>10026.390000000001</v>
      </c>
      <c r="M12" s="3">
        <f t="shared" si="7"/>
        <v>15039.585000000001</v>
      </c>
      <c r="N12" s="3">
        <f t="shared" si="8"/>
        <v>12532.987500000003</v>
      </c>
      <c r="O12" s="3">
        <f t="shared" si="9"/>
        <v>0</v>
      </c>
      <c r="P12" s="18">
        <f t="shared" si="10"/>
        <v>1.1671865516281906E-2</v>
      </c>
      <c r="Q12" s="3" t="s">
        <v>495</v>
      </c>
      <c r="R12" s="3">
        <f t="shared" si="11"/>
        <v>152902.44750000001</v>
      </c>
      <c r="S12" s="3">
        <v>0</v>
      </c>
      <c r="T12" t="s">
        <v>481</v>
      </c>
    </row>
    <row r="13" spans="1:20" ht="15" customHeight="1" x14ac:dyDescent="0.25">
      <c r="A13" t="s">
        <v>479</v>
      </c>
      <c r="B13" t="s">
        <v>485</v>
      </c>
      <c r="C13" t="s">
        <v>107</v>
      </c>
      <c r="D13" s="2">
        <v>247.5</v>
      </c>
      <c r="E13" s="3">
        <v>3497.9474</v>
      </c>
      <c r="F13" s="3">
        <f t="shared" si="0"/>
        <v>865741.98149999999</v>
      </c>
      <c r="G13" s="3">
        <f t="shared" si="1"/>
        <v>709624.57499999995</v>
      </c>
      <c r="H13" s="3">
        <f t="shared" si="2"/>
        <v>156117.40650000004</v>
      </c>
      <c r="I13" s="3">
        <f t="shared" si="3"/>
        <v>92251.194749999908</v>
      </c>
      <c r="J13" s="3">
        <f t="shared" si="4"/>
        <v>248368.60124999998</v>
      </c>
      <c r="K13" s="3">
        <f t="shared" si="5"/>
        <v>156117.40649999998</v>
      </c>
      <c r="L13" s="3">
        <f t="shared" si="6"/>
        <v>56769.966</v>
      </c>
      <c r="M13" s="3">
        <f t="shared" si="7"/>
        <v>85154.948999999993</v>
      </c>
      <c r="N13" s="3">
        <f t="shared" si="8"/>
        <v>70962.457500000004</v>
      </c>
      <c r="O13" s="3">
        <f t="shared" si="9"/>
        <v>0</v>
      </c>
      <c r="P13" s="18">
        <f t="shared" si="10"/>
        <v>6.6086737950139196E-2</v>
      </c>
      <c r="Q13" s="3" t="s">
        <v>495</v>
      </c>
      <c r="R13" s="3">
        <f t="shared" si="11"/>
        <v>865741.98149999999</v>
      </c>
      <c r="S13" s="3">
        <v>0</v>
      </c>
      <c r="T13" t="s">
        <v>481</v>
      </c>
    </row>
    <row r="14" spans="1:20" ht="15" customHeight="1" x14ac:dyDescent="0.25">
      <c r="A14" t="s">
        <v>479</v>
      </c>
      <c r="B14" t="s">
        <v>486</v>
      </c>
      <c r="C14" t="s">
        <v>107</v>
      </c>
      <c r="D14" s="2">
        <v>247.5</v>
      </c>
      <c r="E14" s="3">
        <v>3497.9474</v>
      </c>
      <c r="F14" s="3">
        <f t="shared" si="0"/>
        <v>865741.98149999999</v>
      </c>
      <c r="G14" s="3">
        <f t="shared" si="1"/>
        <v>709624.57499999995</v>
      </c>
      <c r="H14" s="3">
        <f t="shared" si="2"/>
        <v>156117.40650000004</v>
      </c>
      <c r="I14" s="3">
        <f t="shared" si="3"/>
        <v>92251.194749999908</v>
      </c>
      <c r="J14" s="3">
        <f t="shared" si="4"/>
        <v>248368.60124999998</v>
      </c>
      <c r="K14" s="3">
        <f t="shared" si="5"/>
        <v>156117.40649999998</v>
      </c>
      <c r="L14" s="3">
        <f t="shared" si="6"/>
        <v>56769.966</v>
      </c>
      <c r="M14" s="3">
        <f t="shared" si="7"/>
        <v>85154.948999999993</v>
      </c>
      <c r="N14" s="3">
        <f t="shared" si="8"/>
        <v>70962.457500000004</v>
      </c>
      <c r="O14" s="3">
        <f t="shared" si="9"/>
        <v>0</v>
      </c>
      <c r="P14" s="18">
        <f t="shared" si="10"/>
        <v>6.6086737950139196E-2</v>
      </c>
      <c r="Q14" s="3" t="s">
        <v>495</v>
      </c>
      <c r="R14" s="3">
        <f t="shared" si="11"/>
        <v>865741.98149999999</v>
      </c>
      <c r="S14" s="3">
        <v>0</v>
      </c>
      <c r="T14" t="s">
        <v>481</v>
      </c>
    </row>
    <row r="15" spans="1:20" ht="15" customHeight="1" x14ac:dyDescent="0.25">
      <c r="A15" t="s">
        <v>151</v>
      </c>
      <c r="B15" t="s">
        <v>247</v>
      </c>
      <c r="C15" t="s">
        <v>145</v>
      </c>
      <c r="D15" s="2">
        <v>35.4</v>
      </c>
      <c r="E15" s="3">
        <v>598.53200000000004</v>
      </c>
      <c r="F15" s="3">
        <f t="shared" si="0"/>
        <v>21188.032800000001</v>
      </c>
      <c r="G15" s="3">
        <f t="shared" si="1"/>
        <v>17367.240000000002</v>
      </c>
      <c r="H15" s="3">
        <f t="shared" si="2"/>
        <v>3820.7927999999993</v>
      </c>
      <c r="I15" s="3">
        <f t="shared" si="3"/>
        <v>2257.7412000000022</v>
      </c>
      <c r="J15" s="3">
        <f t="shared" si="4"/>
        <v>6078.5340000000006</v>
      </c>
      <c r="K15" s="3">
        <f t="shared" si="5"/>
        <v>3820.7928000000002</v>
      </c>
      <c r="L15" s="3">
        <f t="shared" si="6"/>
        <v>1389.3792000000001</v>
      </c>
      <c r="M15" s="3">
        <f t="shared" si="7"/>
        <v>2084.0688</v>
      </c>
      <c r="N15" s="3">
        <f t="shared" si="8"/>
        <v>1736.7240000000002</v>
      </c>
      <c r="O15" s="3">
        <f t="shared" si="9"/>
        <v>0</v>
      </c>
      <c r="P15" s="18">
        <f t="shared" si="10"/>
        <v>1.6173964082306135E-3</v>
      </c>
      <c r="Q15" s="3" t="s">
        <v>495</v>
      </c>
      <c r="R15" s="3">
        <f t="shared" si="11"/>
        <v>21188.032800000001</v>
      </c>
      <c r="S15" s="3">
        <v>0</v>
      </c>
      <c r="T15" t="s">
        <v>481</v>
      </c>
    </row>
    <row r="16" spans="1:20" ht="15" customHeight="1" x14ac:dyDescent="0.25">
      <c r="A16" t="s">
        <v>151</v>
      </c>
      <c r="B16" t="s">
        <v>248</v>
      </c>
      <c r="C16" t="s">
        <v>146</v>
      </c>
      <c r="D16" s="2">
        <v>1.77</v>
      </c>
      <c r="E16" s="3">
        <v>5261.2744000000002</v>
      </c>
      <c r="F16" s="3">
        <f t="shared" si="0"/>
        <v>9312.455688</v>
      </c>
      <c r="G16" s="3">
        <f t="shared" si="1"/>
        <v>7633.1603999999998</v>
      </c>
      <c r="H16" s="3">
        <f t="shared" si="2"/>
        <v>1679.2952880000003</v>
      </c>
      <c r="I16" s="3">
        <f t="shared" si="3"/>
        <v>992.31085200000052</v>
      </c>
      <c r="J16" s="3">
        <f t="shared" si="4"/>
        <v>2671.6061399999999</v>
      </c>
      <c r="K16" s="3">
        <f t="shared" si="5"/>
        <v>1679.295288</v>
      </c>
      <c r="L16" s="3">
        <f t="shared" si="6"/>
        <v>610.65283199999999</v>
      </c>
      <c r="M16" s="3">
        <f t="shared" si="7"/>
        <v>915.97924799999998</v>
      </c>
      <c r="N16" s="3">
        <f t="shared" si="8"/>
        <v>763.31604000000004</v>
      </c>
      <c r="O16" s="3">
        <f t="shared" si="9"/>
        <v>0</v>
      </c>
      <c r="P16" s="18">
        <f t="shared" si="10"/>
        <v>7.1086978785392222E-4</v>
      </c>
      <c r="Q16" s="3" t="s">
        <v>495</v>
      </c>
      <c r="R16" s="3">
        <f t="shared" si="11"/>
        <v>9312.455688</v>
      </c>
      <c r="S16" s="3">
        <v>0</v>
      </c>
      <c r="T16" t="s">
        <v>481</v>
      </c>
    </row>
    <row r="17" spans="1:20" ht="15" customHeight="1" x14ac:dyDescent="0.25">
      <c r="A17" t="s">
        <v>151</v>
      </c>
      <c r="B17" t="s">
        <v>249</v>
      </c>
      <c r="C17" t="s">
        <v>146</v>
      </c>
      <c r="D17" s="2">
        <v>3.54</v>
      </c>
      <c r="E17" s="3">
        <v>10026.301600000001</v>
      </c>
      <c r="F17" s="3">
        <f t="shared" si="0"/>
        <v>35493.107664000003</v>
      </c>
      <c r="G17" s="3">
        <f t="shared" si="1"/>
        <v>29092.711200000002</v>
      </c>
      <c r="H17" s="3">
        <f t="shared" si="2"/>
        <v>6400.3964640000013</v>
      </c>
      <c r="I17" s="3">
        <f t="shared" si="3"/>
        <v>3782.0524560000013</v>
      </c>
      <c r="J17" s="3">
        <f t="shared" si="4"/>
        <v>10182.448920000001</v>
      </c>
      <c r="K17" s="3">
        <f t="shared" si="5"/>
        <v>6400.3964640000004</v>
      </c>
      <c r="L17" s="3">
        <f t="shared" si="6"/>
        <v>2327.4168960000002</v>
      </c>
      <c r="M17" s="3">
        <f t="shared" si="7"/>
        <v>3491.125344</v>
      </c>
      <c r="N17" s="3">
        <f t="shared" si="8"/>
        <v>2909.2711200000003</v>
      </c>
      <c r="O17" s="3">
        <f t="shared" si="9"/>
        <v>0</v>
      </c>
      <c r="P17" s="18">
        <f t="shared" si="10"/>
        <v>2.709379648151954E-3</v>
      </c>
      <c r="Q17" s="3" t="s">
        <v>495</v>
      </c>
      <c r="R17" s="3">
        <f t="shared" si="11"/>
        <v>35493.107664000003</v>
      </c>
      <c r="S17" s="3">
        <v>0</v>
      </c>
      <c r="T17" t="s">
        <v>481</v>
      </c>
    </row>
    <row r="18" spans="1:20" ht="15" customHeight="1" x14ac:dyDescent="0.25">
      <c r="A18" t="s">
        <v>151</v>
      </c>
      <c r="B18" t="s">
        <v>250</v>
      </c>
      <c r="C18" t="s">
        <v>146</v>
      </c>
      <c r="D18" s="2">
        <v>3.2450000000000001</v>
      </c>
      <c r="E18" s="3">
        <v>74702.954599999997</v>
      </c>
      <c r="F18" s="3">
        <f t="shared" si="0"/>
        <v>242411.087677</v>
      </c>
      <c r="G18" s="3">
        <f t="shared" si="1"/>
        <v>198697.61285</v>
      </c>
      <c r="H18" s="3">
        <f t="shared" si="2"/>
        <v>43713.474826999998</v>
      </c>
      <c r="I18" s="3">
        <f t="shared" si="3"/>
        <v>25830.689670500025</v>
      </c>
      <c r="J18" s="3">
        <f t="shared" si="4"/>
        <v>69544.164497499994</v>
      </c>
      <c r="K18" s="3">
        <f t="shared" si="5"/>
        <v>43713.474826999998</v>
      </c>
      <c r="L18" s="3">
        <f t="shared" si="6"/>
        <v>15895.809028000001</v>
      </c>
      <c r="M18" s="3">
        <f t="shared" si="7"/>
        <v>23843.713542000001</v>
      </c>
      <c r="N18" s="3">
        <f t="shared" si="8"/>
        <v>19869.761285</v>
      </c>
      <c r="O18" s="3">
        <f t="shared" si="9"/>
        <v>0</v>
      </c>
      <c r="P18" s="18">
        <f t="shared" si="10"/>
        <v>1.8504541040924579E-2</v>
      </c>
      <c r="Q18" s="3" t="s">
        <v>495</v>
      </c>
      <c r="R18" s="3">
        <f t="shared" si="11"/>
        <v>242411.087677</v>
      </c>
      <c r="S18" s="3">
        <v>0</v>
      </c>
      <c r="T18" t="s">
        <v>481</v>
      </c>
    </row>
    <row r="19" spans="1:20" ht="15" customHeight="1" x14ac:dyDescent="0.25">
      <c r="A19" t="s">
        <v>151</v>
      </c>
      <c r="B19" t="s">
        <v>251</v>
      </c>
      <c r="C19" t="s">
        <v>145</v>
      </c>
      <c r="D19" s="2">
        <v>65.725999999999999</v>
      </c>
      <c r="E19" s="3">
        <v>1894.7331999999999</v>
      </c>
      <c r="F19" s="3">
        <f t="shared" si="0"/>
        <v>124533.23430319999</v>
      </c>
      <c r="G19" s="3">
        <f t="shared" si="1"/>
        <v>102076.42156</v>
      </c>
      <c r="H19" s="3">
        <f t="shared" si="2"/>
        <v>22456.812743199989</v>
      </c>
      <c r="I19" s="3">
        <f t="shared" si="3"/>
        <v>13269.934802799995</v>
      </c>
      <c r="J19" s="3">
        <f t="shared" si="4"/>
        <v>35726.747545999999</v>
      </c>
      <c r="K19" s="3">
        <f t="shared" si="5"/>
        <v>22456.8127432</v>
      </c>
      <c r="L19" s="3">
        <f t="shared" si="6"/>
        <v>8166.1137248000005</v>
      </c>
      <c r="M19" s="3">
        <f t="shared" si="7"/>
        <v>12249.1705872</v>
      </c>
      <c r="N19" s="3">
        <f t="shared" si="8"/>
        <v>10207.642156000002</v>
      </c>
      <c r="O19" s="3">
        <f t="shared" si="9"/>
        <v>0</v>
      </c>
      <c r="P19" s="18">
        <f t="shared" si="10"/>
        <v>9.5062910166599842E-3</v>
      </c>
      <c r="Q19" s="3" t="s">
        <v>495</v>
      </c>
      <c r="R19" s="3">
        <f t="shared" si="11"/>
        <v>124533.23430319999</v>
      </c>
      <c r="S19" s="3">
        <v>0</v>
      </c>
      <c r="T19" t="s">
        <v>481</v>
      </c>
    </row>
    <row r="20" spans="1:20" ht="15" customHeight="1" x14ac:dyDescent="0.25">
      <c r="A20" t="s">
        <v>151</v>
      </c>
      <c r="B20" t="s">
        <v>252</v>
      </c>
      <c r="C20" t="s">
        <v>112</v>
      </c>
      <c r="D20" s="2">
        <v>885</v>
      </c>
      <c r="E20" s="3">
        <v>487.89019999999999</v>
      </c>
      <c r="F20" s="3">
        <f t="shared" si="0"/>
        <v>431782.82699999999</v>
      </c>
      <c r="G20" s="3">
        <f t="shared" si="1"/>
        <v>353920.35</v>
      </c>
      <c r="H20" s="3">
        <f t="shared" si="2"/>
        <v>77862.477000000014</v>
      </c>
      <c r="I20" s="3">
        <f t="shared" si="3"/>
        <v>46009.645500000042</v>
      </c>
      <c r="J20" s="3">
        <f t="shared" si="4"/>
        <v>123872.12249999998</v>
      </c>
      <c r="K20" s="3">
        <f t="shared" si="5"/>
        <v>77862.476999999999</v>
      </c>
      <c r="L20" s="3">
        <f t="shared" si="6"/>
        <v>28313.627999999997</v>
      </c>
      <c r="M20" s="3">
        <f t="shared" si="7"/>
        <v>42470.441999999995</v>
      </c>
      <c r="N20" s="3">
        <f t="shared" si="8"/>
        <v>35392.034999999996</v>
      </c>
      <c r="O20" s="3">
        <f t="shared" si="9"/>
        <v>0</v>
      </c>
      <c r="P20" s="18">
        <f t="shared" si="10"/>
        <v>3.2960303588234027E-2</v>
      </c>
      <c r="Q20" s="3" t="s">
        <v>495</v>
      </c>
      <c r="R20" s="3">
        <f t="shared" si="11"/>
        <v>431782.82699999999</v>
      </c>
      <c r="S20" s="3">
        <v>0</v>
      </c>
      <c r="T20" t="s">
        <v>481</v>
      </c>
    </row>
    <row r="21" spans="1:20" ht="15" customHeight="1" x14ac:dyDescent="0.25">
      <c r="A21" t="s">
        <v>151</v>
      </c>
      <c r="B21" t="s">
        <v>106</v>
      </c>
      <c r="C21" t="s">
        <v>146</v>
      </c>
      <c r="D21" s="2">
        <v>1.9470000000000001</v>
      </c>
      <c r="E21" s="3">
        <v>0</v>
      </c>
      <c r="F21" s="3">
        <f t="shared" si="0"/>
        <v>0</v>
      </c>
      <c r="G21" s="3">
        <f t="shared" si="1"/>
        <v>0</v>
      </c>
      <c r="H21" s="3">
        <f t="shared" si="2"/>
        <v>0</v>
      </c>
      <c r="I21" s="3">
        <f t="shared" si="3"/>
        <v>0</v>
      </c>
      <c r="J21" s="3">
        <f t="shared" si="4"/>
        <v>0</v>
      </c>
      <c r="K21" s="3">
        <f t="shared" si="5"/>
        <v>0</v>
      </c>
      <c r="L21" s="3">
        <f t="shared" si="6"/>
        <v>0</v>
      </c>
      <c r="M21" s="3">
        <f t="shared" si="7"/>
        <v>0</v>
      </c>
      <c r="N21" s="3">
        <f t="shared" si="8"/>
        <v>0</v>
      </c>
      <c r="O21" s="3">
        <f t="shared" si="9"/>
        <v>0</v>
      </c>
      <c r="P21" s="18">
        <f t="shared" si="10"/>
        <v>0</v>
      </c>
      <c r="Q21" s="3" t="s">
        <v>495</v>
      </c>
      <c r="R21" s="3">
        <f t="shared" si="11"/>
        <v>0</v>
      </c>
      <c r="S21" s="3">
        <v>0</v>
      </c>
      <c r="T21" t="s">
        <v>481</v>
      </c>
    </row>
    <row r="22" spans="1:20" ht="15" customHeight="1" x14ac:dyDescent="0.25">
      <c r="A22" t="s">
        <v>151</v>
      </c>
      <c r="B22" t="s">
        <v>108</v>
      </c>
      <c r="C22" t="s">
        <v>146</v>
      </c>
      <c r="D22" s="2">
        <v>2.2302</v>
      </c>
      <c r="E22" s="3">
        <v>0</v>
      </c>
      <c r="F22" s="3">
        <f t="shared" si="0"/>
        <v>0</v>
      </c>
      <c r="G22" s="3">
        <f t="shared" si="1"/>
        <v>0</v>
      </c>
      <c r="H22" s="3">
        <f t="shared" si="2"/>
        <v>0</v>
      </c>
      <c r="I22" s="3">
        <f t="shared" si="3"/>
        <v>0</v>
      </c>
      <c r="J22" s="3">
        <f t="shared" si="4"/>
        <v>0</v>
      </c>
      <c r="K22" s="3">
        <f t="shared" si="5"/>
        <v>0</v>
      </c>
      <c r="L22" s="3">
        <f t="shared" si="6"/>
        <v>0</v>
      </c>
      <c r="M22" s="3">
        <f t="shared" si="7"/>
        <v>0</v>
      </c>
      <c r="N22" s="3">
        <f t="shared" si="8"/>
        <v>0</v>
      </c>
      <c r="O22" s="3">
        <f t="shared" si="9"/>
        <v>0</v>
      </c>
      <c r="P22" s="18">
        <f t="shared" si="10"/>
        <v>0</v>
      </c>
      <c r="Q22" s="3" t="s">
        <v>495</v>
      </c>
      <c r="R22" s="3">
        <f t="shared" si="11"/>
        <v>0</v>
      </c>
      <c r="S22" s="3">
        <v>0</v>
      </c>
      <c r="T22" t="s">
        <v>481</v>
      </c>
    </row>
    <row r="23" spans="1:20" ht="15" customHeight="1" x14ac:dyDescent="0.25">
      <c r="A23" t="s">
        <v>151</v>
      </c>
      <c r="B23" t="s">
        <v>122</v>
      </c>
      <c r="C23" t="s">
        <v>148</v>
      </c>
      <c r="D23" s="2">
        <v>59</v>
      </c>
      <c r="E23" s="3">
        <v>0</v>
      </c>
      <c r="F23" s="3">
        <f t="shared" si="0"/>
        <v>0</v>
      </c>
      <c r="G23" s="3">
        <f t="shared" si="1"/>
        <v>0</v>
      </c>
      <c r="H23" s="3">
        <f t="shared" si="2"/>
        <v>0</v>
      </c>
      <c r="I23" s="3">
        <f t="shared" si="3"/>
        <v>0</v>
      </c>
      <c r="J23" s="3">
        <f t="shared" si="4"/>
        <v>0</v>
      </c>
      <c r="K23" s="3">
        <f t="shared" si="5"/>
        <v>0</v>
      </c>
      <c r="L23" s="3">
        <f t="shared" si="6"/>
        <v>0</v>
      </c>
      <c r="M23" s="3">
        <f t="shared" si="7"/>
        <v>0</v>
      </c>
      <c r="N23" s="3">
        <f t="shared" si="8"/>
        <v>0</v>
      </c>
      <c r="O23" s="3">
        <f t="shared" si="9"/>
        <v>0</v>
      </c>
      <c r="P23" s="18">
        <f t="shared" si="10"/>
        <v>0</v>
      </c>
      <c r="Q23" s="3" t="s">
        <v>495</v>
      </c>
      <c r="R23" s="3">
        <f t="shared" si="11"/>
        <v>0</v>
      </c>
      <c r="S23" s="3">
        <v>0</v>
      </c>
      <c r="T23" t="s">
        <v>481</v>
      </c>
    </row>
    <row r="24" spans="1:20" ht="15" customHeight="1" x14ac:dyDescent="0.25">
      <c r="A24" t="s">
        <v>151</v>
      </c>
      <c r="B24" t="s">
        <v>124</v>
      </c>
      <c r="C24" t="s">
        <v>148</v>
      </c>
      <c r="D24" s="2">
        <v>118</v>
      </c>
      <c r="E24" s="3">
        <v>0</v>
      </c>
      <c r="F24" s="3">
        <f t="shared" si="0"/>
        <v>0</v>
      </c>
      <c r="G24" s="3">
        <f t="shared" si="1"/>
        <v>0</v>
      </c>
      <c r="H24" s="3">
        <f t="shared" si="2"/>
        <v>0</v>
      </c>
      <c r="I24" s="3">
        <f t="shared" si="3"/>
        <v>0</v>
      </c>
      <c r="J24" s="3">
        <f t="shared" si="4"/>
        <v>0</v>
      </c>
      <c r="K24" s="3">
        <f t="shared" si="5"/>
        <v>0</v>
      </c>
      <c r="L24" s="3">
        <f t="shared" si="6"/>
        <v>0</v>
      </c>
      <c r="M24" s="3">
        <f t="shared" si="7"/>
        <v>0</v>
      </c>
      <c r="N24" s="3">
        <f t="shared" si="8"/>
        <v>0</v>
      </c>
      <c r="O24" s="3">
        <f t="shared" si="9"/>
        <v>0</v>
      </c>
      <c r="P24" s="18">
        <f t="shared" si="10"/>
        <v>0</v>
      </c>
      <c r="Q24" s="3" t="s">
        <v>495</v>
      </c>
      <c r="R24" s="3">
        <f t="shared" si="11"/>
        <v>0</v>
      </c>
      <c r="S24" s="3">
        <v>0</v>
      </c>
      <c r="T24" t="s">
        <v>481</v>
      </c>
    </row>
    <row r="25" spans="1:20" ht="15" customHeight="1" x14ac:dyDescent="0.25">
      <c r="A25" t="s">
        <v>151</v>
      </c>
      <c r="B25" t="s">
        <v>111</v>
      </c>
      <c r="C25" t="s">
        <v>112</v>
      </c>
      <c r="D25" s="2">
        <v>197.178</v>
      </c>
      <c r="E25" s="3">
        <v>0</v>
      </c>
      <c r="F25" s="3">
        <f t="shared" si="0"/>
        <v>0</v>
      </c>
      <c r="G25" s="3">
        <f t="shared" si="1"/>
        <v>0</v>
      </c>
      <c r="H25" s="3">
        <f t="shared" si="2"/>
        <v>0</v>
      </c>
      <c r="I25" s="3">
        <f t="shared" si="3"/>
        <v>0</v>
      </c>
      <c r="J25" s="3">
        <f t="shared" si="4"/>
        <v>0</v>
      </c>
      <c r="K25" s="3">
        <f t="shared" si="5"/>
        <v>0</v>
      </c>
      <c r="L25" s="3">
        <f t="shared" si="6"/>
        <v>0</v>
      </c>
      <c r="M25" s="3">
        <f t="shared" si="7"/>
        <v>0</v>
      </c>
      <c r="N25" s="3">
        <f t="shared" si="8"/>
        <v>0</v>
      </c>
      <c r="O25" s="3">
        <f t="shared" si="9"/>
        <v>0</v>
      </c>
      <c r="P25" s="18">
        <f t="shared" si="10"/>
        <v>0</v>
      </c>
      <c r="Q25" s="3" t="s">
        <v>495</v>
      </c>
      <c r="R25" s="3">
        <f t="shared" si="11"/>
        <v>0</v>
      </c>
      <c r="S25" s="3">
        <v>0</v>
      </c>
      <c r="T25" t="s">
        <v>481</v>
      </c>
    </row>
    <row r="26" spans="1:20" ht="15" customHeight="1" x14ac:dyDescent="0.25">
      <c r="A26" t="s">
        <v>152</v>
      </c>
      <c r="B26" t="s">
        <v>247</v>
      </c>
      <c r="C26" t="s">
        <v>145</v>
      </c>
      <c r="D26" s="2">
        <v>550</v>
      </c>
      <c r="E26" s="3">
        <v>598.53200000000004</v>
      </c>
      <c r="F26" s="3">
        <f t="shared" si="0"/>
        <v>329192.60000000003</v>
      </c>
      <c r="G26" s="3">
        <f t="shared" si="1"/>
        <v>269830.00000000006</v>
      </c>
      <c r="H26" s="3">
        <f t="shared" si="2"/>
        <v>59362.599999999977</v>
      </c>
      <c r="I26" s="3">
        <f t="shared" si="3"/>
        <v>35077.900000000023</v>
      </c>
      <c r="J26" s="3">
        <f t="shared" si="4"/>
        <v>94440.500000000015</v>
      </c>
      <c r="K26" s="3">
        <f t="shared" si="5"/>
        <v>59362.600000000013</v>
      </c>
      <c r="L26" s="3">
        <f t="shared" si="6"/>
        <v>21586.400000000005</v>
      </c>
      <c r="M26" s="3">
        <f t="shared" si="7"/>
        <v>32379.600000000006</v>
      </c>
      <c r="N26" s="3">
        <f t="shared" si="8"/>
        <v>26983.000000000007</v>
      </c>
      <c r="O26" s="3">
        <f t="shared" si="9"/>
        <v>0</v>
      </c>
      <c r="P26" s="18">
        <f t="shared" si="10"/>
        <v>2.5129040240871117E-2</v>
      </c>
      <c r="Q26" s="3" t="s">
        <v>495</v>
      </c>
      <c r="R26" s="3">
        <f t="shared" si="11"/>
        <v>329192.60000000003</v>
      </c>
      <c r="S26" s="3">
        <v>0</v>
      </c>
      <c r="T26" t="s">
        <v>481</v>
      </c>
    </row>
    <row r="27" spans="1:20" ht="15" customHeight="1" x14ac:dyDescent="0.25">
      <c r="A27" t="s">
        <v>152</v>
      </c>
      <c r="B27" t="s">
        <v>254</v>
      </c>
      <c r="C27" t="s">
        <v>146</v>
      </c>
      <c r="D27" s="2">
        <v>5.5</v>
      </c>
      <c r="E27" s="3">
        <v>5261.2744000000002</v>
      </c>
      <c r="F27" s="3">
        <f t="shared" si="0"/>
        <v>28937.0092</v>
      </c>
      <c r="G27" s="3">
        <f t="shared" si="1"/>
        <v>23718.86</v>
      </c>
      <c r="H27" s="3">
        <f t="shared" si="2"/>
        <v>5218.1491999999998</v>
      </c>
      <c r="I27" s="3">
        <f t="shared" si="3"/>
        <v>3083.4518000000025</v>
      </c>
      <c r="J27" s="3">
        <f t="shared" si="4"/>
        <v>8301.6010000000006</v>
      </c>
      <c r="K27" s="3">
        <f t="shared" si="5"/>
        <v>5218.1491999999998</v>
      </c>
      <c r="L27" s="3">
        <f t="shared" si="6"/>
        <v>1897.5088000000001</v>
      </c>
      <c r="M27" s="3">
        <f t="shared" si="7"/>
        <v>2846.2631999999999</v>
      </c>
      <c r="N27" s="3">
        <f t="shared" si="8"/>
        <v>2371.886</v>
      </c>
      <c r="O27" s="3">
        <f t="shared" si="9"/>
        <v>0</v>
      </c>
      <c r="P27" s="18">
        <f t="shared" si="10"/>
        <v>2.2089174198850693E-3</v>
      </c>
      <c r="Q27" s="3" t="s">
        <v>495</v>
      </c>
      <c r="R27" s="3">
        <f t="shared" si="11"/>
        <v>28937.0092</v>
      </c>
      <c r="S27" s="3">
        <v>0</v>
      </c>
      <c r="T27" t="s">
        <v>481</v>
      </c>
    </row>
    <row r="28" spans="1:20" ht="15" customHeight="1" x14ac:dyDescent="0.25">
      <c r="A28" t="s">
        <v>152</v>
      </c>
      <c r="B28" t="s">
        <v>255</v>
      </c>
      <c r="C28" t="s">
        <v>146</v>
      </c>
      <c r="D28" s="2">
        <v>27.5</v>
      </c>
      <c r="E28" s="3">
        <v>20671.9728</v>
      </c>
      <c r="F28" s="3">
        <f t="shared" si="0"/>
        <v>568479.25199999998</v>
      </c>
      <c r="G28" s="3">
        <f t="shared" si="1"/>
        <v>465966.6</v>
      </c>
      <c r="H28" s="3">
        <f t="shared" si="2"/>
        <v>102512.652</v>
      </c>
      <c r="I28" s="3">
        <f t="shared" si="3"/>
        <v>60575.658000000054</v>
      </c>
      <c r="J28" s="3">
        <f t="shared" si="4"/>
        <v>163088.30999999997</v>
      </c>
      <c r="K28" s="3">
        <f t="shared" si="5"/>
        <v>102512.652</v>
      </c>
      <c r="L28" s="3">
        <f t="shared" si="6"/>
        <v>37277.328000000001</v>
      </c>
      <c r="M28" s="3">
        <f t="shared" si="7"/>
        <v>55915.991999999998</v>
      </c>
      <c r="N28" s="3">
        <f t="shared" si="8"/>
        <v>46596.66</v>
      </c>
      <c r="O28" s="3">
        <f t="shared" si="9"/>
        <v>0</v>
      </c>
      <c r="P28" s="18">
        <f t="shared" si="10"/>
        <v>4.3395076315835501E-2</v>
      </c>
      <c r="Q28" s="3" t="s">
        <v>495</v>
      </c>
      <c r="R28" s="3">
        <f t="shared" si="11"/>
        <v>568479.25199999998</v>
      </c>
      <c r="S28" s="3">
        <v>0</v>
      </c>
      <c r="T28" t="s">
        <v>481</v>
      </c>
    </row>
    <row r="29" spans="1:20" ht="15" customHeight="1" x14ac:dyDescent="0.25">
      <c r="A29" t="s">
        <v>152</v>
      </c>
      <c r="B29" t="s">
        <v>256</v>
      </c>
      <c r="C29" t="s">
        <v>145</v>
      </c>
      <c r="D29" s="2">
        <v>550</v>
      </c>
      <c r="E29" s="3">
        <v>1741.6964</v>
      </c>
      <c r="F29" s="3">
        <f t="shared" si="0"/>
        <v>957933.02</v>
      </c>
      <c r="G29" s="3">
        <f t="shared" si="1"/>
        <v>785191</v>
      </c>
      <c r="H29" s="3">
        <f t="shared" si="2"/>
        <v>172742.02000000002</v>
      </c>
      <c r="I29" s="3">
        <f t="shared" si="3"/>
        <v>102074.82999999996</v>
      </c>
      <c r="J29" s="3">
        <f t="shared" si="4"/>
        <v>274816.84999999998</v>
      </c>
      <c r="K29" s="3">
        <f t="shared" si="5"/>
        <v>172742.02</v>
      </c>
      <c r="L29" s="3">
        <f t="shared" si="6"/>
        <v>62815.28</v>
      </c>
      <c r="M29" s="3">
        <f t="shared" si="7"/>
        <v>94222.92</v>
      </c>
      <c r="N29" s="3">
        <f t="shared" si="8"/>
        <v>78519.100000000006</v>
      </c>
      <c r="O29" s="3">
        <f t="shared" si="9"/>
        <v>0</v>
      </c>
      <c r="P29" s="18">
        <f t="shared" si="10"/>
        <v>7.3124175354000037E-2</v>
      </c>
      <c r="Q29" s="3" t="s">
        <v>495</v>
      </c>
      <c r="R29" s="3">
        <f t="shared" si="11"/>
        <v>957933.02</v>
      </c>
      <c r="S29" s="3">
        <v>0</v>
      </c>
      <c r="T29" t="s">
        <v>481</v>
      </c>
    </row>
    <row r="30" spans="1:20" ht="15" customHeight="1" x14ac:dyDescent="0.25">
      <c r="A30" t="s">
        <v>152</v>
      </c>
      <c r="B30" t="s">
        <v>257</v>
      </c>
      <c r="C30" t="s">
        <v>112</v>
      </c>
      <c r="D30" s="2">
        <v>7177.5</v>
      </c>
      <c r="E30" s="3">
        <v>148.2056</v>
      </c>
      <c r="F30" s="3">
        <f t="shared" si="0"/>
        <v>1063745.6940000001</v>
      </c>
      <c r="G30" s="3">
        <f t="shared" si="1"/>
        <v>871922.70000000019</v>
      </c>
      <c r="H30" s="3">
        <f t="shared" si="2"/>
        <v>191822.99399999995</v>
      </c>
      <c r="I30" s="3">
        <f t="shared" si="3"/>
        <v>113349.951</v>
      </c>
      <c r="J30" s="3">
        <f t="shared" si="4"/>
        <v>305172.94500000007</v>
      </c>
      <c r="K30" s="3">
        <f t="shared" si="5"/>
        <v>191822.99400000004</v>
      </c>
      <c r="L30" s="3">
        <f t="shared" si="6"/>
        <v>69753.816000000021</v>
      </c>
      <c r="M30" s="3">
        <f t="shared" si="7"/>
        <v>104630.72400000002</v>
      </c>
      <c r="N30" s="3">
        <f t="shared" si="8"/>
        <v>87192.270000000019</v>
      </c>
      <c r="O30" s="3">
        <f t="shared" si="9"/>
        <v>0</v>
      </c>
      <c r="P30" s="18">
        <f t="shared" si="10"/>
        <v>8.1201425398321148E-2</v>
      </c>
      <c r="Q30" s="3" t="s">
        <v>495</v>
      </c>
      <c r="R30" s="3">
        <f t="shared" si="11"/>
        <v>1063745.6940000001</v>
      </c>
      <c r="S30" s="3">
        <v>0</v>
      </c>
      <c r="T30" t="s">
        <v>481</v>
      </c>
    </row>
    <row r="31" spans="1:20" ht="15" customHeight="1" x14ac:dyDescent="0.25">
      <c r="A31" t="s">
        <v>152</v>
      </c>
      <c r="B31" t="s">
        <v>258</v>
      </c>
      <c r="C31" t="s">
        <v>146</v>
      </c>
      <c r="D31" s="2">
        <v>165</v>
      </c>
      <c r="E31" s="3">
        <v>27220.091</v>
      </c>
      <c r="F31" s="3">
        <f t="shared" si="0"/>
        <v>4491315.0149999997</v>
      </c>
      <c r="G31" s="3">
        <f t="shared" si="1"/>
        <v>3681405.75</v>
      </c>
      <c r="H31" s="3">
        <f t="shared" si="2"/>
        <v>809909.26499999966</v>
      </c>
      <c r="I31" s="3">
        <f t="shared" si="3"/>
        <v>478582.74750000006</v>
      </c>
      <c r="J31" s="3">
        <f t="shared" si="4"/>
        <v>1288492.0125</v>
      </c>
      <c r="K31" s="3">
        <f t="shared" si="5"/>
        <v>809909.26500000001</v>
      </c>
      <c r="L31" s="3">
        <f t="shared" si="6"/>
        <v>294512.46000000002</v>
      </c>
      <c r="M31" s="3">
        <f t="shared" si="7"/>
        <v>441768.69</v>
      </c>
      <c r="N31" s="3">
        <f t="shared" si="8"/>
        <v>368140.57500000001</v>
      </c>
      <c r="O31" s="3">
        <f t="shared" si="9"/>
        <v>0</v>
      </c>
      <c r="P31" s="18">
        <f t="shared" si="10"/>
        <v>0.34284621144692695</v>
      </c>
      <c r="Q31" s="3" t="s">
        <v>495</v>
      </c>
      <c r="R31" s="3">
        <f t="shared" si="11"/>
        <v>4491315.0149999997</v>
      </c>
      <c r="S31" s="3">
        <v>0</v>
      </c>
      <c r="T31" t="s">
        <v>481</v>
      </c>
    </row>
    <row r="32" spans="1:20" ht="15" customHeight="1" x14ac:dyDescent="0.25">
      <c r="A32" t="s">
        <v>152</v>
      </c>
      <c r="B32" t="s">
        <v>259</v>
      </c>
      <c r="C32" t="s">
        <v>145</v>
      </c>
      <c r="D32" s="2">
        <v>550</v>
      </c>
      <c r="E32" s="3">
        <v>2551.5567999999998</v>
      </c>
      <c r="F32" s="3">
        <f t="shared" si="0"/>
        <v>1403356.24</v>
      </c>
      <c r="G32" s="3">
        <f t="shared" si="1"/>
        <v>1150292</v>
      </c>
      <c r="H32" s="3">
        <f t="shared" si="2"/>
        <v>253064.24</v>
      </c>
      <c r="I32" s="3">
        <f t="shared" si="3"/>
        <v>149537.95999999996</v>
      </c>
      <c r="J32" s="3">
        <f t="shared" si="4"/>
        <v>402602.19999999995</v>
      </c>
      <c r="K32" s="3">
        <f t="shared" si="5"/>
        <v>253064.24</v>
      </c>
      <c r="L32" s="3">
        <f t="shared" si="6"/>
        <v>92023.360000000001</v>
      </c>
      <c r="M32" s="3">
        <f t="shared" si="7"/>
        <v>138035.04</v>
      </c>
      <c r="N32" s="3">
        <f t="shared" si="8"/>
        <v>115029.20000000001</v>
      </c>
      <c r="O32" s="3">
        <f t="shared" si="9"/>
        <v>0</v>
      </c>
      <c r="P32" s="18">
        <f t="shared" si="10"/>
        <v>0.10712572344347224</v>
      </c>
      <c r="Q32" s="3" t="s">
        <v>495</v>
      </c>
      <c r="R32" s="3">
        <f t="shared" si="11"/>
        <v>1403356.24</v>
      </c>
      <c r="S32" s="3">
        <v>0</v>
      </c>
      <c r="T32" t="s">
        <v>481</v>
      </c>
    </row>
    <row r="33" spans="1:20" ht="15" customHeight="1" x14ac:dyDescent="0.25">
      <c r="A33" t="s">
        <v>152</v>
      </c>
      <c r="B33" t="s">
        <v>153</v>
      </c>
      <c r="C33" t="s">
        <v>146</v>
      </c>
      <c r="D33" s="2">
        <v>6.05</v>
      </c>
      <c r="E33" s="3">
        <v>0</v>
      </c>
      <c r="F33" s="3">
        <f t="shared" si="0"/>
        <v>0</v>
      </c>
      <c r="G33" s="3">
        <f t="shared" si="1"/>
        <v>0</v>
      </c>
      <c r="H33" s="3">
        <f t="shared" si="2"/>
        <v>0</v>
      </c>
      <c r="I33" s="3">
        <f t="shared" si="3"/>
        <v>0</v>
      </c>
      <c r="J33" s="3">
        <f t="shared" si="4"/>
        <v>0</v>
      </c>
      <c r="K33" s="3">
        <f t="shared" si="5"/>
        <v>0</v>
      </c>
      <c r="L33" s="3">
        <f t="shared" si="6"/>
        <v>0</v>
      </c>
      <c r="M33" s="3">
        <f t="shared" si="7"/>
        <v>0</v>
      </c>
      <c r="N33" s="3">
        <f t="shared" si="8"/>
        <v>0</v>
      </c>
      <c r="O33" s="3">
        <f t="shared" si="9"/>
        <v>0</v>
      </c>
      <c r="P33" s="18">
        <f t="shared" si="10"/>
        <v>0</v>
      </c>
      <c r="Q33" s="3" t="s">
        <v>495</v>
      </c>
      <c r="R33" s="3">
        <f t="shared" si="11"/>
        <v>0</v>
      </c>
      <c r="S33" s="3">
        <v>0</v>
      </c>
      <c r="T33" t="s">
        <v>481</v>
      </c>
    </row>
    <row r="34" spans="1:20" ht="15" customHeight="1" x14ac:dyDescent="0.25">
      <c r="A34" t="s">
        <v>152</v>
      </c>
      <c r="B34" t="s">
        <v>154</v>
      </c>
      <c r="C34" t="s">
        <v>146</v>
      </c>
      <c r="D34" s="2">
        <v>27.5</v>
      </c>
      <c r="E34" s="3">
        <v>0</v>
      </c>
      <c r="F34" s="3">
        <f t="shared" si="0"/>
        <v>0</v>
      </c>
      <c r="G34" s="3">
        <f t="shared" si="1"/>
        <v>0</v>
      </c>
      <c r="H34" s="3">
        <f t="shared" si="2"/>
        <v>0</v>
      </c>
      <c r="I34" s="3">
        <f t="shared" si="3"/>
        <v>0</v>
      </c>
      <c r="J34" s="3">
        <f t="shared" si="4"/>
        <v>0</v>
      </c>
      <c r="K34" s="3">
        <f t="shared" si="5"/>
        <v>0</v>
      </c>
      <c r="L34" s="3">
        <f t="shared" si="6"/>
        <v>0</v>
      </c>
      <c r="M34" s="3">
        <f t="shared" si="7"/>
        <v>0</v>
      </c>
      <c r="N34" s="3">
        <f t="shared" si="8"/>
        <v>0</v>
      </c>
      <c r="O34" s="3">
        <f t="shared" si="9"/>
        <v>0</v>
      </c>
      <c r="P34" s="18">
        <f t="shared" si="10"/>
        <v>0</v>
      </c>
      <c r="Q34" s="3" t="s">
        <v>495</v>
      </c>
      <c r="R34" s="3">
        <f t="shared" si="11"/>
        <v>0</v>
      </c>
      <c r="S34" s="3">
        <v>0</v>
      </c>
      <c r="T34" t="s">
        <v>481</v>
      </c>
    </row>
    <row r="35" spans="1:20" ht="15" customHeight="1" x14ac:dyDescent="0.25">
      <c r="A35" t="s">
        <v>152</v>
      </c>
      <c r="B35" t="s">
        <v>155</v>
      </c>
      <c r="C35" t="s">
        <v>112</v>
      </c>
      <c r="D35" s="2">
        <v>1650</v>
      </c>
      <c r="E35" s="3">
        <v>0</v>
      </c>
      <c r="F35" s="3">
        <f t="shared" si="0"/>
        <v>0</v>
      </c>
      <c r="G35" s="3">
        <f t="shared" si="1"/>
        <v>0</v>
      </c>
      <c r="H35" s="3">
        <f t="shared" si="2"/>
        <v>0</v>
      </c>
      <c r="I35" s="3">
        <f t="shared" si="3"/>
        <v>0</v>
      </c>
      <c r="J35" s="3">
        <f t="shared" si="4"/>
        <v>0</v>
      </c>
      <c r="K35" s="3">
        <f t="shared" si="5"/>
        <v>0</v>
      </c>
      <c r="L35" s="3">
        <f t="shared" si="6"/>
        <v>0</v>
      </c>
      <c r="M35" s="3">
        <f t="shared" si="7"/>
        <v>0</v>
      </c>
      <c r="N35" s="3">
        <f t="shared" si="8"/>
        <v>0</v>
      </c>
      <c r="O35" s="3">
        <f t="shared" si="9"/>
        <v>0</v>
      </c>
      <c r="P35" s="18">
        <f t="shared" si="10"/>
        <v>0</v>
      </c>
      <c r="Q35" s="3" t="s">
        <v>495</v>
      </c>
      <c r="R35" s="3">
        <f t="shared" si="11"/>
        <v>0</v>
      </c>
      <c r="S35" s="3">
        <v>0</v>
      </c>
      <c r="T35" t="s">
        <v>481</v>
      </c>
    </row>
    <row r="36" spans="1:20" ht="15" customHeight="1" x14ac:dyDescent="0.25">
      <c r="A36" t="s">
        <v>152</v>
      </c>
      <c r="B36" t="s">
        <v>156</v>
      </c>
      <c r="C36" t="s">
        <v>112</v>
      </c>
      <c r="D36" s="2">
        <v>6264.5</v>
      </c>
      <c r="E36" s="3">
        <v>0</v>
      </c>
      <c r="F36" s="3">
        <f t="shared" si="0"/>
        <v>0</v>
      </c>
      <c r="G36" s="3">
        <f t="shared" si="1"/>
        <v>0</v>
      </c>
      <c r="H36" s="3">
        <f t="shared" si="2"/>
        <v>0</v>
      </c>
      <c r="I36" s="3">
        <f t="shared" si="3"/>
        <v>0</v>
      </c>
      <c r="J36" s="3">
        <f t="shared" si="4"/>
        <v>0</v>
      </c>
      <c r="K36" s="3">
        <f t="shared" si="5"/>
        <v>0</v>
      </c>
      <c r="L36" s="3">
        <f t="shared" si="6"/>
        <v>0</v>
      </c>
      <c r="M36" s="3">
        <f t="shared" si="7"/>
        <v>0</v>
      </c>
      <c r="N36" s="3">
        <f t="shared" si="8"/>
        <v>0</v>
      </c>
      <c r="O36" s="3">
        <f t="shared" si="9"/>
        <v>0</v>
      </c>
      <c r="P36" s="18">
        <f t="shared" si="10"/>
        <v>0</v>
      </c>
      <c r="Q36" s="3" t="s">
        <v>495</v>
      </c>
      <c r="R36" s="3">
        <f t="shared" si="11"/>
        <v>0</v>
      </c>
      <c r="S36" s="3">
        <v>0</v>
      </c>
      <c r="T36" t="s">
        <v>481</v>
      </c>
    </row>
    <row r="37" spans="1:20" ht="15" customHeight="1" x14ac:dyDescent="0.25">
      <c r="A37" t="s">
        <v>152</v>
      </c>
      <c r="B37" t="s">
        <v>157</v>
      </c>
      <c r="C37" t="s">
        <v>112</v>
      </c>
      <c r="D37" s="2">
        <v>913</v>
      </c>
      <c r="E37" s="3">
        <v>0</v>
      </c>
      <c r="F37" s="3">
        <f t="shared" si="0"/>
        <v>0</v>
      </c>
      <c r="G37" s="3">
        <f t="shared" si="1"/>
        <v>0</v>
      </c>
      <c r="H37" s="3">
        <f t="shared" si="2"/>
        <v>0</v>
      </c>
      <c r="I37" s="3">
        <f t="shared" si="3"/>
        <v>0</v>
      </c>
      <c r="J37" s="3">
        <f t="shared" si="4"/>
        <v>0</v>
      </c>
      <c r="K37" s="3">
        <f t="shared" si="5"/>
        <v>0</v>
      </c>
      <c r="L37" s="3">
        <f t="shared" si="6"/>
        <v>0</v>
      </c>
      <c r="M37" s="3">
        <f t="shared" si="7"/>
        <v>0</v>
      </c>
      <c r="N37" s="3">
        <f t="shared" si="8"/>
        <v>0</v>
      </c>
      <c r="O37" s="3">
        <f t="shared" si="9"/>
        <v>0</v>
      </c>
      <c r="P37" s="18">
        <f t="shared" si="10"/>
        <v>0</v>
      </c>
      <c r="Q37" s="3" t="s">
        <v>495</v>
      </c>
      <c r="R37" s="3">
        <f t="shared" si="11"/>
        <v>0</v>
      </c>
      <c r="S37" s="3">
        <v>0</v>
      </c>
      <c r="T37" t="s">
        <v>481</v>
      </c>
    </row>
    <row r="38" spans="1:20" ht="15" customHeight="1" x14ac:dyDescent="0.25">
      <c r="A38" t="s">
        <v>152</v>
      </c>
      <c r="B38" t="s">
        <v>158</v>
      </c>
      <c r="C38" t="s">
        <v>146</v>
      </c>
      <c r="D38" s="2">
        <v>165</v>
      </c>
      <c r="E38" s="3">
        <v>0</v>
      </c>
      <c r="F38" s="3">
        <f t="shared" si="0"/>
        <v>0</v>
      </c>
      <c r="G38" s="3">
        <f t="shared" si="1"/>
        <v>0</v>
      </c>
      <c r="H38" s="3">
        <f t="shared" si="2"/>
        <v>0</v>
      </c>
      <c r="I38" s="3">
        <f t="shared" si="3"/>
        <v>0</v>
      </c>
      <c r="J38" s="3">
        <f t="shared" si="4"/>
        <v>0</v>
      </c>
      <c r="K38" s="3">
        <f t="shared" si="5"/>
        <v>0</v>
      </c>
      <c r="L38" s="3">
        <f t="shared" si="6"/>
        <v>0</v>
      </c>
      <c r="M38" s="3">
        <f t="shared" si="7"/>
        <v>0</v>
      </c>
      <c r="N38" s="3">
        <f t="shared" si="8"/>
        <v>0</v>
      </c>
      <c r="O38" s="3">
        <f t="shared" si="9"/>
        <v>0</v>
      </c>
      <c r="P38" s="18">
        <f t="shared" si="10"/>
        <v>0</v>
      </c>
      <c r="Q38" s="3" t="s">
        <v>495</v>
      </c>
      <c r="R38" s="3">
        <f t="shared" si="11"/>
        <v>0</v>
      </c>
      <c r="S38" s="3">
        <v>0</v>
      </c>
      <c r="T38" t="s">
        <v>481</v>
      </c>
    </row>
    <row r="39" spans="1:20" ht="15" customHeight="1" x14ac:dyDescent="0.25">
      <c r="A39" t="s">
        <v>152</v>
      </c>
      <c r="B39" t="s">
        <v>159</v>
      </c>
      <c r="C39" t="s">
        <v>112</v>
      </c>
      <c r="D39" s="2">
        <v>2200</v>
      </c>
      <c r="E39" s="3">
        <v>0</v>
      </c>
      <c r="F39" s="3">
        <f t="shared" si="0"/>
        <v>0</v>
      </c>
      <c r="G39" s="3">
        <f t="shared" si="1"/>
        <v>0</v>
      </c>
      <c r="H39" s="3">
        <f t="shared" si="2"/>
        <v>0</v>
      </c>
      <c r="I39" s="3">
        <f t="shared" si="3"/>
        <v>0</v>
      </c>
      <c r="J39" s="3">
        <f t="shared" si="4"/>
        <v>0</v>
      </c>
      <c r="K39" s="3">
        <f t="shared" si="5"/>
        <v>0</v>
      </c>
      <c r="L39" s="3">
        <f t="shared" si="6"/>
        <v>0</v>
      </c>
      <c r="M39" s="3">
        <f t="shared" si="7"/>
        <v>0</v>
      </c>
      <c r="N39" s="3">
        <f t="shared" si="8"/>
        <v>0</v>
      </c>
      <c r="O39" s="3">
        <f t="shared" si="9"/>
        <v>0</v>
      </c>
      <c r="P39" s="18">
        <f t="shared" si="10"/>
        <v>0</v>
      </c>
      <c r="Q39" s="3" t="s">
        <v>495</v>
      </c>
      <c r="R39" s="3">
        <f t="shared" si="11"/>
        <v>0</v>
      </c>
      <c r="S39" s="3">
        <v>0</v>
      </c>
      <c r="T39" t="s">
        <v>481</v>
      </c>
    </row>
    <row r="40" spans="1:20" ht="15" customHeight="1" x14ac:dyDescent="0.25">
      <c r="A40" t="s">
        <v>152</v>
      </c>
      <c r="B40" t="s">
        <v>161</v>
      </c>
      <c r="C40" t="s">
        <v>132</v>
      </c>
      <c r="D40" s="2">
        <v>4.2</v>
      </c>
      <c r="E40" s="3">
        <v>0</v>
      </c>
      <c r="F40" s="3">
        <f t="shared" si="0"/>
        <v>0</v>
      </c>
      <c r="G40" s="3">
        <f t="shared" si="1"/>
        <v>0</v>
      </c>
      <c r="H40" s="3">
        <f t="shared" si="2"/>
        <v>0</v>
      </c>
      <c r="I40" s="3">
        <f t="shared" si="3"/>
        <v>0</v>
      </c>
      <c r="J40" s="3">
        <f t="shared" si="4"/>
        <v>0</v>
      </c>
      <c r="K40" s="3">
        <f t="shared" si="5"/>
        <v>0</v>
      </c>
      <c r="L40" s="3">
        <f t="shared" si="6"/>
        <v>0</v>
      </c>
      <c r="M40" s="3">
        <f t="shared" si="7"/>
        <v>0</v>
      </c>
      <c r="N40" s="3">
        <f t="shared" si="8"/>
        <v>0</v>
      </c>
      <c r="O40" s="3">
        <f t="shared" si="9"/>
        <v>0</v>
      </c>
      <c r="P40" s="18">
        <f t="shared" si="10"/>
        <v>0</v>
      </c>
      <c r="Q40" s="3" t="s">
        <v>495</v>
      </c>
      <c r="R40" s="3">
        <f t="shared" si="11"/>
        <v>0</v>
      </c>
      <c r="S40" s="3">
        <v>0</v>
      </c>
      <c r="T40" t="s">
        <v>481</v>
      </c>
    </row>
    <row r="41" spans="1:20" ht="15" customHeight="1" x14ac:dyDescent="0.25">
      <c r="A41" t="s">
        <v>152</v>
      </c>
      <c r="B41" t="s">
        <v>163</v>
      </c>
      <c r="C41" t="s">
        <v>132</v>
      </c>
      <c r="D41" s="2">
        <v>0.18</v>
      </c>
      <c r="E41" s="3">
        <v>0</v>
      </c>
      <c r="F41" s="3">
        <f t="shared" si="0"/>
        <v>0</v>
      </c>
      <c r="G41" s="3">
        <f t="shared" si="1"/>
        <v>0</v>
      </c>
      <c r="H41" s="3">
        <f t="shared" si="2"/>
        <v>0</v>
      </c>
      <c r="I41" s="3">
        <f t="shared" si="3"/>
        <v>0</v>
      </c>
      <c r="J41" s="3">
        <f t="shared" si="4"/>
        <v>0</v>
      </c>
      <c r="K41" s="3">
        <f t="shared" si="5"/>
        <v>0</v>
      </c>
      <c r="L41" s="3">
        <f t="shared" si="6"/>
        <v>0</v>
      </c>
      <c r="M41" s="3">
        <f t="shared" si="7"/>
        <v>0</v>
      </c>
      <c r="N41" s="3">
        <f t="shared" si="8"/>
        <v>0</v>
      </c>
      <c r="O41" s="3">
        <f t="shared" si="9"/>
        <v>0</v>
      </c>
      <c r="P41" s="18">
        <f t="shared" si="10"/>
        <v>0</v>
      </c>
      <c r="Q41" s="3" t="s">
        <v>495</v>
      </c>
      <c r="R41" s="3">
        <f t="shared" si="11"/>
        <v>0</v>
      </c>
      <c r="S41" s="3">
        <v>0</v>
      </c>
      <c r="T41" t="s">
        <v>481</v>
      </c>
    </row>
    <row r="42" spans="1:20" ht="15" customHeight="1" x14ac:dyDescent="0.25">
      <c r="A42" t="s">
        <v>152</v>
      </c>
      <c r="B42" t="s">
        <v>133</v>
      </c>
      <c r="C42" t="s">
        <v>146</v>
      </c>
      <c r="D42" s="2">
        <v>2.3519999999999999E-2</v>
      </c>
      <c r="E42" s="3">
        <v>0</v>
      </c>
      <c r="F42" s="3">
        <f t="shared" si="0"/>
        <v>0</v>
      </c>
      <c r="G42" s="3">
        <f t="shared" si="1"/>
        <v>0</v>
      </c>
      <c r="H42" s="3">
        <f t="shared" si="2"/>
        <v>0</v>
      </c>
      <c r="I42" s="3">
        <f t="shared" si="3"/>
        <v>0</v>
      </c>
      <c r="J42" s="3">
        <f t="shared" si="4"/>
        <v>0</v>
      </c>
      <c r="K42" s="3">
        <f t="shared" si="5"/>
        <v>0</v>
      </c>
      <c r="L42" s="3">
        <f t="shared" si="6"/>
        <v>0</v>
      </c>
      <c r="M42" s="3">
        <f t="shared" si="7"/>
        <v>0</v>
      </c>
      <c r="N42" s="3">
        <f t="shared" si="8"/>
        <v>0</v>
      </c>
      <c r="O42" s="3">
        <f t="shared" si="9"/>
        <v>0</v>
      </c>
      <c r="P42" s="18">
        <f t="shared" si="10"/>
        <v>0</v>
      </c>
      <c r="Q42" s="3" t="s">
        <v>495</v>
      </c>
      <c r="R42" s="3">
        <f t="shared" si="11"/>
        <v>0</v>
      </c>
      <c r="S42" s="3">
        <v>0</v>
      </c>
      <c r="T42" t="s">
        <v>481</v>
      </c>
    </row>
    <row r="43" spans="1:20" ht="15" customHeight="1" x14ac:dyDescent="0.25">
      <c r="A43" t="s">
        <v>165</v>
      </c>
      <c r="B43" t="s">
        <v>264</v>
      </c>
      <c r="C43" t="s">
        <v>123</v>
      </c>
      <c r="D43" s="2">
        <v>106</v>
      </c>
      <c r="E43" s="3">
        <v>352.75080000000003</v>
      </c>
      <c r="F43" s="3">
        <f t="shared" si="0"/>
        <v>37391.584800000004</v>
      </c>
      <c r="G43" s="3">
        <f t="shared" si="1"/>
        <v>30648.840000000004</v>
      </c>
      <c r="H43" s="3">
        <f t="shared" si="2"/>
        <v>6742.7448000000004</v>
      </c>
      <c r="I43" s="3">
        <f t="shared" si="3"/>
        <v>3984.3492000000006</v>
      </c>
      <c r="J43" s="3">
        <f t="shared" si="4"/>
        <v>10727.094000000001</v>
      </c>
      <c r="K43" s="3">
        <f t="shared" si="5"/>
        <v>6742.7448000000013</v>
      </c>
      <c r="L43" s="3">
        <f t="shared" si="6"/>
        <v>2451.9072000000006</v>
      </c>
      <c r="M43" s="3">
        <f t="shared" si="7"/>
        <v>3677.8608000000004</v>
      </c>
      <c r="N43" s="3">
        <f t="shared" si="8"/>
        <v>3064.8840000000005</v>
      </c>
      <c r="O43" s="3">
        <f t="shared" si="9"/>
        <v>0</v>
      </c>
      <c r="P43" s="18">
        <f t="shared" si="10"/>
        <v>2.8543006103695671E-3</v>
      </c>
      <c r="Q43" s="3" t="s">
        <v>495</v>
      </c>
      <c r="R43" s="3">
        <f t="shared" si="11"/>
        <v>37391.584800000004</v>
      </c>
      <c r="S43" s="3">
        <v>0</v>
      </c>
      <c r="T43" t="s">
        <v>481</v>
      </c>
    </row>
    <row r="44" spans="1:20" ht="15" customHeight="1" x14ac:dyDescent="0.25">
      <c r="A44" t="s">
        <v>165</v>
      </c>
      <c r="B44" t="s">
        <v>166</v>
      </c>
      <c r="C44" t="s">
        <v>145</v>
      </c>
      <c r="D44" s="2">
        <v>31.8</v>
      </c>
      <c r="E44" s="3">
        <v>0</v>
      </c>
      <c r="F44" s="3">
        <f t="shared" si="0"/>
        <v>0</v>
      </c>
      <c r="G44" s="3">
        <f t="shared" si="1"/>
        <v>0</v>
      </c>
      <c r="H44" s="3">
        <f t="shared" si="2"/>
        <v>0</v>
      </c>
      <c r="I44" s="3">
        <f t="shared" si="3"/>
        <v>0</v>
      </c>
      <c r="J44" s="3">
        <f t="shared" si="4"/>
        <v>0</v>
      </c>
      <c r="K44" s="3">
        <f t="shared" si="5"/>
        <v>0</v>
      </c>
      <c r="L44" s="3">
        <f t="shared" si="6"/>
        <v>0</v>
      </c>
      <c r="M44" s="3">
        <f t="shared" si="7"/>
        <v>0</v>
      </c>
      <c r="N44" s="3">
        <f t="shared" si="8"/>
        <v>0</v>
      </c>
      <c r="O44" s="3">
        <f t="shared" si="9"/>
        <v>0</v>
      </c>
      <c r="P44" s="18">
        <f t="shared" si="10"/>
        <v>0</v>
      </c>
      <c r="Q44" s="3" t="s">
        <v>495</v>
      </c>
      <c r="R44" s="3">
        <f t="shared" si="11"/>
        <v>0</v>
      </c>
      <c r="S44" s="3">
        <v>0</v>
      </c>
      <c r="T44" t="s">
        <v>481</v>
      </c>
    </row>
    <row r="45" spans="1:20" ht="15" customHeight="1" x14ac:dyDescent="0.25">
      <c r="A45" t="s">
        <v>165</v>
      </c>
      <c r="B45" t="s">
        <v>168</v>
      </c>
      <c r="C45" t="s">
        <v>123</v>
      </c>
      <c r="D45" s="2">
        <v>12</v>
      </c>
      <c r="E45" s="3">
        <v>0</v>
      </c>
      <c r="F45" s="3">
        <f t="shared" si="0"/>
        <v>0</v>
      </c>
      <c r="G45" s="3">
        <f t="shared" si="1"/>
        <v>0</v>
      </c>
      <c r="H45" s="3">
        <f t="shared" si="2"/>
        <v>0</v>
      </c>
      <c r="I45" s="3">
        <f t="shared" si="3"/>
        <v>0</v>
      </c>
      <c r="J45" s="3">
        <f t="shared" si="4"/>
        <v>0</v>
      </c>
      <c r="K45" s="3">
        <f t="shared" si="5"/>
        <v>0</v>
      </c>
      <c r="L45" s="3">
        <f t="shared" si="6"/>
        <v>0</v>
      </c>
      <c r="M45" s="3">
        <f t="shared" si="7"/>
        <v>0</v>
      </c>
      <c r="N45" s="3">
        <f t="shared" si="8"/>
        <v>0</v>
      </c>
      <c r="O45" s="3">
        <f t="shared" si="9"/>
        <v>0</v>
      </c>
      <c r="P45" s="18">
        <f t="shared" si="10"/>
        <v>0</v>
      </c>
      <c r="Q45" s="3" t="s">
        <v>495</v>
      </c>
      <c r="R45" s="3">
        <f t="shared" si="11"/>
        <v>0</v>
      </c>
      <c r="S45" s="3">
        <v>0</v>
      </c>
      <c r="T45" t="s">
        <v>481</v>
      </c>
    </row>
    <row r="46" spans="1:20" ht="15" customHeight="1" x14ac:dyDescent="0.25">
      <c r="A46" t="s">
        <v>165</v>
      </c>
      <c r="B46" t="s">
        <v>161</v>
      </c>
      <c r="C46" t="s">
        <v>132</v>
      </c>
      <c r="D46" s="2">
        <v>4.2</v>
      </c>
      <c r="E46" s="3">
        <v>0</v>
      </c>
      <c r="F46" s="3">
        <f t="shared" si="0"/>
        <v>0</v>
      </c>
      <c r="G46" s="3">
        <f t="shared" si="1"/>
        <v>0</v>
      </c>
      <c r="H46" s="3">
        <f t="shared" si="2"/>
        <v>0</v>
      </c>
      <c r="I46" s="3">
        <f t="shared" si="3"/>
        <v>0</v>
      </c>
      <c r="J46" s="3">
        <f t="shared" si="4"/>
        <v>0</v>
      </c>
      <c r="K46" s="3">
        <f t="shared" si="5"/>
        <v>0</v>
      </c>
      <c r="L46" s="3">
        <f t="shared" si="6"/>
        <v>0</v>
      </c>
      <c r="M46" s="3">
        <f t="shared" si="7"/>
        <v>0</v>
      </c>
      <c r="N46" s="3">
        <f t="shared" si="8"/>
        <v>0</v>
      </c>
      <c r="O46" s="3">
        <f t="shared" si="9"/>
        <v>0</v>
      </c>
      <c r="P46" s="18">
        <f t="shared" si="10"/>
        <v>0</v>
      </c>
      <c r="Q46" s="3" t="s">
        <v>495</v>
      </c>
      <c r="R46" s="3">
        <f t="shared" si="11"/>
        <v>0</v>
      </c>
      <c r="S46" s="3">
        <v>0</v>
      </c>
      <c r="T46" t="s">
        <v>481</v>
      </c>
    </row>
    <row r="47" spans="1:20" ht="15" customHeight="1" x14ac:dyDescent="0.25">
      <c r="A47" t="s">
        <v>165</v>
      </c>
      <c r="B47" t="s">
        <v>163</v>
      </c>
      <c r="C47" t="s">
        <v>132</v>
      </c>
      <c r="D47" s="2">
        <v>0.18</v>
      </c>
      <c r="E47" s="3">
        <v>0</v>
      </c>
      <c r="F47" s="3">
        <f t="shared" si="0"/>
        <v>0</v>
      </c>
      <c r="G47" s="3">
        <f t="shared" si="1"/>
        <v>0</v>
      </c>
      <c r="H47" s="3">
        <f t="shared" si="2"/>
        <v>0</v>
      </c>
      <c r="I47" s="3">
        <f t="shared" si="3"/>
        <v>0</v>
      </c>
      <c r="J47" s="3">
        <f t="shared" si="4"/>
        <v>0</v>
      </c>
      <c r="K47" s="3">
        <f t="shared" si="5"/>
        <v>0</v>
      </c>
      <c r="L47" s="3">
        <f t="shared" si="6"/>
        <v>0</v>
      </c>
      <c r="M47" s="3">
        <f t="shared" si="7"/>
        <v>0</v>
      </c>
      <c r="N47" s="3">
        <f t="shared" si="8"/>
        <v>0</v>
      </c>
      <c r="O47" s="3">
        <f t="shared" si="9"/>
        <v>0</v>
      </c>
      <c r="P47" s="18">
        <f t="shared" si="10"/>
        <v>0</v>
      </c>
      <c r="Q47" s="3" t="s">
        <v>495</v>
      </c>
      <c r="R47" s="3">
        <f t="shared" si="11"/>
        <v>0</v>
      </c>
      <c r="S47" s="3">
        <v>0</v>
      </c>
      <c r="T47" t="s">
        <v>481</v>
      </c>
    </row>
    <row r="48" spans="1:20" ht="15" customHeight="1" x14ac:dyDescent="0.25">
      <c r="A48" t="s">
        <v>165</v>
      </c>
      <c r="B48" t="s">
        <v>133</v>
      </c>
      <c r="C48" t="s">
        <v>146</v>
      </c>
      <c r="D48" s="2">
        <v>2.3519999999999999E-2</v>
      </c>
      <c r="E48" s="3">
        <v>0</v>
      </c>
      <c r="F48" s="3">
        <f t="shared" si="0"/>
        <v>0</v>
      </c>
      <c r="G48" s="3">
        <f t="shared" si="1"/>
        <v>0</v>
      </c>
      <c r="H48" s="3">
        <f t="shared" si="2"/>
        <v>0</v>
      </c>
      <c r="I48" s="3">
        <f t="shared" si="3"/>
        <v>0</v>
      </c>
      <c r="J48" s="3">
        <f t="shared" si="4"/>
        <v>0</v>
      </c>
      <c r="K48" s="3">
        <f t="shared" si="5"/>
        <v>0</v>
      </c>
      <c r="L48" s="3">
        <f t="shared" si="6"/>
        <v>0</v>
      </c>
      <c r="M48" s="3">
        <f t="shared" si="7"/>
        <v>0</v>
      </c>
      <c r="N48" s="3">
        <f t="shared" si="8"/>
        <v>0</v>
      </c>
      <c r="O48" s="3">
        <f t="shared" si="9"/>
        <v>0</v>
      </c>
      <c r="P48" s="18">
        <f t="shared" si="10"/>
        <v>0</v>
      </c>
      <c r="Q48" s="3" t="s">
        <v>495</v>
      </c>
      <c r="R48" s="3">
        <f t="shared" si="11"/>
        <v>0</v>
      </c>
      <c r="S48" s="3">
        <v>0</v>
      </c>
      <c r="T48" t="s">
        <v>481</v>
      </c>
    </row>
    <row r="49" spans="1:20" ht="15" customHeight="1" x14ac:dyDescent="0.25">
      <c r="A49" s="13" t="s">
        <v>54</v>
      </c>
      <c r="B49" s="13"/>
      <c r="C49" s="13"/>
      <c r="D49" s="14">
        <f>SUM(D9:D48)</f>
        <v>41078.346120000002</v>
      </c>
      <c r="E49" s="13"/>
      <c r="F49" s="10">
        <f t="shared" ref="F49:O49" si="12">SUM(F9:F48)</f>
        <v>13100086.467472199</v>
      </c>
      <c r="G49" s="10">
        <f t="shared" si="12"/>
        <v>10737775.79301</v>
      </c>
      <c r="H49" s="10">
        <f t="shared" si="12"/>
        <v>2362310.6744621997</v>
      </c>
      <c r="I49" s="10">
        <f t="shared" si="12"/>
        <v>1395910.8530913</v>
      </c>
      <c r="J49" s="10">
        <f t="shared" si="12"/>
        <v>3758221.5275535001</v>
      </c>
      <c r="K49" s="10">
        <f t="shared" si="12"/>
        <v>2362310.6744621997</v>
      </c>
      <c r="L49" s="10">
        <f t="shared" si="12"/>
        <v>859022.06344080006</v>
      </c>
      <c r="M49" s="10">
        <f t="shared" si="12"/>
        <v>1288533.0951612</v>
      </c>
      <c r="N49" s="10">
        <f t="shared" si="12"/>
        <v>1073777.5793010001</v>
      </c>
      <c r="O49" s="10">
        <f t="shared" si="12"/>
        <v>0</v>
      </c>
      <c r="P49" s="19">
        <f>1</f>
        <v>1</v>
      </c>
      <c r="Q49" s="10">
        <f>SUM(Q9:Q48)</f>
        <v>0</v>
      </c>
      <c r="R49" s="10">
        <f>SUM(R9:R48)</f>
        <v>13100086.467472199</v>
      </c>
      <c r="S49" s="10">
        <f>SUM(S9:S48)</f>
        <v>0</v>
      </c>
      <c r="T49" s="13" t="s">
        <v>54</v>
      </c>
    </row>
    <row r="51" spans="1:20" ht="15" customHeight="1" x14ac:dyDescent="0.25">
      <c r="A51" s="1" t="s">
        <v>488</v>
      </c>
      <c r="B51" s="3">
        <f>R49</f>
        <v>13100086.467472199</v>
      </c>
    </row>
    <row r="52" spans="1:20" ht="15" customHeight="1" x14ac:dyDescent="0.25">
      <c r="A52" s="1" t="s">
        <v>61</v>
      </c>
      <c r="B52" s="3">
        <f>S49</f>
        <v>0</v>
      </c>
    </row>
    <row r="53" spans="1:20" ht="15" customHeight="1" x14ac:dyDescent="0.25">
      <c r="A53" s="1" t="s">
        <v>489</v>
      </c>
      <c r="B53" s="3">
        <f>B51+B52</f>
        <v>13100086.467472199</v>
      </c>
    </row>
  </sheetData>
  <mergeCells count="1">
    <mergeCell ref="A1:Q1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3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8" customWidth="1"/>
    <col min="2" max="2" width="42" customWidth="1"/>
    <col min="3" max="3" width="24" customWidth="1"/>
    <col min="4" max="4" width="18" customWidth="1"/>
    <col min="5" max="6" width="22" customWidth="1"/>
    <col min="7" max="7" width="20" customWidth="1"/>
    <col min="8" max="8" width="22" customWidth="1"/>
    <col min="9" max="9" width="18" customWidth="1"/>
    <col min="10" max="11" width="24" customWidth="1"/>
    <col min="12" max="13" width="22" customWidth="1"/>
    <col min="14" max="14" width="24" customWidth="1"/>
    <col min="15" max="15" width="26" customWidth="1"/>
    <col min="16" max="16" width="24" customWidth="1"/>
    <col min="17" max="17" width="26" customWidth="1"/>
  </cols>
  <sheetData>
    <row r="1" spans="1:17" ht="27.75" customHeight="1" x14ac:dyDescent="0.25">
      <c r="A1" s="9" t="s">
        <v>47</v>
      </c>
      <c r="B1" s="9" t="s">
        <v>55</v>
      </c>
      <c r="C1" s="9" t="s">
        <v>56</v>
      </c>
      <c r="D1" s="9" t="s">
        <v>57</v>
      </c>
      <c r="E1" s="9" t="s">
        <v>48</v>
      </c>
      <c r="F1" s="9" t="s">
        <v>27</v>
      </c>
      <c r="G1" s="9" t="s">
        <v>23</v>
      </c>
      <c r="H1" s="9" t="s">
        <v>24</v>
      </c>
      <c r="I1" s="9" t="s">
        <v>22</v>
      </c>
      <c r="J1" s="9" t="s">
        <v>58</v>
      </c>
      <c r="K1" s="9" t="s">
        <v>59</v>
      </c>
      <c r="L1" s="9" t="s">
        <v>26</v>
      </c>
      <c r="M1" s="9" t="s">
        <v>32</v>
      </c>
      <c r="N1" s="9" t="s">
        <v>33</v>
      </c>
      <c r="O1" s="9" t="s">
        <v>60</v>
      </c>
      <c r="P1" s="12" t="s">
        <v>61</v>
      </c>
      <c r="Q1" s="12" t="s">
        <v>62</v>
      </c>
    </row>
    <row r="2" spans="1:17" ht="15" customHeight="1" x14ac:dyDescent="0.25">
      <c r="A2" t="s">
        <v>49</v>
      </c>
      <c r="B2" t="s">
        <v>63</v>
      </c>
      <c r="C2" t="s">
        <v>64</v>
      </c>
      <c r="D2" s="2">
        <v>0</v>
      </c>
      <c r="E2" s="3">
        <v>0</v>
      </c>
      <c r="F2" s="3">
        <v>0</v>
      </c>
      <c r="G2" s="3">
        <v>0</v>
      </c>
      <c r="H2" s="3">
        <v>0</v>
      </c>
      <c r="I2" s="3">
        <f>'Сводный CashFlow'!$B$11</f>
        <v>121743625.60091458</v>
      </c>
      <c r="J2" s="3">
        <f t="shared" ref="J2:J12" si="0">I2+H2</f>
        <v>121743625.60091458</v>
      </c>
      <c r="K2" s="3">
        <v>0</v>
      </c>
      <c r="L2" s="3">
        <f t="shared" ref="L2:L12" si="1">J2-K2</f>
        <v>121743625.60091458</v>
      </c>
      <c r="M2" s="3">
        <f t="shared" ref="M2:M12" si="2">L2-F2</f>
        <v>121743625.60091458</v>
      </c>
      <c r="N2" s="3">
        <f>L2</f>
        <v>121743625.60091458</v>
      </c>
      <c r="O2" s="3">
        <f>E2</f>
        <v>0</v>
      </c>
      <c r="P2" s="3">
        <v>0</v>
      </c>
      <c r="Q2" s="3">
        <v>0</v>
      </c>
    </row>
    <row r="3" spans="1:17" ht="15" customHeight="1" x14ac:dyDescent="0.25">
      <c r="A3" t="s">
        <v>49</v>
      </c>
      <c r="B3" t="s">
        <v>65</v>
      </c>
      <c r="C3" t="s">
        <v>66</v>
      </c>
      <c r="D3" s="2">
        <v>570</v>
      </c>
      <c r="E3" s="3">
        <f>'Вып 01'!R51</f>
        <v>13258273.47904454</v>
      </c>
      <c r="F3" s="3">
        <f>SUMIF('Расходы материалов'!$B:$B,1,'Расходы материалов'!$H:$H)</f>
        <v>2408491.6479400005</v>
      </c>
      <c r="G3" s="3">
        <f>E3*'Сводный CashFlow'!$B$9</f>
        <v>3977482.043713362</v>
      </c>
      <c r="H3" s="3">
        <f t="shared" ref="H3:H12" si="3">E3-G3</f>
        <v>9280791.435331177</v>
      </c>
      <c r="I3" s="3">
        <v>0</v>
      </c>
      <c r="J3" s="3">
        <f t="shared" si="0"/>
        <v>9280791.435331177</v>
      </c>
      <c r="K3" s="3">
        <f>E3*'Сводный CashFlow'!$B$10</f>
        <v>662913.67395222699</v>
      </c>
      <c r="L3" s="3">
        <f t="shared" si="1"/>
        <v>8617877.7613789495</v>
      </c>
      <c r="M3" s="3">
        <f t="shared" si="2"/>
        <v>6209386.113438949</v>
      </c>
      <c r="N3" s="3">
        <f t="shared" ref="N3:N12" si="4">N2+L3</f>
        <v>130361503.36229353</v>
      </c>
      <c r="O3" s="3">
        <f t="shared" ref="O3:O12" si="5">O2+E3</f>
        <v>13258273.47904454</v>
      </c>
      <c r="P3" s="3">
        <v>0</v>
      </c>
      <c r="Q3" s="3">
        <f t="shared" ref="Q3:Q12" si="6">E3</f>
        <v>13258273.47904454</v>
      </c>
    </row>
    <row r="4" spans="1:17" ht="15" customHeight="1" x14ac:dyDescent="0.25">
      <c r="A4" t="s">
        <v>49</v>
      </c>
      <c r="B4" t="s">
        <v>67</v>
      </c>
      <c r="C4" t="s">
        <v>66</v>
      </c>
      <c r="D4" s="2">
        <v>677</v>
      </c>
      <c r="E4" s="3">
        <f>'Вып 02'!R65</f>
        <v>19021312.865799483</v>
      </c>
      <c r="F4" s="3">
        <f>SUMIF('Расходы материалов'!$B:$B,2,'Расходы материалов'!$H:$H)</f>
        <v>3715516.3288279995</v>
      </c>
      <c r="G4" s="3">
        <f>E4*'Сводный CashFlow'!$B$9</f>
        <v>5706393.8597398447</v>
      </c>
      <c r="H4" s="3">
        <f t="shared" si="3"/>
        <v>13314919.006059639</v>
      </c>
      <c r="I4" s="3">
        <v>0</v>
      </c>
      <c r="J4" s="3">
        <f t="shared" si="0"/>
        <v>13314919.006059639</v>
      </c>
      <c r="K4" s="3">
        <f>E4*'Сводный CashFlow'!$B$10</f>
        <v>951065.64328997419</v>
      </c>
      <c r="L4" s="3">
        <f t="shared" si="1"/>
        <v>12363853.362769665</v>
      </c>
      <c r="M4" s="3">
        <f t="shared" si="2"/>
        <v>8648337.0339416657</v>
      </c>
      <c r="N4" s="3">
        <f t="shared" si="4"/>
        <v>142725356.7250632</v>
      </c>
      <c r="O4" s="3">
        <f t="shared" si="5"/>
        <v>32279586.344844021</v>
      </c>
      <c r="P4" s="3">
        <v>0</v>
      </c>
      <c r="Q4" s="3">
        <f t="shared" si="6"/>
        <v>19021312.865799483</v>
      </c>
    </row>
    <row r="5" spans="1:17" ht="15" customHeight="1" x14ac:dyDescent="0.25">
      <c r="A5" t="s">
        <v>50</v>
      </c>
      <c r="B5" t="s">
        <v>68</v>
      </c>
      <c r="C5" t="s">
        <v>66</v>
      </c>
      <c r="D5" s="2">
        <v>374</v>
      </c>
      <c r="E5" s="3">
        <f>'Вып 03'!R48</f>
        <v>8773869.7930374015</v>
      </c>
      <c r="F5" s="3">
        <f>SUMIF('Расходы материалов'!$B:$B,3,'Расходы материалов'!$H:$H)</f>
        <v>1665075.16714</v>
      </c>
      <c r="G5" s="3">
        <f>E5*'Сводный CashFlow'!$B$9</f>
        <v>2632160.9379112204</v>
      </c>
      <c r="H5" s="3">
        <f t="shared" si="3"/>
        <v>6141708.8551261816</v>
      </c>
      <c r="I5" s="3">
        <v>0</v>
      </c>
      <c r="J5" s="3">
        <f t="shared" si="0"/>
        <v>6141708.8551261816</v>
      </c>
      <c r="K5" s="3">
        <f>E5*'Сводный CashFlow'!$B$10</f>
        <v>438693.4896518701</v>
      </c>
      <c r="L5" s="3">
        <f t="shared" si="1"/>
        <v>5703015.3654743116</v>
      </c>
      <c r="M5" s="3">
        <f t="shared" si="2"/>
        <v>4037940.1983343116</v>
      </c>
      <c r="N5" s="3">
        <f t="shared" si="4"/>
        <v>148428372.09053752</v>
      </c>
      <c r="O5" s="3">
        <f t="shared" si="5"/>
        <v>41053456.137881421</v>
      </c>
      <c r="P5" s="3">
        <v>0</v>
      </c>
      <c r="Q5" s="3">
        <f t="shared" si="6"/>
        <v>8773869.7930374015</v>
      </c>
    </row>
    <row r="6" spans="1:17" ht="15" customHeight="1" x14ac:dyDescent="0.25">
      <c r="A6" t="s">
        <v>50</v>
      </c>
      <c r="B6" t="s">
        <v>69</v>
      </c>
      <c r="C6" t="s">
        <v>66</v>
      </c>
      <c r="D6" s="2">
        <v>550</v>
      </c>
      <c r="E6" s="3">
        <f>'Вып 04'!R49</f>
        <v>13100086.467472199</v>
      </c>
      <c r="F6" s="3">
        <f>SUMIF('Расходы материалов'!$B:$B,4,'Расходы материалов'!$H:$H)</f>
        <v>2520030.9286200004</v>
      </c>
      <c r="G6" s="3">
        <f>E6*'Сводный CashFlow'!$B$9</f>
        <v>3930025.9402416595</v>
      </c>
      <c r="H6" s="3">
        <f t="shared" si="3"/>
        <v>9170060.5272305403</v>
      </c>
      <c r="I6" s="3">
        <v>0</v>
      </c>
      <c r="J6" s="3">
        <f t="shared" si="0"/>
        <v>9170060.5272305403</v>
      </c>
      <c r="K6" s="3">
        <f>E6*'Сводный CashFlow'!$B$10</f>
        <v>655004.32337361004</v>
      </c>
      <c r="L6" s="3">
        <f t="shared" si="1"/>
        <v>8515056.2038569301</v>
      </c>
      <c r="M6" s="3">
        <f t="shared" si="2"/>
        <v>5995025.2752369298</v>
      </c>
      <c r="N6" s="3">
        <f t="shared" si="4"/>
        <v>156943428.29439443</v>
      </c>
      <c r="O6" s="3">
        <f t="shared" si="5"/>
        <v>54153542.605353624</v>
      </c>
      <c r="P6" s="3">
        <v>0</v>
      </c>
      <c r="Q6" s="3">
        <f t="shared" si="6"/>
        <v>13100086.467472199</v>
      </c>
    </row>
    <row r="7" spans="1:17" ht="15" customHeight="1" x14ac:dyDescent="0.25">
      <c r="A7" t="s">
        <v>51</v>
      </c>
      <c r="B7" t="s">
        <v>70</v>
      </c>
      <c r="C7" t="s">
        <v>66</v>
      </c>
      <c r="D7" s="2">
        <v>250</v>
      </c>
      <c r="E7" s="3">
        <f>'Вып 05'!R48</f>
        <v>5853059.5774476007</v>
      </c>
      <c r="F7" s="3">
        <f>SUMIF('Расходы материалов'!$B:$B,5,'Расходы материалов'!$H:$H)</f>
        <v>1110386.19796</v>
      </c>
      <c r="G7" s="3">
        <f>E7*'Сводный CashFlow'!$B$9</f>
        <v>1755917.8732342802</v>
      </c>
      <c r="H7" s="3">
        <f t="shared" si="3"/>
        <v>4097141.7042133203</v>
      </c>
      <c r="I7" s="3">
        <v>0</v>
      </c>
      <c r="J7" s="3">
        <f t="shared" si="0"/>
        <v>4097141.7042133203</v>
      </c>
      <c r="K7" s="3">
        <f>E7*'Сводный CashFlow'!$B$10</f>
        <v>292652.97887238004</v>
      </c>
      <c r="L7" s="3">
        <f t="shared" si="1"/>
        <v>3804488.7253409401</v>
      </c>
      <c r="M7" s="3">
        <f t="shared" si="2"/>
        <v>2694102.52738094</v>
      </c>
      <c r="N7" s="3">
        <f t="shared" si="4"/>
        <v>160747917.01973537</v>
      </c>
      <c r="O7" s="3">
        <f t="shared" si="5"/>
        <v>60006602.182801224</v>
      </c>
      <c r="P7" s="3">
        <v>0</v>
      </c>
      <c r="Q7" s="3">
        <f t="shared" si="6"/>
        <v>5853059.5774476007</v>
      </c>
    </row>
    <row r="8" spans="1:17" ht="15" customHeight="1" x14ac:dyDescent="0.25">
      <c r="A8" t="s">
        <v>51</v>
      </c>
      <c r="B8" t="s">
        <v>71</v>
      </c>
      <c r="C8" t="s">
        <v>66</v>
      </c>
      <c r="D8" s="2">
        <v>140</v>
      </c>
      <c r="E8" s="3">
        <f>'Вып 06'!R48</f>
        <v>3454542.7711391998</v>
      </c>
      <c r="F8" s="3">
        <f>SUMIF('Расходы материалов'!$B:$B,6,'Расходы материалов'!$H:$H)</f>
        <v>708549.34432000015</v>
      </c>
      <c r="G8" s="3">
        <f>E8*'Сводный CashFlow'!$B$9</f>
        <v>1036362.8313417599</v>
      </c>
      <c r="H8" s="3">
        <f t="shared" si="3"/>
        <v>2418179.9397974401</v>
      </c>
      <c r="I8" s="3">
        <v>0</v>
      </c>
      <c r="J8" s="3">
        <f t="shared" si="0"/>
        <v>2418179.9397974401</v>
      </c>
      <c r="K8" s="3">
        <f>E8*'Сводный CashFlow'!$B$10</f>
        <v>172727.13855696001</v>
      </c>
      <c r="L8" s="3">
        <f t="shared" si="1"/>
        <v>2245452.80124048</v>
      </c>
      <c r="M8" s="3">
        <f t="shared" si="2"/>
        <v>1536903.4569204799</v>
      </c>
      <c r="N8" s="3">
        <f t="shared" si="4"/>
        <v>162993369.82097584</v>
      </c>
      <c r="O8" s="3">
        <f t="shared" si="5"/>
        <v>63461144.953940421</v>
      </c>
      <c r="P8" s="3">
        <v>0</v>
      </c>
      <c r="Q8" s="3">
        <f t="shared" si="6"/>
        <v>3454542.7711391998</v>
      </c>
    </row>
    <row r="9" spans="1:17" ht="15" customHeight="1" x14ac:dyDescent="0.25">
      <c r="A9" t="s">
        <v>52</v>
      </c>
      <c r="B9" t="s">
        <v>72</v>
      </c>
      <c r="C9" t="s">
        <v>66</v>
      </c>
      <c r="D9" s="2">
        <v>933</v>
      </c>
      <c r="E9" s="3">
        <f>'Вып 07'!R49</f>
        <v>22009857.550643794</v>
      </c>
      <c r="F9" s="3">
        <f>SUMIF('Расходы материалов'!$B:$B,7,'Расходы материалов'!$H:$H)</f>
        <v>4207842.7917799987</v>
      </c>
      <c r="G9" s="3">
        <f>E9*'Сводный CashFlow'!$B$9</f>
        <v>6602957.2651931383</v>
      </c>
      <c r="H9" s="3">
        <f t="shared" si="3"/>
        <v>15406900.285450656</v>
      </c>
      <c r="I9" s="3">
        <v>0</v>
      </c>
      <c r="J9" s="3">
        <f t="shared" si="0"/>
        <v>15406900.285450656</v>
      </c>
      <c r="K9" s="3">
        <f>E9*'Сводный CashFlow'!$B$10</f>
        <v>1100492.8775321897</v>
      </c>
      <c r="L9" s="3">
        <f t="shared" si="1"/>
        <v>14306407.407918466</v>
      </c>
      <c r="M9" s="3">
        <f t="shared" si="2"/>
        <v>10098564.616138468</v>
      </c>
      <c r="N9" s="3">
        <f t="shared" si="4"/>
        <v>177299777.22889429</v>
      </c>
      <c r="O9" s="3">
        <f t="shared" si="5"/>
        <v>85471002.504584223</v>
      </c>
      <c r="P9" s="3">
        <v>0</v>
      </c>
      <c r="Q9" s="3">
        <f t="shared" si="6"/>
        <v>22009857.550643794</v>
      </c>
    </row>
    <row r="10" spans="1:17" ht="15" customHeight="1" x14ac:dyDescent="0.25">
      <c r="A10" t="s">
        <v>52</v>
      </c>
      <c r="B10" t="s">
        <v>73</v>
      </c>
      <c r="C10" t="s">
        <v>74</v>
      </c>
      <c r="D10" s="2">
        <v>4500</v>
      </c>
      <c r="E10" s="3">
        <f>'Вып 08'!R54</f>
        <v>123134438.6045178</v>
      </c>
      <c r="F10" s="3">
        <f>D10*'Материалы - допущения'!$B$4</f>
        <v>17097736.864739552</v>
      </c>
      <c r="G10" s="3">
        <f>E10*'Сводный CashFlow'!$B$9</f>
        <v>36940331.581355341</v>
      </c>
      <c r="H10" s="3">
        <f t="shared" si="3"/>
        <v>86194107.023162454</v>
      </c>
      <c r="I10" s="3">
        <v>0</v>
      </c>
      <c r="J10" s="3">
        <f t="shared" si="0"/>
        <v>86194107.023162454</v>
      </c>
      <c r="K10" s="3">
        <f>E10*'Сводный CashFlow'!$B$10</f>
        <v>6156721.9302258901</v>
      </c>
      <c r="L10" s="3">
        <f t="shared" si="1"/>
        <v>80037385.092936561</v>
      </c>
      <c r="M10" s="3">
        <f t="shared" si="2"/>
        <v>62939648.228197008</v>
      </c>
      <c r="N10" s="3">
        <f t="shared" si="4"/>
        <v>257337162.32183087</v>
      </c>
      <c r="O10" s="3">
        <f t="shared" si="5"/>
        <v>208605441.10910201</v>
      </c>
      <c r="P10" s="3">
        <v>0</v>
      </c>
      <c r="Q10" s="3">
        <f t="shared" si="6"/>
        <v>123134438.6045178</v>
      </c>
    </row>
    <row r="11" spans="1:17" ht="15" customHeight="1" x14ac:dyDescent="0.25">
      <c r="A11" t="s">
        <v>53</v>
      </c>
      <c r="B11" t="s">
        <v>75</v>
      </c>
      <c r="C11" t="s">
        <v>74</v>
      </c>
      <c r="D11" s="2">
        <v>4500</v>
      </c>
      <c r="E11" s="3">
        <f>'Вып 09'!R54</f>
        <v>123134438.6045178</v>
      </c>
      <c r="F11" s="3">
        <f>D11*'Материалы - допущения'!$B$4</f>
        <v>17097736.864739552</v>
      </c>
      <c r="G11" s="3">
        <f>E11*'Сводный CashFlow'!$B$9</f>
        <v>36940331.581355341</v>
      </c>
      <c r="H11" s="3">
        <f t="shared" si="3"/>
        <v>86194107.023162454</v>
      </c>
      <c r="I11" s="3">
        <v>0</v>
      </c>
      <c r="J11" s="3">
        <f t="shared" si="0"/>
        <v>86194107.023162454</v>
      </c>
      <c r="K11" s="3">
        <f>E11*'Сводный CashFlow'!$B$10</f>
        <v>6156721.9302258901</v>
      </c>
      <c r="L11" s="3">
        <f t="shared" si="1"/>
        <v>80037385.092936561</v>
      </c>
      <c r="M11" s="3">
        <f t="shared" si="2"/>
        <v>62939648.228197008</v>
      </c>
      <c r="N11" s="3">
        <f t="shared" si="4"/>
        <v>337374547.41476744</v>
      </c>
      <c r="O11" s="3">
        <f t="shared" si="5"/>
        <v>331739879.71361983</v>
      </c>
      <c r="P11" s="3">
        <v>0</v>
      </c>
      <c r="Q11" s="3">
        <f t="shared" si="6"/>
        <v>123134438.6045178</v>
      </c>
    </row>
    <row r="12" spans="1:17" ht="15" customHeight="1" x14ac:dyDescent="0.25">
      <c r="A12" t="s">
        <v>53</v>
      </c>
      <c r="B12" t="s">
        <v>76</v>
      </c>
      <c r="C12" t="s">
        <v>74</v>
      </c>
      <c r="D12" s="2">
        <v>2707</v>
      </c>
      <c r="E12" s="3">
        <f>'Вып 10'!R54</f>
        <v>74072205.622762173</v>
      </c>
      <c r="F12" s="3">
        <f>D12*'Материалы - допущения'!$B$4</f>
        <v>10285238.598411104</v>
      </c>
      <c r="G12" s="3">
        <f>E12*'Сводный CashFlow'!$B$9</f>
        <v>22221661.686828651</v>
      </c>
      <c r="H12" s="3">
        <f t="shared" si="3"/>
        <v>51850543.935933523</v>
      </c>
      <c r="I12" s="3">
        <v>0</v>
      </c>
      <c r="J12" s="3">
        <f t="shared" si="0"/>
        <v>51850543.935933523</v>
      </c>
      <c r="K12" s="3">
        <f>E12*'Сводный CashFlow'!$B$10</f>
        <v>3703610.281138109</v>
      </c>
      <c r="L12" s="3">
        <f t="shared" si="1"/>
        <v>48146933.654795416</v>
      </c>
      <c r="M12" s="3">
        <f t="shared" si="2"/>
        <v>37861695.05638431</v>
      </c>
      <c r="N12" s="3">
        <f t="shared" si="4"/>
        <v>385521481.06956285</v>
      </c>
      <c r="O12" s="3">
        <f t="shared" si="5"/>
        <v>405812085.33638203</v>
      </c>
      <c r="P12" s="3">
        <v>0</v>
      </c>
      <c r="Q12" s="3">
        <f t="shared" si="6"/>
        <v>74072205.622762173</v>
      </c>
    </row>
    <row r="13" spans="1:17" ht="15" customHeight="1" x14ac:dyDescent="0.25">
      <c r="A13" s="13" t="s">
        <v>54</v>
      </c>
      <c r="B13" s="13"/>
      <c r="C13" s="13"/>
      <c r="D13" s="14">
        <f t="shared" ref="D13:M13" si="7">SUM(D2:D12)</f>
        <v>15201</v>
      </c>
      <c r="E13" s="10">
        <f t="shared" si="7"/>
        <v>405812085.33638203</v>
      </c>
      <c r="F13" s="10">
        <f t="shared" si="7"/>
        <v>60816604.734478213</v>
      </c>
      <c r="G13" s="10">
        <f t="shared" si="7"/>
        <v>121743625.6009146</v>
      </c>
      <c r="H13" s="10">
        <f t="shared" si="7"/>
        <v>284068459.73546737</v>
      </c>
      <c r="I13" s="10">
        <f t="shared" si="7"/>
        <v>121743625.60091458</v>
      </c>
      <c r="J13" s="10">
        <f t="shared" si="7"/>
        <v>405812085.33638197</v>
      </c>
      <c r="K13" s="10">
        <f t="shared" si="7"/>
        <v>20290604.266819101</v>
      </c>
      <c r="L13" s="10">
        <f t="shared" si="7"/>
        <v>385521481.06956285</v>
      </c>
      <c r="M13" s="10">
        <f t="shared" si="7"/>
        <v>324704876.33508468</v>
      </c>
      <c r="N13" s="10">
        <f>N12</f>
        <v>385521481.06956285</v>
      </c>
      <c r="O13" s="10">
        <f>O12</f>
        <v>405812085.33638203</v>
      </c>
      <c r="P13" s="10">
        <f>SUM(P2:P12)</f>
        <v>0</v>
      </c>
      <c r="Q13" s="10">
        <f>SUM(Q2:Q12)</f>
        <v>405812085.33638203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T52"/>
  <sheetViews>
    <sheetView showGridLines="0" zoomScaleNormal="100" workbookViewId="0">
      <pane ySplit="7" topLeftCell="A8" activePane="bottomLeft" state="frozen"/>
      <selection pane="bottomLeft"/>
    </sheetView>
  </sheetViews>
  <sheetFormatPr defaultColWidth="8.7109375" defaultRowHeight="15" x14ac:dyDescent="0.25"/>
  <cols>
    <col min="1" max="1" width="24" customWidth="1"/>
    <col min="2" max="2" width="68" customWidth="1"/>
    <col min="3" max="3" width="10" customWidth="1"/>
    <col min="4" max="4" width="14" customWidth="1"/>
    <col min="5" max="5" width="18" customWidth="1"/>
    <col min="6" max="7" width="20" customWidth="1"/>
    <col min="8" max="14" width="18" customWidth="1"/>
    <col min="15" max="15" width="22" customWidth="1"/>
    <col min="16" max="16" width="14" customWidth="1"/>
    <col min="17" max="17" width="36" customWidth="1"/>
    <col min="18" max="19" width="24" customWidth="1"/>
    <col min="20" max="20" width="28" customWidth="1"/>
  </cols>
  <sheetData>
    <row r="1" spans="1:20" ht="17.25" customHeight="1" x14ac:dyDescent="0.25">
      <c r="A1" s="31" t="s">
        <v>496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20" ht="15" customHeight="1" x14ac:dyDescent="0.25">
      <c r="A2" s="1" t="s">
        <v>47</v>
      </c>
      <c r="B2" t="s">
        <v>51</v>
      </c>
    </row>
    <row r="3" spans="1:20" ht="15" customHeight="1" x14ac:dyDescent="0.25">
      <c r="A3" s="1" t="s">
        <v>55</v>
      </c>
      <c r="B3" t="s">
        <v>70</v>
      </c>
    </row>
    <row r="4" spans="1:20" ht="15" customHeight="1" x14ac:dyDescent="0.25">
      <c r="A4" s="1" t="s">
        <v>57</v>
      </c>
      <c r="B4" s="2">
        <v>250</v>
      </c>
    </row>
    <row r="5" spans="1:20" ht="15" customHeight="1" x14ac:dyDescent="0.25">
      <c r="A5" s="1" t="s">
        <v>467</v>
      </c>
      <c r="B5" s="3">
        <v>5853059.5774475997</v>
      </c>
    </row>
    <row r="6" spans="1:20" ht="15" customHeight="1" x14ac:dyDescent="0.25">
      <c r="A6" s="1" t="s">
        <v>468</v>
      </c>
      <c r="B6" t="s">
        <v>469</v>
      </c>
    </row>
    <row r="8" spans="1:20" ht="41.25" customHeight="1" x14ac:dyDescent="0.25">
      <c r="A8" s="12" t="s">
        <v>470</v>
      </c>
      <c r="B8" s="12" t="s">
        <v>180</v>
      </c>
      <c r="C8" s="12" t="s">
        <v>139</v>
      </c>
      <c r="D8" s="12" t="s">
        <v>140</v>
      </c>
      <c r="E8" s="12" t="s">
        <v>471</v>
      </c>
      <c r="F8" s="12" t="s">
        <v>472</v>
      </c>
      <c r="G8" s="12" t="s">
        <v>473</v>
      </c>
      <c r="H8" s="12" t="s">
        <v>181</v>
      </c>
      <c r="I8" s="12" t="s">
        <v>452</v>
      </c>
      <c r="J8" s="12" t="s">
        <v>454</v>
      </c>
      <c r="K8" s="12" t="s">
        <v>456</v>
      </c>
      <c r="L8" s="12" t="s">
        <v>457</v>
      </c>
      <c r="M8" s="12" t="s">
        <v>458</v>
      </c>
      <c r="N8" s="12" t="s">
        <v>459</v>
      </c>
      <c r="O8" s="12" t="s">
        <v>474</v>
      </c>
      <c r="P8" s="12" t="s">
        <v>475</v>
      </c>
      <c r="Q8" s="12" t="s">
        <v>476</v>
      </c>
      <c r="R8" s="12" t="s">
        <v>477</v>
      </c>
      <c r="S8" s="12" t="s">
        <v>61</v>
      </c>
      <c r="T8" s="12" t="s">
        <v>478</v>
      </c>
    </row>
    <row r="9" spans="1:20" ht="15" customHeight="1" x14ac:dyDescent="0.25">
      <c r="A9" t="s">
        <v>479</v>
      </c>
      <c r="B9" t="s">
        <v>482</v>
      </c>
      <c r="C9" t="s">
        <v>107</v>
      </c>
      <c r="D9" s="2">
        <v>75</v>
      </c>
      <c r="E9" s="3">
        <v>8492.2369999999992</v>
      </c>
      <c r="F9" s="3">
        <f t="shared" ref="F9:F47" si="0">D9*E9</f>
        <v>636917.77499999991</v>
      </c>
      <c r="G9" s="3">
        <f t="shared" ref="G9:G47" si="1">F9/1.22</f>
        <v>522063.74999999994</v>
      </c>
      <c r="H9" s="3">
        <f t="shared" ref="H9:H47" si="2">F9-G9</f>
        <v>114854.02499999997</v>
      </c>
      <c r="I9" s="3">
        <f t="shared" ref="I9:I47" si="3">G9-SUM(J9:N9)</f>
        <v>67868.287500000035</v>
      </c>
      <c r="J9" s="3">
        <f t="shared" ref="J9:J47" si="4">G9*0.35</f>
        <v>182722.31249999997</v>
      </c>
      <c r="K9" s="3">
        <f t="shared" ref="K9:K47" si="5">G9*0.22</f>
        <v>114854.02499999999</v>
      </c>
      <c r="L9" s="3">
        <f t="shared" ref="L9:L47" si="6">G9*0.08</f>
        <v>41765.1</v>
      </c>
      <c r="M9" s="3">
        <f t="shared" ref="M9:M47" si="7">G9*0.12</f>
        <v>62647.649999999994</v>
      </c>
      <c r="N9" s="3">
        <f t="shared" ref="N9:N47" si="8">G9*0.1</f>
        <v>52206.375</v>
      </c>
      <c r="O9" s="3">
        <f t="shared" ref="O9:O47" si="9">G9-SUM(I9:N9)</f>
        <v>0</v>
      </c>
      <c r="P9" s="18">
        <f t="shared" ref="P9:P47" si="10">IF($F$48=0,0,F9/$F$48)</f>
        <v>0.10881792105006159</v>
      </c>
      <c r="Q9" s="3" t="s">
        <v>497</v>
      </c>
      <c r="R9" s="3">
        <f t="shared" ref="R9:R47" si="11">F9</f>
        <v>636917.77499999991</v>
      </c>
      <c r="S9" s="3">
        <v>0</v>
      </c>
      <c r="T9" t="s">
        <v>481</v>
      </c>
    </row>
    <row r="10" spans="1:20" ht="15" customHeight="1" x14ac:dyDescent="0.25">
      <c r="A10" t="s">
        <v>479</v>
      </c>
      <c r="B10" t="s">
        <v>483</v>
      </c>
      <c r="C10" t="s">
        <v>112</v>
      </c>
      <c r="D10" s="2">
        <v>8012.18</v>
      </c>
      <c r="E10" s="3">
        <v>0</v>
      </c>
      <c r="F10" s="3">
        <f t="shared" si="0"/>
        <v>0</v>
      </c>
      <c r="G10" s="3">
        <f t="shared" si="1"/>
        <v>0</v>
      </c>
      <c r="H10" s="3">
        <f t="shared" si="2"/>
        <v>0</v>
      </c>
      <c r="I10" s="3">
        <f t="shared" si="3"/>
        <v>0</v>
      </c>
      <c r="J10" s="3">
        <f t="shared" si="4"/>
        <v>0</v>
      </c>
      <c r="K10" s="3">
        <f t="shared" si="5"/>
        <v>0</v>
      </c>
      <c r="L10" s="3">
        <f t="shared" si="6"/>
        <v>0</v>
      </c>
      <c r="M10" s="3">
        <f t="shared" si="7"/>
        <v>0</v>
      </c>
      <c r="N10" s="3">
        <f t="shared" si="8"/>
        <v>0</v>
      </c>
      <c r="O10" s="3">
        <f t="shared" si="9"/>
        <v>0</v>
      </c>
      <c r="P10" s="18">
        <f t="shared" si="10"/>
        <v>0</v>
      </c>
      <c r="Q10" s="3" t="s">
        <v>497</v>
      </c>
      <c r="R10" s="3">
        <f t="shared" si="11"/>
        <v>0</v>
      </c>
      <c r="S10" s="3">
        <v>0</v>
      </c>
      <c r="T10" t="s">
        <v>481</v>
      </c>
    </row>
    <row r="11" spans="1:20" ht="15" customHeight="1" x14ac:dyDescent="0.25">
      <c r="A11" t="s">
        <v>479</v>
      </c>
      <c r="B11" t="s">
        <v>484</v>
      </c>
      <c r="C11" t="s">
        <v>107</v>
      </c>
      <c r="D11" s="2">
        <v>37.5</v>
      </c>
      <c r="E11" s="3">
        <v>1853.3630000000001</v>
      </c>
      <c r="F11" s="3">
        <f t="shared" si="0"/>
        <v>69501.112500000003</v>
      </c>
      <c r="G11" s="3">
        <f t="shared" si="1"/>
        <v>56968.125</v>
      </c>
      <c r="H11" s="3">
        <f t="shared" si="2"/>
        <v>12532.987500000003</v>
      </c>
      <c r="I11" s="3">
        <f t="shared" si="3"/>
        <v>7405.8562499999971</v>
      </c>
      <c r="J11" s="3">
        <f t="shared" si="4"/>
        <v>19938.84375</v>
      </c>
      <c r="K11" s="3">
        <f t="shared" si="5"/>
        <v>12532.987499999999</v>
      </c>
      <c r="L11" s="3">
        <f t="shared" si="6"/>
        <v>4557.45</v>
      </c>
      <c r="M11" s="3">
        <f t="shared" si="7"/>
        <v>6836.1750000000002</v>
      </c>
      <c r="N11" s="3">
        <f t="shared" si="8"/>
        <v>5696.8125</v>
      </c>
      <c r="O11" s="3">
        <f t="shared" si="9"/>
        <v>0</v>
      </c>
      <c r="P11" s="18">
        <f t="shared" si="10"/>
        <v>1.1874321725306615E-2</v>
      </c>
      <c r="Q11" s="3" t="s">
        <v>497</v>
      </c>
      <c r="R11" s="3">
        <f t="shared" si="11"/>
        <v>69501.112500000003</v>
      </c>
      <c r="S11" s="3">
        <v>0</v>
      </c>
      <c r="T11" t="s">
        <v>481</v>
      </c>
    </row>
    <row r="12" spans="1:20" ht="15" customHeight="1" x14ac:dyDescent="0.25">
      <c r="A12" t="s">
        <v>479</v>
      </c>
      <c r="B12" t="s">
        <v>485</v>
      </c>
      <c r="C12" t="s">
        <v>107</v>
      </c>
      <c r="D12" s="2">
        <v>112.5</v>
      </c>
      <c r="E12" s="3">
        <v>3497.9474</v>
      </c>
      <c r="F12" s="3">
        <f t="shared" si="0"/>
        <v>393519.08250000002</v>
      </c>
      <c r="G12" s="3">
        <f t="shared" si="1"/>
        <v>322556.625</v>
      </c>
      <c r="H12" s="3">
        <f t="shared" si="2"/>
        <v>70962.457500000019</v>
      </c>
      <c r="I12" s="3">
        <f t="shared" si="3"/>
        <v>41932.361250000016</v>
      </c>
      <c r="J12" s="3">
        <f t="shared" si="4"/>
        <v>112894.81874999999</v>
      </c>
      <c r="K12" s="3">
        <f t="shared" si="5"/>
        <v>70962.457500000004</v>
      </c>
      <c r="L12" s="3">
        <f t="shared" si="6"/>
        <v>25804.53</v>
      </c>
      <c r="M12" s="3">
        <f t="shared" si="7"/>
        <v>38706.794999999998</v>
      </c>
      <c r="N12" s="3">
        <f t="shared" si="8"/>
        <v>32255.662500000002</v>
      </c>
      <c r="O12" s="3">
        <f t="shared" si="9"/>
        <v>0</v>
      </c>
      <c r="P12" s="18">
        <f t="shared" si="10"/>
        <v>6.72330560270165E-2</v>
      </c>
      <c r="Q12" s="3" t="s">
        <v>497</v>
      </c>
      <c r="R12" s="3">
        <f t="shared" si="11"/>
        <v>393519.08250000002</v>
      </c>
      <c r="S12" s="3">
        <v>0</v>
      </c>
      <c r="T12" t="s">
        <v>481</v>
      </c>
    </row>
    <row r="13" spans="1:20" ht="15" customHeight="1" x14ac:dyDescent="0.25">
      <c r="A13" t="s">
        <v>479</v>
      </c>
      <c r="B13" t="s">
        <v>486</v>
      </c>
      <c r="C13" t="s">
        <v>107</v>
      </c>
      <c r="D13" s="2">
        <v>112.5</v>
      </c>
      <c r="E13" s="3">
        <v>3497.9474</v>
      </c>
      <c r="F13" s="3">
        <f t="shared" si="0"/>
        <v>393519.08250000002</v>
      </c>
      <c r="G13" s="3">
        <f t="shared" si="1"/>
        <v>322556.625</v>
      </c>
      <c r="H13" s="3">
        <f t="shared" si="2"/>
        <v>70962.457500000019</v>
      </c>
      <c r="I13" s="3">
        <f t="shared" si="3"/>
        <v>41932.361250000016</v>
      </c>
      <c r="J13" s="3">
        <f t="shared" si="4"/>
        <v>112894.81874999999</v>
      </c>
      <c r="K13" s="3">
        <f t="shared" si="5"/>
        <v>70962.457500000004</v>
      </c>
      <c r="L13" s="3">
        <f t="shared" si="6"/>
        <v>25804.53</v>
      </c>
      <c r="M13" s="3">
        <f t="shared" si="7"/>
        <v>38706.794999999998</v>
      </c>
      <c r="N13" s="3">
        <f t="shared" si="8"/>
        <v>32255.662500000002</v>
      </c>
      <c r="O13" s="3">
        <f t="shared" si="9"/>
        <v>0</v>
      </c>
      <c r="P13" s="18">
        <f t="shared" si="10"/>
        <v>6.72330560270165E-2</v>
      </c>
      <c r="Q13" s="3" t="s">
        <v>497</v>
      </c>
      <c r="R13" s="3">
        <f t="shared" si="11"/>
        <v>393519.08250000002</v>
      </c>
      <c r="S13" s="3">
        <v>0</v>
      </c>
      <c r="T13" t="s">
        <v>481</v>
      </c>
    </row>
    <row r="14" spans="1:20" ht="15" customHeight="1" x14ac:dyDescent="0.25">
      <c r="A14" t="s">
        <v>151</v>
      </c>
      <c r="B14" t="s">
        <v>247</v>
      </c>
      <c r="C14" t="s">
        <v>145</v>
      </c>
      <c r="D14" s="2">
        <v>13.2</v>
      </c>
      <c r="E14" s="3">
        <v>598.53200000000004</v>
      </c>
      <c r="F14" s="3">
        <f t="shared" si="0"/>
        <v>7900.6224000000002</v>
      </c>
      <c r="G14" s="3">
        <f t="shared" si="1"/>
        <v>6475.92</v>
      </c>
      <c r="H14" s="3">
        <f t="shared" si="2"/>
        <v>1424.7024000000001</v>
      </c>
      <c r="I14" s="3">
        <f t="shared" si="3"/>
        <v>841.86959999999999</v>
      </c>
      <c r="J14" s="3">
        <f t="shared" si="4"/>
        <v>2266.5719999999997</v>
      </c>
      <c r="K14" s="3">
        <f t="shared" si="5"/>
        <v>1424.7024000000001</v>
      </c>
      <c r="L14" s="3">
        <f t="shared" si="6"/>
        <v>518.07360000000006</v>
      </c>
      <c r="M14" s="3">
        <f t="shared" si="7"/>
        <v>777.11040000000003</v>
      </c>
      <c r="N14" s="3">
        <f t="shared" si="8"/>
        <v>647.5920000000001</v>
      </c>
      <c r="O14" s="3">
        <f t="shared" si="9"/>
        <v>0</v>
      </c>
      <c r="P14" s="18">
        <f t="shared" si="10"/>
        <v>1.3498277773289469E-3</v>
      </c>
      <c r="Q14" s="3" t="s">
        <v>497</v>
      </c>
      <c r="R14" s="3">
        <f t="shared" si="11"/>
        <v>7900.6224000000002</v>
      </c>
      <c r="S14" s="3">
        <v>0</v>
      </c>
      <c r="T14" t="s">
        <v>481</v>
      </c>
    </row>
    <row r="15" spans="1:20" ht="15" customHeight="1" x14ac:dyDescent="0.25">
      <c r="A15" t="s">
        <v>151</v>
      </c>
      <c r="B15" t="s">
        <v>248</v>
      </c>
      <c r="C15" t="s">
        <v>146</v>
      </c>
      <c r="D15" s="2">
        <v>0.66</v>
      </c>
      <c r="E15" s="3">
        <v>5261.2744000000002</v>
      </c>
      <c r="F15" s="3">
        <f t="shared" si="0"/>
        <v>3472.4411040000005</v>
      </c>
      <c r="G15" s="3">
        <f t="shared" si="1"/>
        <v>2846.2632000000003</v>
      </c>
      <c r="H15" s="3">
        <f t="shared" si="2"/>
        <v>626.17790400000013</v>
      </c>
      <c r="I15" s="3">
        <f t="shared" si="3"/>
        <v>370.01421600000003</v>
      </c>
      <c r="J15" s="3">
        <f t="shared" si="4"/>
        <v>996.19212000000005</v>
      </c>
      <c r="K15" s="3">
        <f t="shared" si="5"/>
        <v>626.17790400000013</v>
      </c>
      <c r="L15" s="3">
        <f t="shared" si="6"/>
        <v>227.70105600000002</v>
      </c>
      <c r="M15" s="3">
        <f t="shared" si="7"/>
        <v>341.55158400000005</v>
      </c>
      <c r="N15" s="3">
        <f t="shared" si="8"/>
        <v>284.62632000000002</v>
      </c>
      <c r="O15" s="3">
        <f t="shared" si="9"/>
        <v>0</v>
      </c>
      <c r="P15" s="18">
        <f t="shared" si="10"/>
        <v>5.9326939322122208E-4</v>
      </c>
      <c r="Q15" s="3" t="s">
        <v>497</v>
      </c>
      <c r="R15" s="3">
        <f t="shared" si="11"/>
        <v>3472.4411040000005</v>
      </c>
      <c r="S15" s="3">
        <v>0</v>
      </c>
      <c r="T15" t="s">
        <v>481</v>
      </c>
    </row>
    <row r="16" spans="1:20" ht="15" customHeight="1" x14ac:dyDescent="0.25">
      <c r="A16" t="s">
        <v>151</v>
      </c>
      <c r="B16" t="s">
        <v>249</v>
      </c>
      <c r="C16" t="s">
        <v>146</v>
      </c>
      <c r="D16" s="2">
        <v>1.32</v>
      </c>
      <c r="E16" s="3">
        <v>10026.301600000001</v>
      </c>
      <c r="F16" s="3">
        <f t="shared" si="0"/>
        <v>13234.718112000002</v>
      </c>
      <c r="G16" s="3">
        <f t="shared" si="1"/>
        <v>10848.129600000002</v>
      </c>
      <c r="H16" s="3">
        <f t="shared" si="2"/>
        <v>2386.5885120000003</v>
      </c>
      <c r="I16" s="3">
        <f t="shared" si="3"/>
        <v>1410.2568479999991</v>
      </c>
      <c r="J16" s="3">
        <f t="shared" si="4"/>
        <v>3796.8453600000003</v>
      </c>
      <c r="K16" s="3">
        <f t="shared" si="5"/>
        <v>2386.5885120000003</v>
      </c>
      <c r="L16" s="3">
        <f t="shared" si="6"/>
        <v>867.85036800000023</v>
      </c>
      <c r="M16" s="3">
        <f t="shared" si="7"/>
        <v>1301.7755520000003</v>
      </c>
      <c r="N16" s="3">
        <f t="shared" si="8"/>
        <v>1084.8129600000002</v>
      </c>
      <c r="O16" s="3">
        <f t="shared" si="9"/>
        <v>0</v>
      </c>
      <c r="P16" s="18">
        <f t="shared" si="10"/>
        <v>2.2611623778774847E-3</v>
      </c>
      <c r="Q16" s="3" t="s">
        <v>497</v>
      </c>
      <c r="R16" s="3">
        <f t="shared" si="11"/>
        <v>13234.718112000002</v>
      </c>
      <c r="S16" s="3">
        <v>0</v>
      </c>
      <c r="T16" t="s">
        <v>481</v>
      </c>
    </row>
    <row r="17" spans="1:20" ht="15" customHeight="1" x14ac:dyDescent="0.25">
      <c r="A17" t="s">
        <v>151</v>
      </c>
      <c r="B17" t="s">
        <v>250</v>
      </c>
      <c r="C17" t="s">
        <v>146</v>
      </c>
      <c r="D17" s="2">
        <v>1.21</v>
      </c>
      <c r="E17" s="3">
        <v>74702.954599999997</v>
      </c>
      <c r="F17" s="3">
        <f t="shared" si="0"/>
        <v>90390.57506599999</v>
      </c>
      <c r="G17" s="3">
        <f t="shared" si="1"/>
        <v>74090.635299999994</v>
      </c>
      <c r="H17" s="3">
        <f t="shared" si="2"/>
        <v>16299.939765999996</v>
      </c>
      <c r="I17" s="3">
        <f t="shared" si="3"/>
        <v>9631.7825889999949</v>
      </c>
      <c r="J17" s="3">
        <f t="shared" si="4"/>
        <v>25931.722354999998</v>
      </c>
      <c r="K17" s="3">
        <f t="shared" si="5"/>
        <v>16299.939766</v>
      </c>
      <c r="L17" s="3">
        <f t="shared" si="6"/>
        <v>5927.2508239999997</v>
      </c>
      <c r="M17" s="3">
        <f t="shared" si="7"/>
        <v>8890.8762359999982</v>
      </c>
      <c r="N17" s="3">
        <f t="shared" si="8"/>
        <v>7409.0635299999994</v>
      </c>
      <c r="O17" s="3">
        <f t="shared" si="9"/>
        <v>0</v>
      </c>
      <c r="P17" s="18">
        <f t="shared" si="10"/>
        <v>1.544330343300853E-2</v>
      </c>
      <c r="Q17" s="3" t="s">
        <v>497</v>
      </c>
      <c r="R17" s="3">
        <f t="shared" si="11"/>
        <v>90390.57506599999</v>
      </c>
      <c r="S17" s="3">
        <v>0</v>
      </c>
      <c r="T17" t="s">
        <v>481</v>
      </c>
    </row>
    <row r="18" spans="1:20" ht="15" customHeight="1" x14ac:dyDescent="0.25">
      <c r="A18" t="s">
        <v>151</v>
      </c>
      <c r="B18" t="s">
        <v>251</v>
      </c>
      <c r="C18" t="s">
        <v>145</v>
      </c>
      <c r="D18" s="2">
        <v>24.507999999999999</v>
      </c>
      <c r="E18" s="3">
        <v>1894.7331999999999</v>
      </c>
      <c r="F18" s="3">
        <f t="shared" si="0"/>
        <v>46436.121265599999</v>
      </c>
      <c r="G18" s="3">
        <f t="shared" si="1"/>
        <v>38062.394480000003</v>
      </c>
      <c r="H18" s="3">
        <f t="shared" si="2"/>
        <v>8373.7267855999962</v>
      </c>
      <c r="I18" s="3">
        <f t="shared" si="3"/>
        <v>4948.1112824000011</v>
      </c>
      <c r="J18" s="3">
        <f t="shared" si="4"/>
        <v>13321.838068000001</v>
      </c>
      <c r="K18" s="3">
        <f t="shared" si="5"/>
        <v>8373.7267855999999</v>
      </c>
      <c r="L18" s="3">
        <f t="shared" si="6"/>
        <v>3044.9915584000005</v>
      </c>
      <c r="M18" s="3">
        <f t="shared" si="7"/>
        <v>4567.4873376000005</v>
      </c>
      <c r="N18" s="3">
        <f t="shared" si="8"/>
        <v>3806.2394480000003</v>
      </c>
      <c r="O18" s="3">
        <f t="shared" si="9"/>
        <v>0</v>
      </c>
      <c r="P18" s="18">
        <f t="shared" si="10"/>
        <v>7.9336491711997637E-3</v>
      </c>
      <c r="Q18" s="3" t="s">
        <v>497</v>
      </c>
      <c r="R18" s="3">
        <f t="shared" si="11"/>
        <v>46436.121265599999</v>
      </c>
      <c r="S18" s="3">
        <v>0</v>
      </c>
      <c r="T18" t="s">
        <v>481</v>
      </c>
    </row>
    <row r="19" spans="1:20" ht="15" customHeight="1" x14ac:dyDescent="0.25">
      <c r="A19" t="s">
        <v>151</v>
      </c>
      <c r="B19" t="s">
        <v>252</v>
      </c>
      <c r="C19" t="s">
        <v>112</v>
      </c>
      <c r="D19" s="2">
        <v>330</v>
      </c>
      <c r="E19" s="3">
        <v>487.89019999999999</v>
      </c>
      <c r="F19" s="3">
        <f t="shared" si="0"/>
        <v>161003.766</v>
      </c>
      <c r="G19" s="3">
        <f t="shared" si="1"/>
        <v>131970.30000000002</v>
      </c>
      <c r="H19" s="3">
        <f t="shared" si="2"/>
        <v>29033.465999999986</v>
      </c>
      <c r="I19" s="3">
        <f t="shared" si="3"/>
        <v>17156.13900000001</v>
      </c>
      <c r="J19" s="3">
        <f t="shared" si="4"/>
        <v>46189.605000000003</v>
      </c>
      <c r="K19" s="3">
        <f t="shared" si="5"/>
        <v>29033.466000000004</v>
      </c>
      <c r="L19" s="3">
        <f t="shared" si="6"/>
        <v>10557.624000000002</v>
      </c>
      <c r="M19" s="3">
        <f t="shared" si="7"/>
        <v>15836.436000000002</v>
      </c>
      <c r="N19" s="3">
        <f t="shared" si="8"/>
        <v>13197.030000000002</v>
      </c>
      <c r="O19" s="3">
        <f t="shared" si="9"/>
        <v>0</v>
      </c>
      <c r="P19" s="18">
        <f t="shared" si="10"/>
        <v>2.7507624665288381E-2</v>
      </c>
      <c r="Q19" s="3" t="s">
        <v>497</v>
      </c>
      <c r="R19" s="3">
        <f t="shared" si="11"/>
        <v>161003.766</v>
      </c>
      <c r="S19" s="3">
        <v>0</v>
      </c>
      <c r="T19" t="s">
        <v>481</v>
      </c>
    </row>
    <row r="20" spans="1:20" ht="15" customHeight="1" x14ac:dyDescent="0.25">
      <c r="A20" t="s">
        <v>151</v>
      </c>
      <c r="B20" t="s">
        <v>106</v>
      </c>
      <c r="C20" t="s">
        <v>146</v>
      </c>
      <c r="D20" s="2">
        <v>0.72599999999999998</v>
      </c>
      <c r="E20" s="3">
        <v>0</v>
      </c>
      <c r="F20" s="3">
        <f t="shared" si="0"/>
        <v>0</v>
      </c>
      <c r="G20" s="3">
        <f t="shared" si="1"/>
        <v>0</v>
      </c>
      <c r="H20" s="3">
        <f t="shared" si="2"/>
        <v>0</v>
      </c>
      <c r="I20" s="3">
        <f t="shared" si="3"/>
        <v>0</v>
      </c>
      <c r="J20" s="3">
        <f t="shared" si="4"/>
        <v>0</v>
      </c>
      <c r="K20" s="3">
        <f t="shared" si="5"/>
        <v>0</v>
      </c>
      <c r="L20" s="3">
        <f t="shared" si="6"/>
        <v>0</v>
      </c>
      <c r="M20" s="3">
        <f t="shared" si="7"/>
        <v>0</v>
      </c>
      <c r="N20" s="3">
        <f t="shared" si="8"/>
        <v>0</v>
      </c>
      <c r="O20" s="3">
        <f t="shared" si="9"/>
        <v>0</v>
      </c>
      <c r="P20" s="18">
        <f t="shared" si="10"/>
        <v>0</v>
      </c>
      <c r="Q20" s="3" t="s">
        <v>497</v>
      </c>
      <c r="R20" s="3">
        <f t="shared" si="11"/>
        <v>0</v>
      </c>
      <c r="S20" s="3">
        <v>0</v>
      </c>
      <c r="T20" t="s">
        <v>481</v>
      </c>
    </row>
    <row r="21" spans="1:20" ht="15" customHeight="1" x14ac:dyDescent="0.25">
      <c r="A21" t="s">
        <v>151</v>
      </c>
      <c r="B21" t="s">
        <v>108</v>
      </c>
      <c r="C21" t="s">
        <v>146</v>
      </c>
      <c r="D21" s="2">
        <v>0.83160000000000001</v>
      </c>
      <c r="E21" s="3">
        <v>0</v>
      </c>
      <c r="F21" s="3">
        <f t="shared" si="0"/>
        <v>0</v>
      </c>
      <c r="G21" s="3">
        <f t="shared" si="1"/>
        <v>0</v>
      </c>
      <c r="H21" s="3">
        <f t="shared" si="2"/>
        <v>0</v>
      </c>
      <c r="I21" s="3">
        <f t="shared" si="3"/>
        <v>0</v>
      </c>
      <c r="J21" s="3">
        <f t="shared" si="4"/>
        <v>0</v>
      </c>
      <c r="K21" s="3">
        <f t="shared" si="5"/>
        <v>0</v>
      </c>
      <c r="L21" s="3">
        <f t="shared" si="6"/>
        <v>0</v>
      </c>
      <c r="M21" s="3">
        <f t="shared" si="7"/>
        <v>0</v>
      </c>
      <c r="N21" s="3">
        <f t="shared" si="8"/>
        <v>0</v>
      </c>
      <c r="O21" s="3">
        <f t="shared" si="9"/>
        <v>0</v>
      </c>
      <c r="P21" s="18">
        <f t="shared" si="10"/>
        <v>0</v>
      </c>
      <c r="Q21" s="3" t="s">
        <v>497</v>
      </c>
      <c r="R21" s="3">
        <f t="shared" si="11"/>
        <v>0</v>
      </c>
      <c r="S21" s="3">
        <v>0</v>
      </c>
      <c r="T21" t="s">
        <v>481</v>
      </c>
    </row>
    <row r="22" spans="1:20" ht="15" customHeight="1" x14ac:dyDescent="0.25">
      <c r="A22" t="s">
        <v>151</v>
      </c>
      <c r="B22" t="s">
        <v>122</v>
      </c>
      <c r="C22" t="s">
        <v>148</v>
      </c>
      <c r="D22" s="2">
        <v>22</v>
      </c>
      <c r="E22" s="3">
        <v>0</v>
      </c>
      <c r="F22" s="3">
        <f t="shared" si="0"/>
        <v>0</v>
      </c>
      <c r="G22" s="3">
        <f t="shared" si="1"/>
        <v>0</v>
      </c>
      <c r="H22" s="3">
        <f t="shared" si="2"/>
        <v>0</v>
      </c>
      <c r="I22" s="3">
        <f t="shared" si="3"/>
        <v>0</v>
      </c>
      <c r="J22" s="3">
        <f t="shared" si="4"/>
        <v>0</v>
      </c>
      <c r="K22" s="3">
        <f t="shared" si="5"/>
        <v>0</v>
      </c>
      <c r="L22" s="3">
        <f t="shared" si="6"/>
        <v>0</v>
      </c>
      <c r="M22" s="3">
        <f t="shared" si="7"/>
        <v>0</v>
      </c>
      <c r="N22" s="3">
        <f t="shared" si="8"/>
        <v>0</v>
      </c>
      <c r="O22" s="3">
        <f t="shared" si="9"/>
        <v>0</v>
      </c>
      <c r="P22" s="18">
        <f t="shared" si="10"/>
        <v>0</v>
      </c>
      <c r="Q22" s="3" t="s">
        <v>497</v>
      </c>
      <c r="R22" s="3">
        <f t="shared" si="11"/>
        <v>0</v>
      </c>
      <c r="S22" s="3">
        <v>0</v>
      </c>
      <c r="T22" t="s">
        <v>481</v>
      </c>
    </row>
    <row r="23" spans="1:20" ht="15" customHeight="1" x14ac:dyDescent="0.25">
      <c r="A23" t="s">
        <v>151</v>
      </c>
      <c r="B23" t="s">
        <v>124</v>
      </c>
      <c r="C23" t="s">
        <v>148</v>
      </c>
      <c r="D23" s="2">
        <v>44</v>
      </c>
      <c r="E23" s="3">
        <v>0</v>
      </c>
      <c r="F23" s="3">
        <f t="shared" si="0"/>
        <v>0</v>
      </c>
      <c r="G23" s="3">
        <f t="shared" si="1"/>
        <v>0</v>
      </c>
      <c r="H23" s="3">
        <f t="shared" si="2"/>
        <v>0</v>
      </c>
      <c r="I23" s="3">
        <f t="shared" si="3"/>
        <v>0</v>
      </c>
      <c r="J23" s="3">
        <f t="shared" si="4"/>
        <v>0</v>
      </c>
      <c r="K23" s="3">
        <f t="shared" si="5"/>
        <v>0</v>
      </c>
      <c r="L23" s="3">
        <f t="shared" si="6"/>
        <v>0</v>
      </c>
      <c r="M23" s="3">
        <f t="shared" si="7"/>
        <v>0</v>
      </c>
      <c r="N23" s="3">
        <f t="shared" si="8"/>
        <v>0</v>
      </c>
      <c r="O23" s="3">
        <f t="shared" si="9"/>
        <v>0</v>
      </c>
      <c r="P23" s="18">
        <f t="shared" si="10"/>
        <v>0</v>
      </c>
      <c r="Q23" s="3" t="s">
        <v>497</v>
      </c>
      <c r="R23" s="3">
        <f t="shared" si="11"/>
        <v>0</v>
      </c>
      <c r="S23" s="3">
        <v>0</v>
      </c>
      <c r="T23" t="s">
        <v>481</v>
      </c>
    </row>
    <row r="24" spans="1:20" ht="15" customHeight="1" x14ac:dyDescent="0.25">
      <c r="A24" t="s">
        <v>151</v>
      </c>
      <c r="B24" t="s">
        <v>111</v>
      </c>
      <c r="C24" t="s">
        <v>112</v>
      </c>
      <c r="D24" s="2">
        <v>73.524000000000001</v>
      </c>
      <c r="E24" s="3">
        <v>0</v>
      </c>
      <c r="F24" s="3">
        <f t="shared" si="0"/>
        <v>0</v>
      </c>
      <c r="G24" s="3">
        <f t="shared" si="1"/>
        <v>0</v>
      </c>
      <c r="H24" s="3">
        <f t="shared" si="2"/>
        <v>0</v>
      </c>
      <c r="I24" s="3">
        <f t="shared" si="3"/>
        <v>0</v>
      </c>
      <c r="J24" s="3">
        <f t="shared" si="4"/>
        <v>0</v>
      </c>
      <c r="K24" s="3">
        <f t="shared" si="5"/>
        <v>0</v>
      </c>
      <c r="L24" s="3">
        <f t="shared" si="6"/>
        <v>0</v>
      </c>
      <c r="M24" s="3">
        <f t="shared" si="7"/>
        <v>0</v>
      </c>
      <c r="N24" s="3">
        <f t="shared" si="8"/>
        <v>0</v>
      </c>
      <c r="O24" s="3">
        <f t="shared" si="9"/>
        <v>0</v>
      </c>
      <c r="P24" s="18">
        <f t="shared" si="10"/>
        <v>0</v>
      </c>
      <c r="Q24" s="3" t="s">
        <v>497</v>
      </c>
      <c r="R24" s="3">
        <f t="shared" si="11"/>
        <v>0</v>
      </c>
      <c r="S24" s="3">
        <v>0</v>
      </c>
      <c r="T24" t="s">
        <v>481</v>
      </c>
    </row>
    <row r="25" spans="1:20" ht="15" customHeight="1" x14ac:dyDescent="0.25">
      <c r="A25" t="s">
        <v>152</v>
      </c>
      <c r="B25" t="s">
        <v>247</v>
      </c>
      <c r="C25" t="s">
        <v>145</v>
      </c>
      <c r="D25" s="2">
        <v>250</v>
      </c>
      <c r="E25" s="3">
        <v>598.53200000000004</v>
      </c>
      <c r="F25" s="3">
        <f t="shared" si="0"/>
        <v>149633</v>
      </c>
      <c r="G25" s="3">
        <f t="shared" si="1"/>
        <v>122650</v>
      </c>
      <c r="H25" s="3">
        <f t="shared" si="2"/>
        <v>26983</v>
      </c>
      <c r="I25" s="3">
        <f t="shared" si="3"/>
        <v>15944.5</v>
      </c>
      <c r="J25" s="3">
        <f t="shared" si="4"/>
        <v>42927.5</v>
      </c>
      <c r="K25" s="3">
        <f t="shared" si="5"/>
        <v>26983</v>
      </c>
      <c r="L25" s="3">
        <f t="shared" si="6"/>
        <v>9812</v>
      </c>
      <c r="M25" s="3">
        <f t="shared" si="7"/>
        <v>14718</v>
      </c>
      <c r="N25" s="3">
        <f t="shared" si="8"/>
        <v>12265</v>
      </c>
      <c r="O25" s="3">
        <f t="shared" si="9"/>
        <v>0</v>
      </c>
      <c r="P25" s="18">
        <f t="shared" si="10"/>
        <v>2.5564920025169448E-2</v>
      </c>
      <c r="Q25" s="3" t="s">
        <v>497</v>
      </c>
      <c r="R25" s="3">
        <f t="shared" si="11"/>
        <v>149633</v>
      </c>
      <c r="S25" s="3">
        <v>0</v>
      </c>
      <c r="T25" t="s">
        <v>481</v>
      </c>
    </row>
    <row r="26" spans="1:20" ht="15" customHeight="1" x14ac:dyDescent="0.25">
      <c r="A26" t="s">
        <v>152</v>
      </c>
      <c r="B26" t="s">
        <v>254</v>
      </c>
      <c r="C26" t="s">
        <v>146</v>
      </c>
      <c r="D26" s="2">
        <v>2.5</v>
      </c>
      <c r="E26" s="3">
        <v>5261.2744000000002</v>
      </c>
      <c r="F26" s="3">
        <f t="shared" si="0"/>
        <v>13153.186000000002</v>
      </c>
      <c r="G26" s="3">
        <f t="shared" si="1"/>
        <v>10781.300000000001</v>
      </c>
      <c r="H26" s="3">
        <f t="shared" si="2"/>
        <v>2371.8860000000004</v>
      </c>
      <c r="I26" s="3">
        <f t="shared" si="3"/>
        <v>1401.5690000000013</v>
      </c>
      <c r="J26" s="3">
        <f t="shared" si="4"/>
        <v>3773.4549999999999</v>
      </c>
      <c r="K26" s="3">
        <f t="shared" si="5"/>
        <v>2371.8860000000004</v>
      </c>
      <c r="L26" s="3">
        <f t="shared" si="6"/>
        <v>862.50400000000013</v>
      </c>
      <c r="M26" s="3">
        <f t="shared" si="7"/>
        <v>1293.7560000000001</v>
      </c>
      <c r="N26" s="3">
        <f t="shared" si="8"/>
        <v>1078.1300000000001</v>
      </c>
      <c r="O26" s="3">
        <f t="shared" si="9"/>
        <v>0</v>
      </c>
      <c r="P26" s="18">
        <f t="shared" si="10"/>
        <v>2.2472325500803867E-3</v>
      </c>
      <c r="Q26" s="3" t="s">
        <v>497</v>
      </c>
      <c r="R26" s="3">
        <f t="shared" si="11"/>
        <v>13153.186000000002</v>
      </c>
      <c r="S26" s="3">
        <v>0</v>
      </c>
      <c r="T26" t="s">
        <v>481</v>
      </c>
    </row>
    <row r="27" spans="1:20" ht="15" customHeight="1" x14ac:dyDescent="0.25">
      <c r="A27" t="s">
        <v>152</v>
      </c>
      <c r="B27" t="s">
        <v>255</v>
      </c>
      <c r="C27" t="s">
        <v>146</v>
      </c>
      <c r="D27" s="2">
        <v>12.5</v>
      </c>
      <c r="E27" s="3">
        <v>20671.9728</v>
      </c>
      <c r="F27" s="3">
        <f t="shared" si="0"/>
        <v>258399.66</v>
      </c>
      <c r="G27" s="3">
        <f t="shared" si="1"/>
        <v>211803</v>
      </c>
      <c r="H27" s="3">
        <f t="shared" si="2"/>
        <v>46596.66</v>
      </c>
      <c r="I27" s="3">
        <f t="shared" si="3"/>
        <v>27534.390000000014</v>
      </c>
      <c r="J27" s="3">
        <f t="shared" si="4"/>
        <v>74131.049999999988</v>
      </c>
      <c r="K27" s="3">
        <f t="shared" si="5"/>
        <v>46596.66</v>
      </c>
      <c r="L27" s="3">
        <f t="shared" si="6"/>
        <v>16944.240000000002</v>
      </c>
      <c r="M27" s="3">
        <f t="shared" si="7"/>
        <v>25416.36</v>
      </c>
      <c r="N27" s="3">
        <f t="shared" si="8"/>
        <v>21180.300000000003</v>
      </c>
      <c r="O27" s="3">
        <f t="shared" si="9"/>
        <v>0</v>
      </c>
      <c r="P27" s="18">
        <f t="shared" si="10"/>
        <v>4.4147792548642192E-2</v>
      </c>
      <c r="Q27" s="3" t="s">
        <v>497</v>
      </c>
      <c r="R27" s="3">
        <f t="shared" si="11"/>
        <v>258399.66</v>
      </c>
      <c r="S27" s="3">
        <v>0</v>
      </c>
      <c r="T27" t="s">
        <v>481</v>
      </c>
    </row>
    <row r="28" spans="1:20" ht="15" customHeight="1" x14ac:dyDescent="0.25">
      <c r="A28" t="s">
        <v>152</v>
      </c>
      <c r="B28" t="s">
        <v>256</v>
      </c>
      <c r="C28" t="s">
        <v>145</v>
      </c>
      <c r="D28" s="2">
        <v>250</v>
      </c>
      <c r="E28" s="3">
        <v>1741.6964</v>
      </c>
      <c r="F28" s="3">
        <f t="shared" si="0"/>
        <v>435424.10000000003</v>
      </c>
      <c r="G28" s="3">
        <f t="shared" si="1"/>
        <v>356905.00000000006</v>
      </c>
      <c r="H28" s="3">
        <f t="shared" si="2"/>
        <v>78519.099999999977</v>
      </c>
      <c r="I28" s="3">
        <f t="shared" si="3"/>
        <v>46397.650000000023</v>
      </c>
      <c r="J28" s="3">
        <f t="shared" si="4"/>
        <v>124916.75000000001</v>
      </c>
      <c r="K28" s="3">
        <f t="shared" si="5"/>
        <v>78519.10000000002</v>
      </c>
      <c r="L28" s="3">
        <f t="shared" si="6"/>
        <v>28552.400000000005</v>
      </c>
      <c r="M28" s="3">
        <f t="shared" si="7"/>
        <v>42828.600000000006</v>
      </c>
      <c r="N28" s="3">
        <f t="shared" si="8"/>
        <v>35690.500000000007</v>
      </c>
      <c r="O28" s="3">
        <f t="shared" si="9"/>
        <v>0</v>
      </c>
      <c r="P28" s="18">
        <f t="shared" si="10"/>
        <v>7.4392562426278869E-2</v>
      </c>
      <c r="Q28" s="3" t="s">
        <v>497</v>
      </c>
      <c r="R28" s="3">
        <f t="shared" si="11"/>
        <v>435424.10000000003</v>
      </c>
      <c r="S28" s="3">
        <v>0</v>
      </c>
      <c r="T28" t="s">
        <v>481</v>
      </c>
    </row>
    <row r="29" spans="1:20" ht="15" customHeight="1" x14ac:dyDescent="0.25">
      <c r="A29" t="s">
        <v>152</v>
      </c>
      <c r="B29" t="s">
        <v>257</v>
      </c>
      <c r="C29" t="s">
        <v>112</v>
      </c>
      <c r="D29" s="2">
        <v>3262.5</v>
      </c>
      <c r="E29" s="3">
        <v>148.2056</v>
      </c>
      <c r="F29" s="3">
        <f t="shared" si="0"/>
        <v>483520.77</v>
      </c>
      <c r="G29" s="3">
        <f t="shared" si="1"/>
        <v>396328.5</v>
      </c>
      <c r="H29" s="3">
        <f t="shared" si="2"/>
        <v>87192.270000000019</v>
      </c>
      <c r="I29" s="3">
        <f t="shared" si="3"/>
        <v>51522.704999999958</v>
      </c>
      <c r="J29" s="3">
        <f t="shared" si="4"/>
        <v>138714.97499999998</v>
      </c>
      <c r="K29" s="3">
        <f t="shared" si="5"/>
        <v>87192.27</v>
      </c>
      <c r="L29" s="3">
        <f t="shared" si="6"/>
        <v>31706.280000000002</v>
      </c>
      <c r="M29" s="3">
        <f t="shared" si="7"/>
        <v>47559.42</v>
      </c>
      <c r="N29" s="3">
        <f t="shared" si="8"/>
        <v>39632.850000000006</v>
      </c>
      <c r="O29" s="3">
        <f t="shared" si="9"/>
        <v>0</v>
      </c>
      <c r="P29" s="18">
        <f t="shared" si="10"/>
        <v>8.2609917702367475E-2</v>
      </c>
      <c r="Q29" s="3" t="s">
        <v>497</v>
      </c>
      <c r="R29" s="3">
        <f t="shared" si="11"/>
        <v>483520.77</v>
      </c>
      <c r="S29" s="3">
        <v>0</v>
      </c>
      <c r="T29" t="s">
        <v>481</v>
      </c>
    </row>
    <row r="30" spans="1:20" ht="15" customHeight="1" x14ac:dyDescent="0.25">
      <c r="A30" t="s">
        <v>152</v>
      </c>
      <c r="B30" t="s">
        <v>258</v>
      </c>
      <c r="C30" t="s">
        <v>146</v>
      </c>
      <c r="D30" s="2">
        <v>75</v>
      </c>
      <c r="E30" s="3">
        <v>27220.091</v>
      </c>
      <c r="F30" s="3">
        <f t="shared" si="0"/>
        <v>2041506.825</v>
      </c>
      <c r="G30" s="3">
        <f t="shared" si="1"/>
        <v>1673366.25</v>
      </c>
      <c r="H30" s="3">
        <f t="shared" si="2"/>
        <v>368140.57499999995</v>
      </c>
      <c r="I30" s="3">
        <f t="shared" si="3"/>
        <v>217537.61250000005</v>
      </c>
      <c r="J30" s="3">
        <f t="shared" si="4"/>
        <v>585678.1875</v>
      </c>
      <c r="K30" s="3">
        <f t="shared" si="5"/>
        <v>368140.57500000001</v>
      </c>
      <c r="L30" s="3">
        <f t="shared" si="6"/>
        <v>133869.29999999999</v>
      </c>
      <c r="M30" s="3">
        <f t="shared" si="7"/>
        <v>200803.94999999998</v>
      </c>
      <c r="N30" s="3">
        <f t="shared" si="8"/>
        <v>167336.625</v>
      </c>
      <c r="O30" s="3">
        <f t="shared" si="9"/>
        <v>0</v>
      </c>
      <c r="P30" s="18">
        <f t="shared" si="10"/>
        <v>0.348793105210499</v>
      </c>
      <c r="Q30" s="3" t="s">
        <v>497</v>
      </c>
      <c r="R30" s="3">
        <f t="shared" si="11"/>
        <v>2041506.825</v>
      </c>
      <c r="S30" s="3">
        <v>0</v>
      </c>
      <c r="T30" t="s">
        <v>481</v>
      </c>
    </row>
    <row r="31" spans="1:20" ht="15" customHeight="1" x14ac:dyDescent="0.25">
      <c r="A31" t="s">
        <v>152</v>
      </c>
      <c r="B31" t="s">
        <v>259</v>
      </c>
      <c r="C31" t="s">
        <v>145</v>
      </c>
      <c r="D31" s="2">
        <v>250</v>
      </c>
      <c r="E31" s="3">
        <v>2551.5567999999998</v>
      </c>
      <c r="F31" s="3">
        <f t="shared" si="0"/>
        <v>637889.19999999995</v>
      </c>
      <c r="G31" s="3">
        <f t="shared" si="1"/>
        <v>522860</v>
      </c>
      <c r="H31" s="3">
        <f t="shared" si="2"/>
        <v>115029.19999999995</v>
      </c>
      <c r="I31" s="3">
        <f t="shared" si="3"/>
        <v>67971.799999999988</v>
      </c>
      <c r="J31" s="3">
        <f t="shared" si="4"/>
        <v>183001</v>
      </c>
      <c r="K31" s="3">
        <f t="shared" si="5"/>
        <v>115029.2</v>
      </c>
      <c r="L31" s="3">
        <f t="shared" si="6"/>
        <v>41828.800000000003</v>
      </c>
      <c r="M31" s="3">
        <f t="shared" si="7"/>
        <v>62743.199999999997</v>
      </c>
      <c r="N31" s="3">
        <f t="shared" si="8"/>
        <v>52286</v>
      </c>
      <c r="O31" s="3">
        <f t="shared" si="9"/>
        <v>0</v>
      </c>
      <c r="P31" s="18">
        <f t="shared" si="10"/>
        <v>0.10898388980318058</v>
      </c>
      <c r="Q31" s="3" t="s">
        <v>497</v>
      </c>
      <c r="R31" s="3">
        <f t="shared" si="11"/>
        <v>637889.19999999995</v>
      </c>
      <c r="S31" s="3">
        <v>0</v>
      </c>
      <c r="T31" t="s">
        <v>481</v>
      </c>
    </row>
    <row r="32" spans="1:20" ht="15" customHeight="1" x14ac:dyDescent="0.25">
      <c r="A32" t="s">
        <v>152</v>
      </c>
      <c r="B32" t="s">
        <v>153</v>
      </c>
      <c r="C32" t="s">
        <v>146</v>
      </c>
      <c r="D32" s="2">
        <v>2.75</v>
      </c>
      <c r="E32" s="3">
        <v>0</v>
      </c>
      <c r="F32" s="3">
        <f t="shared" si="0"/>
        <v>0</v>
      </c>
      <c r="G32" s="3">
        <f t="shared" si="1"/>
        <v>0</v>
      </c>
      <c r="H32" s="3">
        <f t="shared" si="2"/>
        <v>0</v>
      </c>
      <c r="I32" s="3">
        <f t="shared" si="3"/>
        <v>0</v>
      </c>
      <c r="J32" s="3">
        <f t="shared" si="4"/>
        <v>0</v>
      </c>
      <c r="K32" s="3">
        <f t="shared" si="5"/>
        <v>0</v>
      </c>
      <c r="L32" s="3">
        <f t="shared" si="6"/>
        <v>0</v>
      </c>
      <c r="M32" s="3">
        <f t="shared" si="7"/>
        <v>0</v>
      </c>
      <c r="N32" s="3">
        <f t="shared" si="8"/>
        <v>0</v>
      </c>
      <c r="O32" s="3">
        <f t="shared" si="9"/>
        <v>0</v>
      </c>
      <c r="P32" s="18">
        <f t="shared" si="10"/>
        <v>0</v>
      </c>
      <c r="Q32" s="3" t="s">
        <v>497</v>
      </c>
      <c r="R32" s="3">
        <f t="shared" si="11"/>
        <v>0</v>
      </c>
      <c r="S32" s="3">
        <v>0</v>
      </c>
      <c r="T32" t="s">
        <v>481</v>
      </c>
    </row>
    <row r="33" spans="1:20" ht="15" customHeight="1" x14ac:dyDescent="0.25">
      <c r="A33" t="s">
        <v>152</v>
      </c>
      <c r="B33" t="s">
        <v>154</v>
      </c>
      <c r="C33" t="s">
        <v>146</v>
      </c>
      <c r="D33" s="2">
        <v>12.5</v>
      </c>
      <c r="E33" s="3">
        <v>0</v>
      </c>
      <c r="F33" s="3">
        <f t="shared" si="0"/>
        <v>0</v>
      </c>
      <c r="G33" s="3">
        <f t="shared" si="1"/>
        <v>0</v>
      </c>
      <c r="H33" s="3">
        <f t="shared" si="2"/>
        <v>0</v>
      </c>
      <c r="I33" s="3">
        <f t="shared" si="3"/>
        <v>0</v>
      </c>
      <c r="J33" s="3">
        <f t="shared" si="4"/>
        <v>0</v>
      </c>
      <c r="K33" s="3">
        <f t="shared" si="5"/>
        <v>0</v>
      </c>
      <c r="L33" s="3">
        <f t="shared" si="6"/>
        <v>0</v>
      </c>
      <c r="M33" s="3">
        <f t="shared" si="7"/>
        <v>0</v>
      </c>
      <c r="N33" s="3">
        <f t="shared" si="8"/>
        <v>0</v>
      </c>
      <c r="O33" s="3">
        <f t="shared" si="9"/>
        <v>0</v>
      </c>
      <c r="P33" s="18">
        <f t="shared" si="10"/>
        <v>0</v>
      </c>
      <c r="Q33" s="3" t="s">
        <v>497</v>
      </c>
      <c r="R33" s="3">
        <f t="shared" si="11"/>
        <v>0</v>
      </c>
      <c r="S33" s="3">
        <v>0</v>
      </c>
      <c r="T33" t="s">
        <v>481</v>
      </c>
    </row>
    <row r="34" spans="1:20" ht="15" customHeight="1" x14ac:dyDescent="0.25">
      <c r="A34" t="s">
        <v>152</v>
      </c>
      <c r="B34" t="s">
        <v>155</v>
      </c>
      <c r="C34" t="s">
        <v>112</v>
      </c>
      <c r="D34" s="2">
        <v>750</v>
      </c>
      <c r="E34" s="3">
        <v>0</v>
      </c>
      <c r="F34" s="3">
        <f t="shared" si="0"/>
        <v>0</v>
      </c>
      <c r="G34" s="3">
        <f t="shared" si="1"/>
        <v>0</v>
      </c>
      <c r="H34" s="3">
        <f t="shared" si="2"/>
        <v>0</v>
      </c>
      <c r="I34" s="3">
        <f t="shared" si="3"/>
        <v>0</v>
      </c>
      <c r="J34" s="3">
        <f t="shared" si="4"/>
        <v>0</v>
      </c>
      <c r="K34" s="3">
        <f t="shared" si="5"/>
        <v>0</v>
      </c>
      <c r="L34" s="3">
        <f t="shared" si="6"/>
        <v>0</v>
      </c>
      <c r="M34" s="3">
        <f t="shared" si="7"/>
        <v>0</v>
      </c>
      <c r="N34" s="3">
        <f t="shared" si="8"/>
        <v>0</v>
      </c>
      <c r="O34" s="3">
        <f t="shared" si="9"/>
        <v>0</v>
      </c>
      <c r="P34" s="18">
        <f t="shared" si="10"/>
        <v>0</v>
      </c>
      <c r="Q34" s="3" t="s">
        <v>497</v>
      </c>
      <c r="R34" s="3">
        <f t="shared" si="11"/>
        <v>0</v>
      </c>
      <c r="S34" s="3">
        <v>0</v>
      </c>
      <c r="T34" t="s">
        <v>481</v>
      </c>
    </row>
    <row r="35" spans="1:20" ht="15" customHeight="1" x14ac:dyDescent="0.25">
      <c r="A35" t="s">
        <v>152</v>
      </c>
      <c r="B35" t="s">
        <v>156</v>
      </c>
      <c r="C35" t="s">
        <v>112</v>
      </c>
      <c r="D35" s="2">
        <v>2847.5</v>
      </c>
      <c r="E35" s="3">
        <v>0</v>
      </c>
      <c r="F35" s="3">
        <f t="shared" si="0"/>
        <v>0</v>
      </c>
      <c r="G35" s="3">
        <f t="shared" si="1"/>
        <v>0</v>
      </c>
      <c r="H35" s="3">
        <f t="shared" si="2"/>
        <v>0</v>
      </c>
      <c r="I35" s="3">
        <f t="shared" si="3"/>
        <v>0</v>
      </c>
      <c r="J35" s="3">
        <f t="shared" si="4"/>
        <v>0</v>
      </c>
      <c r="K35" s="3">
        <f t="shared" si="5"/>
        <v>0</v>
      </c>
      <c r="L35" s="3">
        <f t="shared" si="6"/>
        <v>0</v>
      </c>
      <c r="M35" s="3">
        <f t="shared" si="7"/>
        <v>0</v>
      </c>
      <c r="N35" s="3">
        <f t="shared" si="8"/>
        <v>0</v>
      </c>
      <c r="O35" s="3">
        <f t="shared" si="9"/>
        <v>0</v>
      </c>
      <c r="P35" s="18">
        <f t="shared" si="10"/>
        <v>0</v>
      </c>
      <c r="Q35" s="3" t="s">
        <v>497</v>
      </c>
      <c r="R35" s="3">
        <f t="shared" si="11"/>
        <v>0</v>
      </c>
      <c r="S35" s="3">
        <v>0</v>
      </c>
      <c r="T35" t="s">
        <v>481</v>
      </c>
    </row>
    <row r="36" spans="1:20" ht="15" customHeight="1" x14ac:dyDescent="0.25">
      <c r="A36" t="s">
        <v>152</v>
      </c>
      <c r="B36" t="s">
        <v>157</v>
      </c>
      <c r="C36" t="s">
        <v>112</v>
      </c>
      <c r="D36" s="2">
        <v>415</v>
      </c>
      <c r="E36" s="3">
        <v>0</v>
      </c>
      <c r="F36" s="3">
        <f t="shared" si="0"/>
        <v>0</v>
      </c>
      <c r="G36" s="3">
        <f t="shared" si="1"/>
        <v>0</v>
      </c>
      <c r="H36" s="3">
        <f t="shared" si="2"/>
        <v>0</v>
      </c>
      <c r="I36" s="3">
        <f t="shared" si="3"/>
        <v>0</v>
      </c>
      <c r="J36" s="3">
        <f t="shared" si="4"/>
        <v>0</v>
      </c>
      <c r="K36" s="3">
        <f t="shared" si="5"/>
        <v>0</v>
      </c>
      <c r="L36" s="3">
        <f t="shared" si="6"/>
        <v>0</v>
      </c>
      <c r="M36" s="3">
        <f t="shared" si="7"/>
        <v>0</v>
      </c>
      <c r="N36" s="3">
        <f t="shared" si="8"/>
        <v>0</v>
      </c>
      <c r="O36" s="3">
        <f t="shared" si="9"/>
        <v>0</v>
      </c>
      <c r="P36" s="18">
        <f t="shared" si="10"/>
        <v>0</v>
      </c>
      <c r="Q36" s="3" t="s">
        <v>497</v>
      </c>
      <c r="R36" s="3">
        <f t="shared" si="11"/>
        <v>0</v>
      </c>
      <c r="S36" s="3">
        <v>0</v>
      </c>
      <c r="T36" t="s">
        <v>481</v>
      </c>
    </row>
    <row r="37" spans="1:20" ht="15" customHeight="1" x14ac:dyDescent="0.25">
      <c r="A37" t="s">
        <v>152</v>
      </c>
      <c r="B37" t="s">
        <v>158</v>
      </c>
      <c r="C37" t="s">
        <v>146</v>
      </c>
      <c r="D37" s="2">
        <v>75</v>
      </c>
      <c r="E37" s="3">
        <v>0</v>
      </c>
      <c r="F37" s="3">
        <f t="shared" si="0"/>
        <v>0</v>
      </c>
      <c r="G37" s="3">
        <f t="shared" si="1"/>
        <v>0</v>
      </c>
      <c r="H37" s="3">
        <f t="shared" si="2"/>
        <v>0</v>
      </c>
      <c r="I37" s="3">
        <f t="shared" si="3"/>
        <v>0</v>
      </c>
      <c r="J37" s="3">
        <f t="shared" si="4"/>
        <v>0</v>
      </c>
      <c r="K37" s="3">
        <f t="shared" si="5"/>
        <v>0</v>
      </c>
      <c r="L37" s="3">
        <f t="shared" si="6"/>
        <v>0</v>
      </c>
      <c r="M37" s="3">
        <f t="shared" si="7"/>
        <v>0</v>
      </c>
      <c r="N37" s="3">
        <f t="shared" si="8"/>
        <v>0</v>
      </c>
      <c r="O37" s="3">
        <f t="shared" si="9"/>
        <v>0</v>
      </c>
      <c r="P37" s="18">
        <f t="shared" si="10"/>
        <v>0</v>
      </c>
      <c r="Q37" s="3" t="s">
        <v>497</v>
      </c>
      <c r="R37" s="3">
        <f t="shared" si="11"/>
        <v>0</v>
      </c>
      <c r="S37" s="3">
        <v>0</v>
      </c>
      <c r="T37" t="s">
        <v>481</v>
      </c>
    </row>
    <row r="38" spans="1:20" ht="15" customHeight="1" x14ac:dyDescent="0.25">
      <c r="A38" t="s">
        <v>152</v>
      </c>
      <c r="B38" t="s">
        <v>159</v>
      </c>
      <c r="C38" t="s">
        <v>112</v>
      </c>
      <c r="D38" s="2">
        <v>1000</v>
      </c>
      <c r="E38" s="3">
        <v>0</v>
      </c>
      <c r="F38" s="3">
        <f t="shared" si="0"/>
        <v>0</v>
      </c>
      <c r="G38" s="3">
        <f t="shared" si="1"/>
        <v>0</v>
      </c>
      <c r="H38" s="3">
        <f t="shared" si="2"/>
        <v>0</v>
      </c>
      <c r="I38" s="3">
        <f t="shared" si="3"/>
        <v>0</v>
      </c>
      <c r="J38" s="3">
        <f t="shared" si="4"/>
        <v>0</v>
      </c>
      <c r="K38" s="3">
        <f t="shared" si="5"/>
        <v>0</v>
      </c>
      <c r="L38" s="3">
        <f t="shared" si="6"/>
        <v>0</v>
      </c>
      <c r="M38" s="3">
        <f t="shared" si="7"/>
        <v>0</v>
      </c>
      <c r="N38" s="3">
        <f t="shared" si="8"/>
        <v>0</v>
      </c>
      <c r="O38" s="3">
        <f t="shared" si="9"/>
        <v>0</v>
      </c>
      <c r="P38" s="18">
        <f t="shared" si="10"/>
        <v>0</v>
      </c>
      <c r="Q38" s="3" t="s">
        <v>497</v>
      </c>
      <c r="R38" s="3">
        <f t="shared" si="11"/>
        <v>0</v>
      </c>
      <c r="S38" s="3">
        <v>0</v>
      </c>
      <c r="T38" t="s">
        <v>481</v>
      </c>
    </row>
    <row r="39" spans="1:20" ht="15" customHeight="1" x14ac:dyDescent="0.25">
      <c r="A39" t="s">
        <v>152</v>
      </c>
      <c r="B39" t="s">
        <v>161</v>
      </c>
      <c r="C39" t="s">
        <v>132</v>
      </c>
      <c r="D39" s="2">
        <v>4.2</v>
      </c>
      <c r="E39" s="3">
        <v>0</v>
      </c>
      <c r="F39" s="3">
        <f t="shared" si="0"/>
        <v>0</v>
      </c>
      <c r="G39" s="3">
        <f t="shared" si="1"/>
        <v>0</v>
      </c>
      <c r="H39" s="3">
        <f t="shared" si="2"/>
        <v>0</v>
      </c>
      <c r="I39" s="3">
        <f t="shared" si="3"/>
        <v>0</v>
      </c>
      <c r="J39" s="3">
        <f t="shared" si="4"/>
        <v>0</v>
      </c>
      <c r="K39" s="3">
        <f t="shared" si="5"/>
        <v>0</v>
      </c>
      <c r="L39" s="3">
        <f t="shared" si="6"/>
        <v>0</v>
      </c>
      <c r="M39" s="3">
        <f t="shared" si="7"/>
        <v>0</v>
      </c>
      <c r="N39" s="3">
        <f t="shared" si="8"/>
        <v>0</v>
      </c>
      <c r="O39" s="3">
        <f t="shared" si="9"/>
        <v>0</v>
      </c>
      <c r="P39" s="18">
        <f t="shared" si="10"/>
        <v>0</v>
      </c>
      <c r="Q39" s="3" t="s">
        <v>497</v>
      </c>
      <c r="R39" s="3">
        <f t="shared" si="11"/>
        <v>0</v>
      </c>
      <c r="S39" s="3">
        <v>0</v>
      </c>
      <c r="T39" t="s">
        <v>481</v>
      </c>
    </row>
    <row r="40" spans="1:20" ht="15" customHeight="1" x14ac:dyDescent="0.25">
      <c r="A40" t="s">
        <v>152</v>
      </c>
      <c r="B40" t="s">
        <v>163</v>
      </c>
      <c r="C40" t="s">
        <v>132</v>
      </c>
      <c r="D40" s="2">
        <v>0.18</v>
      </c>
      <c r="E40" s="3">
        <v>0</v>
      </c>
      <c r="F40" s="3">
        <f t="shared" si="0"/>
        <v>0</v>
      </c>
      <c r="G40" s="3">
        <f t="shared" si="1"/>
        <v>0</v>
      </c>
      <c r="H40" s="3">
        <f t="shared" si="2"/>
        <v>0</v>
      </c>
      <c r="I40" s="3">
        <f t="shared" si="3"/>
        <v>0</v>
      </c>
      <c r="J40" s="3">
        <f t="shared" si="4"/>
        <v>0</v>
      </c>
      <c r="K40" s="3">
        <f t="shared" si="5"/>
        <v>0</v>
      </c>
      <c r="L40" s="3">
        <f t="shared" si="6"/>
        <v>0</v>
      </c>
      <c r="M40" s="3">
        <f t="shared" si="7"/>
        <v>0</v>
      </c>
      <c r="N40" s="3">
        <f t="shared" si="8"/>
        <v>0</v>
      </c>
      <c r="O40" s="3">
        <f t="shared" si="9"/>
        <v>0</v>
      </c>
      <c r="P40" s="18">
        <f t="shared" si="10"/>
        <v>0</v>
      </c>
      <c r="Q40" s="3" t="s">
        <v>497</v>
      </c>
      <c r="R40" s="3">
        <f t="shared" si="11"/>
        <v>0</v>
      </c>
      <c r="S40" s="3">
        <v>0</v>
      </c>
      <c r="T40" t="s">
        <v>481</v>
      </c>
    </row>
    <row r="41" spans="1:20" ht="15" customHeight="1" x14ac:dyDescent="0.25">
      <c r="A41" t="s">
        <v>152</v>
      </c>
      <c r="B41" t="s">
        <v>133</v>
      </c>
      <c r="C41" t="s">
        <v>146</v>
      </c>
      <c r="D41" s="2">
        <v>2.3519999999999999E-2</v>
      </c>
      <c r="E41" s="3">
        <v>0</v>
      </c>
      <c r="F41" s="3">
        <f t="shared" si="0"/>
        <v>0</v>
      </c>
      <c r="G41" s="3">
        <f t="shared" si="1"/>
        <v>0</v>
      </c>
      <c r="H41" s="3">
        <f t="shared" si="2"/>
        <v>0</v>
      </c>
      <c r="I41" s="3">
        <f t="shared" si="3"/>
        <v>0</v>
      </c>
      <c r="J41" s="3">
        <f t="shared" si="4"/>
        <v>0</v>
      </c>
      <c r="K41" s="3">
        <f t="shared" si="5"/>
        <v>0</v>
      </c>
      <c r="L41" s="3">
        <f t="shared" si="6"/>
        <v>0</v>
      </c>
      <c r="M41" s="3">
        <f t="shared" si="7"/>
        <v>0</v>
      </c>
      <c r="N41" s="3">
        <f t="shared" si="8"/>
        <v>0</v>
      </c>
      <c r="O41" s="3">
        <f t="shared" si="9"/>
        <v>0</v>
      </c>
      <c r="P41" s="18">
        <f t="shared" si="10"/>
        <v>0</v>
      </c>
      <c r="Q41" s="3" t="s">
        <v>497</v>
      </c>
      <c r="R41" s="3">
        <f t="shared" si="11"/>
        <v>0</v>
      </c>
      <c r="S41" s="3">
        <v>0</v>
      </c>
      <c r="T41" t="s">
        <v>481</v>
      </c>
    </row>
    <row r="42" spans="1:20" ht="15" customHeight="1" x14ac:dyDescent="0.25">
      <c r="A42" t="s">
        <v>165</v>
      </c>
      <c r="B42" t="s">
        <v>264</v>
      </c>
      <c r="C42" t="s">
        <v>123</v>
      </c>
      <c r="D42" s="2">
        <v>50</v>
      </c>
      <c r="E42" s="3">
        <v>352.75080000000003</v>
      </c>
      <c r="F42" s="3">
        <f t="shared" si="0"/>
        <v>17637.54</v>
      </c>
      <c r="G42" s="3">
        <f t="shared" si="1"/>
        <v>14457.000000000002</v>
      </c>
      <c r="H42" s="3">
        <f t="shared" si="2"/>
        <v>3180.5399999999991</v>
      </c>
      <c r="I42" s="3">
        <f t="shared" si="3"/>
        <v>1879.4099999999999</v>
      </c>
      <c r="J42" s="3">
        <f t="shared" si="4"/>
        <v>5059.9500000000007</v>
      </c>
      <c r="K42" s="3">
        <f t="shared" si="5"/>
        <v>3180.5400000000004</v>
      </c>
      <c r="L42" s="3">
        <f t="shared" si="6"/>
        <v>1156.5600000000002</v>
      </c>
      <c r="M42" s="3">
        <f t="shared" si="7"/>
        <v>1734.8400000000001</v>
      </c>
      <c r="N42" s="3">
        <f t="shared" si="8"/>
        <v>1445.7000000000003</v>
      </c>
      <c r="O42" s="3">
        <f t="shared" si="9"/>
        <v>0</v>
      </c>
      <c r="P42" s="18">
        <f t="shared" si="10"/>
        <v>3.0133880864563777E-3</v>
      </c>
      <c r="Q42" s="3" t="s">
        <v>497</v>
      </c>
      <c r="R42" s="3">
        <f t="shared" si="11"/>
        <v>17637.54</v>
      </c>
      <c r="S42" s="3">
        <v>0</v>
      </c>
      <c r="T42" t="s">
        <v>481</v>
      </c>
    </row>
    <row r="43" spans="1:20" ht="15" customHeight="1" x14ac:dyDescent="0.25">
      <c r="A43" t="s">
        <v>165</v>
      </c>
      <c r="B43" t="s">
        <v>166</v>
      </c>
      <c r="C43" t="s">
        <v>145</v>
      </c>
      <c r="D43" s="2">
        <v>15</v>
      </c>
      <c r="E43" s="3">
        <v>0</v>
      </c>
      <c r="F43" s="3">
        <f t="shared" si="0"/>
        <v>0</v>
      </c>
      <c r="G43" s="3">
        <f t="shared" si="1"/>
        <v>0</v>
      </c>
      <c r="H43" s="3">
        <f t="shared" si="2"/>
        <v>0</v>
      </c>
      <c r="I43" s="3">
        <f t="shared" si="3"/>
        <v>0</v>
      </c>
      <c r="J43" s="3">
        <f t="shared" si="4"/>
        <v>0</v>
      </c>
      <c r="K43" s="3">
        <f t="shared" si="5"/>
        <v>0</v>
      </c>
      <c r="L43" s="3">
        <f t="shared" si="6"/>
        <v>0</v>
      </c>
      <c r="M43" s="3">
        <f t="shared" si="7"/>
        <v>0</v>
      </c>
      <c r="N43" s="3">
        <f t="shared" si="8"/>
        <v>0</v>
      </c>
      <c r="O43" s="3">
        <f t="shared" si="9"/>
        <v>0</v>
      </c>
      <c r="P43" s="18">
        <f t="shared" si="10"/>
        <v>0</v>
      </c>
      <c r="Q43" s="3" t="s">
        <v>497</v>
      </c>
      <c r="R43" s="3">
        <f t="shared" si="11"/>
        <v>0</v>
      </c>
      <c r="S43" s="3">
        <v>0</v>
      </c>
      <c r="T43" t="s">
        <v>481</v>
      </c>
    </row>
    <row r="44" spans="1:20" ht="15" customHeight="1" x14ac:dyDescent="0.25">
      <c r="A44" t="s">
        <v>165</v>
      </c>
      <c r="B44" t="s">
        <v>168</v>
      </c>
      <c r="C44" t="s">
        <v>123</v>
      </c>
      <c r="D44" s="2">
        <v>12</v>
      </c>
      <c r="E44" s="3">
        <v>0</v>
      </c>
      <c r="F44" s="3">
        <f t="shared" si="0"/>
        <v>0</v>
      </c>
      <c r="G44" s="3">
        <f t="shared" si="1"/>
        <v>0</v>
      </c>
      <c r="H44" s="3">
        <f t="shared" si="2"/>
        <v>0</v>
      </c>
      <c r="I44" s="3">
        <f t="shared" si="3"/>
        <v>0</v>
      </c>
      <c r="J44" s="3">
        <f t="shared" si="4"/>
        <v>0</v>
      </c>
      <c r="K44" s="3">
        <f t="shared" si="5"/>
        <v>0</v>
      </c>
      <c r="L44" s="3">
        <f t="shared" si="6"/>
        <v>0</v>
      </c>
      <c r="M44" s="3">
        <f t="shared" si="7"/>
        <v>0</v>
      </c>
      <c r="N44" s="3">
        <f t="shared" si="8"/>
        <v>0</v>
      </c>
      <c r="O44" s="3">
        <f t="shared" si="9"/>
        <v>0</v>
      </c>
      <c r="P44" s="18">
        <f t="shared" si="10"/>
        <v>0</v>
      </c>
      <c r="Q44" s="3" t="s">
        <v>497</v>
      </c>
      <c r="R44" s="3">
        <f t="shared" si="11"/>
        <v>0</v>
      </c>
      <c r="S44" s="3">
        <v>0</v>
      </c>
      <c r="T44" t="s">
        <v>481</v>
      </c>
    </row>
    <row r="45" spans="1:20" ht="15" customHeight="1" x14ac:dyDescent="0.25">
      <c r="A45" t="s">
        <v>165</v>
      </c>
      <c r="B45" t="s">
        <v>161</v>
      </c>
      <c r="C45" t="s">
        <v>132</v>
      </c>
      <c r="D45" s="2">
        <v>4.2</v>
      </c>
      <c r="E45" s="3">
        <v>0</v>
      </c>
      <c r="F45" s="3">
        <f t="shared" si="0"/>
        <v>0</v>
      </c>
      <c r="G45" s="3">
        <f t="shared" si="1"/>
        <v>0</v>
      </c>
      <c r="H45" s="3">
        <f t="shared" si="2"/>
        <v>0</v>
      </c>
      <c r="I45" s="3">
        <f t="shared" si="3"/>
        <v>0</v>
      </c>
      <c r="J45" s="3">
        <f t="shared" si="4"/>
        <v>0</v>
      </c>
      <c r="K45" s="3">
        <f t="shared" si="5"/>
        <v>0</v>
      </c>
      <c r="L45" s="3">
        <f t="shared" si="6"/>
        <v>0</v>
      </c>
      <c r="M45" s="3">
        <f t="shared" si="7"/>
        <v>0</v>
      </c>
      <c r="N45" s="3">
        <f t="shared" si="8"/>
        <v>0</v>
      </c>
      <c r="O45" s="3">
        <f t="shared" si="9"/>
        <v>0</v>
      </c>
      <c r="P45" s="18">
        <f t="shared" si="10"/>
        <v>0</v>
      </c>
      <c r="Q45" s="3" t="s">
        <v>497</v>
      </c>
      <c r="R45" s="3">
        <f t="shared" si="11"/>
        <v>0</v>
      </c>
      <c r="S45" s="3">
        <v>0</v>
      </c>
      <c r="T45" t="s">
        <v>481</v>
      </c>
    </row>
    <row r="46" spans="1:20" ht="15" customHeight="1" x14ac:dyDescent="0.25">
      <c r="A46" t="s">
        <v>165</v>
      </c>
      <c r="B46" t="s">
        <v>163</v>
      </c>
      <c r="C46" t="s">
        <v>132</v>
      </c>
      <c r="D46" s="2">
        <v>0.18</v>
      </c>
      <c r="E46" s="3">
        <v>0</v>
      </c>
      <c r="F46" s="3">
        <f t="shared" si="0"/>
        <v>0</v>
      </c>
      <c r="G46" s="3">
        <f t="shared" si="1"/>
        <v>0</v>
      </c>
      <c r="H46" s="3">
        <f t="shared" si="2"/>
        <v>0</v>
      </c>
      <c r="I46" s="3">
        <f t="shared" si="3"/>
        <v>0</v>
      </c>
      <c r="J46" s="3">
        <f t="shared" si="4"/>
        <v>0</v>
      </c>
      <c r="K46" s="3">
        <f t="shared" si="5"/>
        <v>0</v>
      </c>
      <c r="L46" s="3">
        <f t="shared" si="6"/>
        <v>0</v>
      </c>
      <c r="M46" s="3">
        <f t="shared" si="7"/>
        <v>0</v>
      </c>
      <c r="N46" s="3">
        <f t="shared" si="8"/>
        <v>0</v>
      </c>
      <c r="O46" s="3">
        <f t="shared" si="9"/>
        <v>0</v>
      </c>
      <c r="P46" s="18">
        <f t="shared" si="10"/>
        <v>0</v>
      </c>
      <c r="Q46" s="3" t="s">
        <v>497</v>
      </c>
      <c r="R46" s="3">
        <f t="shared" si="11"/>
        <v>0</v>
      </c>
      <c r="S46" s="3">
        <v>0</v>
      </c>
      <c r="T46" t="s">
        <v>481</v>
      </c>
    </row>
    <row r="47" spans="1:20" ht="15" customHeight="1" x14ac:dyDescent="0.25">
      <c r="A47" t="s">
        <v>165</v>
      </c>
      <c r="B47" t="s">
        <v>133</v>
      </c>
      <c r="C47" t="s">
        <v>146</v>
      </c>
      <c r="D47" s="2">
        <v>2.3519999999999999E-2</v>
      </c>
      <c r="E47" s="3">
        <v>0</v>
      </c>
      <c r="F47" s="3">
        <f t="shared" si="0"/>
        <v>0</v>
      </c>
      <c r="G47" s="3">
        <f t="shared" si="1"/>
        <v>0</v>
      </c>
      <c r="H47" s="3">
        <f t="shared" si="2"/>
        <v>0</v>
      </c>
      <c r="I47" s="3">
        <f t="shared" si="3"/>
        <v>0</v>
      </c>
      <c r="J47" s="3">
        <f t="shared" si="4"/>
        <v>0</v>
      </c>
      <c r="K47" s="3">
        <f t="shared" si="5"/>
        <v>0</v>
      </c>
      <c r="L47" s="3">
        <f t="shared" si="6"/>
        <v>0</v>
      </c>
      <c r="M47" s="3">
        <f t="shared" si="7"/>
        <v>0</v>
      </c>
      <c r="N47" s="3">
        <f t="shared" si="8"/>
        <v>0</v>
      </c>
      <c r="O47" s="3">
        <f t="shared" si="9"/>
        <v>0</v>
      </c>
      <c r="P47" s="18">
        <f t="shared" si="10"/>
        <v>0</v>
      </c>
      <c r="Q47" s="3" t="s">
        <v>497</v>
      </c>
      <c r="R47" s="3">
        <f t="shared" si="11"/>
        <v>0</v>
      </c>
      <c r="S47" s="3">
        <v>0</v>
      </c>
      <c r="T47" t="s">
        <v>481</v>
      </c>
    </row>
    <row r="48" spans="1:20" ht="15" customHeight="1" x14ac:dyDescent="0.25">
      <c r="A48" s="13" t="s">
        <v>54</v>
      </c>
      <c r="B48" s="13"/>
      <c r="C48" s="13"/>
      <c r="D48" s="14">
        <f>SUM(D9:D47)</f>
        <v>18152.716639999999</v>
      </c>
      <c r="E48" s="13"/>
      <c r="F48" s="10">
        <f t="shared" ref="F48:O48" si="12">SUM(F9:F47)</f>
        <v>5853059.5774476007</v>
      </c>
      <c r="G48" s="10">
        <f t="shared" si="12"/>
        <v>4797589.8175799996</v>
      </c>
      <c r="H48" s="10">
        <f t="shared" si="12"/>
        <v>1055469.7598675997</v>
      </c>
      <c r="I48" s="10">
        <f t="shared" si="12"/>
        <v>623686.67628540017</v>
      </c>
      <c r="J48" s="10">
        <f t="shared" si="12"/>
        <v>1679156.4361529995</v>
      </c>
      <c r="K48" s="10">
        <f t="shared" si="12"/>
        <v>1055469.7598675999</v>
      </c>
      <c r="L48" s="10">
        <f t="shared" si="12"/>
        <v>383807.18540639995</v>
      </c>
      <c r="M48" s="10">
        <f t="shared" si="12"/>
        <v>575710.77810959995</v>
      </c>
      <c r="N48" s="10">
        <f t="shared" si="12"/>
        <v>479758.98175800004</v>
      </c>
      <c r="O48" s="10">
        <f t="shared" si="12"/>
        <v>0</v>
      </c>
      <c r="P48" s="19">
        <f>1</f>
        <v>1</v>
      </c>
      <c r="Q48" s="10">
        <f>SUM(Q9:Q47)</f>
        <v>0</v>
      </c>
      <c r="R48" s="10">
        <f>SUM(R9:R47)</f>
        <v>5853059.5774476007</v>
      </c>
      <c r="S48" s="10">
        <f>SUM(S9:S47)</f>
        <v>0</v>
      </c>
      <c r="T48" s="13" t="s">
        <v>54</v>
      </c>
    </row>
    <row r="50" spans="1:2" ht="15" customHeight="1" x14ac:dyDescent="0.25">
      <c r="A50" s="1" t="s">
        <v>488</v>
      </c>
      <c r="B50" s="3">
        <f>R48</f>
        <v>5853059.5774476007</v>
      </c>
    </row>
    <row r="51" spans="1:2" ht="15" customHeight="1" x14ac:dyDescent="0.25">
      <c r="A51" s="1" t="s">
        <v>61</v>
      </c>
      <c r="B51" s="3">
        <f>S48</f>
        <v>0</v>
      </c>
    </row>
    <row r="52" spans="1:2" ht="15" customHeight="1" x14ac:dyDescent="0.25">
      <c r="A52" s="1" t="s">
        <v>489</v>
      </c>
      <c r="B52" s="3">
        <f>B50+B51</f>
        <v>5853059.5774476007</v>
      </c>
    </row>
  </sheetData>
  <mergeCells count="1">
    <mergeCell ref="A1:Q1"/>
  </mergeCells>
  <pageMargins left="0.75" right="0.75" top="1" bottom="1" header="0.511811023622047" footer="0.511811023622047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T52"/>
  <sheetViews>
    <sheetView showGridLines="0" zoomScaleNormal="100" workbookViewId="0">
      <pane ySplit="7" topLeftCell="A38" activePane="bottomLeft" state="frozen"/>
      <selection pane="bottomLeft" sqref="A1:Q1"/>
    </sheetView>
  </sheetViews>
  <sheetFormatPr defaultColWidth="8.7109375" defaultRowHeight="15" x14ac:dyDescent="0.25"/>
  <cols>
    <col min="1" max="1" width="24" customWidth="1"/>
    <col min="2" max="2" width="68" customWidth="1"/>
    <col min="3" max="3" width="10" customWidth="1"/>
    <col min="4" max="4" width="14" customWidth="1"/>
    <col min="5" max="5" width="18" customWidth="1"/>
    <col min="6" max="7" width="20" customWidth="1"/>
    <col min="8" max="14" width="18" customWidth="1"/>
    <col min="15" max="15" width="22" customWidth="1"/>
    <col min="16" max="16" width="14" customWidth="1"/>
    <col min="17" max="17" width="36" customWidth="1"/>
    <col min="18" max="19" width="24" customWidth="1"/>
    <col min="20" max="20" width="28" customWidth="1"/>
  </cols>
  <sheetData>
    <row r="1" spans="1:20" ht="17.25" customHeight="1" x14ac:dyDescent="0.25">
      <c r="A1" s="31" t="s">
        <v>498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20" ht="15" customHeight="1" x14ac:dyDescent="0.25">
      <c r="A2" s="1" t="s">
        <v>47</v>
      </c>
      <c r="B2" t="s">
        <v>51</v>
      </c>
    </row>
    <row r="3" spans="1:20" ht="15" customHeight="1" x14ac:dyDescent="0.25">
      <c r="A3" s="1" t="s">
        <v>55</v>
      </c>
      <c r="B3" t="s">
        <v>71</v>
      </c>
    </row>
    <row r="4" spans="1:20" ht="15" customHeight="1" x14ac:dyDescent="0.25">
      <c r="A4" s="1" t="s">
        <v>57</v>
      </c>
      <c r="B4" s="2">
        <v>140</v>
      </c>
    </row>
    <row r="5" spans="1:20" ht="15" customHeight="1" x14ac:dyDescent="0.25">
      <c r="A5" s="1" t="s">
        <v>467</v>
      </c>
      <c r="B5" s="3">
        <v>3454542.7711391998</v>
      </c>
    </row>
    <row r="6" spans="1:20" ht="15" customHeight="1" x14ac:dyDescent="0.25">
      <c r="A6" s="1" t="s">
        <v>468</v>
      </c>
      <c r="B6" t="s">
        <v>469</v>
      </c>
    </row>
    <row r="8" spans="1:20" ht="41.25" customHeight="1" x14ac:dyDescent="0.25">
      <c r="A8" s="12" t="s">
        <v>470</v>
      </c>
      <c r="B8" s="12" t="s">
        <v>180</v>
      </c>
      <c r="C8" s="12" t="s">
        <v>139</v>
      </c>
      <c r="D8" s="12" t="s">
        <v>140</v>
      </c>
      <c r="E8" s="12" t="s">
        <v>471</v>
      </c>
      <c r="F8" s="12" t="s">
        <v>472</v>
      </c>
      <c r="G8" s="12" t="s">
        <v>473</v>
      </c>
      <c r="H8" s="12" t="s">
        <v>181</v>
      </c>
      <c r="I8" s="12" t="s">
        <v>452</v>
      </c>
      <c r="J8" s="12" t="s">
        <v>454</v>
      </c>
      <c r="K8" s="12" t="s">
        <v>456</v>
      </c>
      <c r="L8" s="12" t="s">
        <v>457</v>
      </c>
      <c r="M8" s="12" t="s">
        <v>458</v>
      </c>
      <c r="N8" s="12" t="s">
        <v>459</v>
      </c>
      <c r="O8" s="12" t="s">
        <v>474</v>
      </c>
      <c r="P8" s="12" t="s">
        <v>475</v>
      </c>
      <c r="Q8" s="12" t="s">
        <v>476</v>
      </c>
      <c r="R8" s="12" t="s">
        <v>477</v>
      </c>
      <c r="S8" s="12" t="s">
        <v>61</v>
      </c>
      <c r="T8" s="12" t="s">
        <v>478</v>
      </c>
    </row>
    <row r="9" spans="1:20" ht="15" customHeight="1" x14ac:dyDescent="0.25">
      <c r="A9" t="s">
        <v>479</v>
      </c>
      <c r="B9" t="s">
        <v>482</v>
      </c>
      <c r="C9" t="s">
        <v>107</v>
      </c>
      <c r="D9" s="2">
        <v>42</v>
      </c>
      <c r="E9" s="3">
        <v>8492.2369999999992</v>
      </c>
      <c r="F9" s="3">
        <f t="shared" ref="F9:F47" si="0">D9*E9</f>
        <v>356673.95399999997</v>
      </c>
      <c r="G9" s="3">
        <f t="shared" ref="G9:G47" si="1">F9/1.22</f>
        <v>292355.69999999995</v>
      </c>
      <c r="H9" s="3">
        <f t="shared" ref="H9:H47" si="2">F9-G9</f>
        <v>64318.254000000015</v>
      </c>
      <c r="I9" s="3">
        <f t="shared" ref="I9:I47" si="3">G9-SUM(J9:N9)</f>
        <v>38006.24099999998</v>
      </c>
      <c r="J9" s="3">
        <f t="shared" ref="J9:J47" si="4">G9*0.35</f>
        <v>102324.49499999998</v>
      </c>
      <c r="K9" s="3">
        <f t="shared" ref="K9:K47" si="5">G9*0.22</f>
        <v>64318.253999999994</v>
      </c>
      <c r="L9" s="3">
        <f t="shared" ref="L9:L47" si="6">G9*0.08</f>
        <v>23388.455999999998</v>
      </c>
      <c r="M9" s="3">
        <f t="shared" ref="M9:M47" si="7">G9*0.12</f>
        <v>35082.683999999994</v>
      </c>
      <c r="N9" s="3">
        <f t="shared" ref="N9:N47" si="8">G9*0.1</f>
        <v>29235.569999999996</v>
      </c>
      <c r="O9" s="3">
        <f t="shared" ref="O9:O47" si="9">G9-SUM(I9:N9)</f>
        <v>0</v>
      </c>
      <c r="P9" s="18">
        <f t="shared" ref="P9:P47" si="10">IF($F$48=0,0,F9/$F$48)</f>
        <v>0.1032478037266796</v>
      </c>
      <c r="Q9" s="3" t="s">
        <v>499</v>
      </c>
      <c r="R9" s="3">
        <f t="shared" ref="R9:R47" si="11">F9</f>
        <v>356673.95399999997</v>
      </c>
      <c r="S9" s="3">
        <v>0</v>
      </c>
      <c r="T9" t="s">
        <v>481</v>
      </c>
    </row>
    <row r="10" spans="1:20" ht="15" customHeight="1" x14ac:dyDescent="0.25">
      <c r="A10" t="s">
        <v>479</v>
      </c>
      <c r="B10" t="s">
        <v>483</v>
      </c>
      <c r="C10" t="s">
        <v>112</v>
      </c>
      <c r="D10" s="2">
        <v>4512.1956</v>
      </c>
      <c r="E10" s="3">
        <v>0</v>
      </c>
      <c r="F10" s="3">
        <f t="shared" si="0"/>
        <v>0</v>
      </c>
      <c r="G10" s="3">
        <f t="shared" si="1"/>
        <v>0</v>
      </c>
      <c r="H10" s="3">
        <f t="shared" si="2"/>
        <v>0</v>
      </c>
      <c r="I10" s="3">
        <f t="shared" si="3"/>
        <v>0</v>
      </c>
      <c r="J10" s="3">
        <f t="shared" si="4"/>
        <v>0</v>
      </c>
      <c r="K10" s="3">
        <f t="shared" si="5"/>
        <v>0</v>
      </c>
      <c r="L10" s="3">
        <f t="shared" si="6"/>
        <v>0</v>
      </c>
      <c r="M10" s="3">
        <f t="shared" si="7"/>
        <v>0</v>
      </c>
      <c r="N10" s="3">
        <f t="shared" si="8"/>
        <v>0</v>
      </c>
      <c r="O10" s="3">
        <f t="shared" si="9"/>
        <v>0</v>
      </c>
      <c r="P10" s="18">
        <f t="shared" si="10"/>
        <v>0</v>
      </c>
      <c r="Q10" s="3" t="s">
        <v>499</v>
      </c>
      <c r="R10" s="3">
        <f t="shared" si="11"/>
        <v>0</v>
      </c>
      <c r="S10" s="3">
        <v>0</v>
      </c>
      <c r="T10" t="s">
        <v>481</v>
      </c>
    </row>
    <row r="11" spans="1:20" ht="15" customHeight="1" x14ac:dyDescent="0.25">
      <c r="A11" t="s">
        <v>479</v>
      </c>
      <c r="B11" t="s">
        <v>484</v>
      </c>
      <c r="C11" t="s">
        <v>107</v>
      </c>
      <c r="D11" s="2">
        <v>21</v>
      </c>
      <c r="E11" s="3">
        <v>1853.3630000000001</v>
      </c>
      <c r="F11" s="3">
        <f t="shared" si="0"/>
        <v>38920.623</v>
      </c>
      <c r="G11" s="3">
        <f t="shared" si="1"/>
        <v>31902.15</v>
      </c>
      <c r="H11" s="3">
        <f t="shared" si="2"/>
        <v>7018.4729999999981</v>
      </c>
      <c r="I11" s="3">
        <f t="shared" si="3"/>
        <v>4147.2795000000006</v>
      </c>
      <c r="J11" s="3">
        <f t="shared" si="4"/>
        <v>11165.752500000001</v>
      </c>
      <c r="K11" s="3">
        <f t="shared" si="5"/>
        <v>7018.473</v>
      </c>
      <c r="L11" s="3">
        <f t="shared" si="6"/>
        <v>2552.172</v>
      </c>
      <c r="M11" s="3">
        <f t="shared" si="7"/>
        <v>3828.2579999999998</v>
      </c>
      <c r="N11" s="3">
        <f t="shared" si="8"/>
        <v>3190.2150000000001</v>
      </c>
      <c r="O11" s="3">
        <f t="shared" si="9"/>
        <v>0</v>
      </c>
      <c r="P11" s="18">
        <f t="shared" si="10"/>
        <v>1.1266504883123852E-2</v>
      </c>
      <c r="Q11" s="3" t="s">
        <v>499</v>
      </c>
      <c r="R11" s="3">
        <f t="shared" si="11"/>
        <v>38920.623</v>
      </c>
      <c r="S11" s="3">
        <v>0</v>
      </c>
      <c r="T11" t="s">
        <v>481</v>
      </c>
    </row>
    <row r="12" spans="1:20" ht="15" customHeight="1" x14ac:dyDescent="0.25">
      <c r="A12" t="s">
        <v>479</v>
      </c>
      <c r="B12" t="s">
        <v>485</v>
      </c>
      <c r="C12" t="s">
        <v>107</v>
      </c>
      <c r="D12" s="2">
        <v>63</v>
      </c>
      <c r="E12" s="3">
        <v>3497.9474</v>
      </c>
      <c r="F12" s="3">
        <f t="shared" si="0"/>
        <v>220370.6862</v>
      </c>
      <c r="G12" s="3">
        <f t="shared" si="1"/>
        <v>180631.71</v>
      </c>
      <c r="H12" s="3">
        <f t="shared" si="2"/>
        <v>39738.976200000005</v>
      </c>
      <c r="I12" s="3">
        <f t="shared" si="3"/>
        <v>23482.122299999988</v>
      </c>
      <c r="J12" s="3">
        <f t="shared" si="4"/>
        <v>63221.098499999993</v>
      </c>
      <c r="K12" s="3">
        <f t="shared" si="5"/>
        <v>39738.976199999997</v>
      </c>
      <c r="L12" s="3">
        <f t="shared" si="6"/>
        <v>14450.5368</v>
      </c>
      <c r="M12" s="3">
        <f t="shared" si="7"/>
        <v>21675.805199999999</v>
      </c>
      <c r="N12" s="3">
        <f t="shared" si="8"/>
        <v>18063.170999999998</v>
      </c>
      <c r="O12" s="3">
        <f t="shared" si="9"/>
        <v>0</v>
      </c>
      <c r="P12" s="18">
        <f t="shared" si="10"/>
        <v>6.3791563978039464E-2</v>
      </c>
      <c r="Q12" s="3" t="s">
        <v>499</v>
      </c>
      <c r="R12" s="3">
        <f t="shared" si="11"/>
        <v>220370.6862</v>
      </c>
      <c r="S12" s="3">
        <v>0</v>
      </c>
      <c r="T12" t="s">
        <v>481</v>
      </c>
    </row>
    <row r="13" spans="1:20" ht="15" customHeight="1" x14ac:dyDescent="0.25">
      <c r="A13" t="s">
        <v>479</v>
      </c>
      <c r="B13" t="s">
        <v>486</v>
      </c>
      <c r="C13" t="s">
        <v>107</v>
      </c>
      <c r="D13" s="2">
        <v>63</v>
      </c>
      <c r="E13" s="3">
        <v>3497.9474</v>
      </c>
      <c r="F13" s="3">
        <f t="shared" si="0"/>
        <v>220370.6862</v>
      </c>
      <c r="G13" s="3">
        <f t="shared" si="1"/>
        <v>180631.71</v>
      </c>
      <c r="H13" s="3">
        <f t="shared" si="2"/>
        <v>39738.976200000005</v>
      </c>
      <c r="I13" s="3">
        <f t="shared" si="3"/>
        <v>23482.122299999988</v>
      </c>
      <c r="J13" s="3">
        <f t="shared" si="4"/>
        <v>63221.098499999993</v>
      </c>
      <c r="K13" s="3">
        <f t="shared" si="5"/>
        <v>39738.976199999997</v>
      </c>
      <c r="L13" s="3">
        <f t="shared" si="6"/>
        <v>14450.5368</v>
      </c>
      <c r="M13" s="3">
        <f t="shared" si="7"/>
        <v>21675.805199999999</v>
      </c>
      <c r="N13" s="3">
        <f t="shared" si="8"/>
        <v>18063.170999999998</v>
      </c>
      <c r="O13" s="3">
        <f t="shared" si="9"/>
        <v>0</v>
      </c>
      <c r="P13" s="18">
        <f t="shared" si="10"/>
        <v>6.3791563978039464E-2</v>
      </c>
      <c r="Q13" s="3" t="s">
        <v>499</v>
      </c>
      <c r="R13" s="3">
        <f t="shared" si="11"/>
        <v>220370.6862</v>
      </c>
      <c r="S13" s="3">
        <v>0</v>
      </c>
      <c r="T13" t="s">
        <v>481</v>
      </c>
    </row>
    <row r="14" spans="1:20" ht="15" customHeight="1" x14ac:dyDescent="0.25">
      <c r="A14" t="s">
        <v>151</v>
      </c>
      <c r="B14" t="s">
        <v>247</v>
      </c>
      <c r="C14" t="s">
        <v>145</v>
      </c>
      <c r="D14" s="2">
        <v>14.4</v>
      </c>
      <c r="E14" s="3">
        <v>598.53200000000004</v>
      </c>
      <c r="F14" s="3">
        <f t="shared" si="0"/>
        <v>8618.8608000000004</v>
      </c>
      <c r="G14" s="3">
        <f t="shared" si="1"/>
        <v>7064.64</v>
      </c>
      <c r="H14" s="3">
        <f t="shared" si="2"/>
        <v>1554.2208000000001</v>
      </c>
      <c r="I14" s="3">
        <f t="shared" si="3"/>
        <v>918.40320000000065</v>
      </c>
      <c r="J14" s="3">
        <f t="shared" si="4"/>
        <v>2472.6239999999998</v>
      </c>
      <c r="K14" s="3">
        <f t="shared" si="5"/>
        <v>1554.2208000000001</v>
      </c>
      <c r="L14" s="3">
        <f t="shared" si="6"/>
        <v>565.1712</v>
      </c>
      <c r="M14" s="3">
        <f t="shared" si="7"/>
        <v>847.7568</v>
      </c>
      <c r="N14" s="3">
        <f t="shared" si="8"/>
        <v>706.46400000000006</v>
      </c>
      <c r="O14" s="3">
        <f t="shared" si="9"/>
        <v>0</v>
      </c>
      <c r="P14" s="18">
        <f t="shared" si="10"/>
        <v>2.4949353274783077E-3</v>
      </c>
      <c r="Q14" s="3" t="s">
        <v>499</v>
      </c>
      <c r="R14" s="3">
        <f t="shared" si="11"/>
        <v>8618.8608000000004</v>
      </c>
      <c r="S14" s="3">
        <v>0</v>
      </c>
      <c r="T14" t="s">
        <v>481</v>
      </c>
    </row>
    <row r="15" spans="1:20" ht="15" customHeight="1" x14ac:dyDescent="0.25">
      <c r="A15" t="s">
        <v>151</v>
      </c>
      <c r="B15" t="s">
        <v>248</v>
      </c>
      <c r="C15" t="s">
        <v>146</v>
      </c>
      <c r="D15" s="2">
        <v>0.72</v>
      </c>
      <c r="E15" s="3">
        <v>5261.2744000000002</v>
      </c>
      <c r="F15" s="3">
        <f t="shared" si="0"/>
        <v>3788.1175680000001</v>
      </c>
      <c r="G15" s="3">
        <f t="shared" si="1"/>
        <v>3105.0144</v>
      </c>
      <c r="H15" s="3">
        <f t="shared" si="2"/>
        <v>683.1031680000001</v>
      </c>
      <c r="I15" s="3">
        <f t="shared" si="3"/>
        <v>403.65187199999991</v>
      </c>
      <c r="J15" s="3">
        <f t="shared" si="4"/>
        <v>1086.75504</v>
      </c>
      <c r="K15" s="3">
        <f t="shared" si="5"/>
        <v>683.10316799999998</v>
      </c>
      <c r="L15" s="3">
        <f t="shared" si="6"/>
        <v>248.401152</v>
      </c>
      <c r="M15" s="3">
        <f t="shared" si="7"/>
        <v>372.60172799999998</v>
      </c>
      <c r="N15" s="3">
        <f t="shared" si="8"/>
        <v>310.50144</v>
      </c>
      <c r="O15" s="3">
        <f t="shared" si="9"/>
        <v>0</v>
      </c>
      <c r="P15" s="18">
        <f t="shared" si="10"/>
        <v>1.096561200413448E-3</v>
      </c>
      <c r="Q15" s="3" t="s">
        <v>499</v>
      </c>
      <c r="R15" s="3">
        <f t="shared" si="11"/>
        <v>3788.1175680000001</v>
      </c>
      <c r="S15" s="3">
        <v>0</v>
      </c>
      <c r="T15" t="s">
        <v>481</v>
      </c>
    </row>
    <row r="16" spans="1:20" ht="15" customHeight="1" x14ac:dyDescent="0.25">
      <c r="A16" t="s">
        <v>151</v>
      </c>
      <c r="B16" t="s">
        <v>249</v>
      </c>
      <c r="C16" t="s">
        <v>146</v>
      </c>
      <c r="D16" s="2">
        <v>1.44</v>
      </c>
      <c r="E16" s="3">
        <v>10026.301600000001</v>
      </c>
      <c r="F16" s="3">
        <f t="shared" si="0"/>
        <v>14437.874304000001</v>
      </c>
      <c r="G16" s="3">
        <f t="shared" si="1"/>
        <v>11834.323200000001</v>
      </c>
      <c r="H16" s="3">
        <f t="shared" si="2"/>
        <v>2603.5511040000001</v>
      </c>
      <c r="I16" s="3">
        <f t="shared" si="3"/>
        <v>1538.4620160000013</v>
      </c>
      <c r="J16" s="3">
        <f t="shared" si="4"/>
        <v>4142.0131199999996</v>
      </c>
      <c r="K16" s="3">
        <f t="shared" si="5"/>
        <v>2603.5511040000001</v>
      </c>
      <c r="L16" s="3">
        <f t="shared" si="6"/>
        <v>946.74585600000012</v>
      </c>
      <c r="M16" s="3">
        <f t="shared" si="7"/>
        <v>1420.118784</v>
      </c>
      <c r="N16" s="3">
        <f t="shared" si="8"/>
        <v>1183.4323200000001</v>
      </c>
      <c r="O16" s="3">
        <f t="shared" si="9"/>
        <v>0</v>
      </c>
      <c r="P16" s="18">
        <f t="shared" si="10"/>
        <v>4.1793879133934829E-3</v>
      </c>
      <c r="Q16" s="3" t="s">
        <v>499</v>
      </c>
      <c r="R16" s="3">
        <f t="shared" si="11"/>
        <v>14437.874304000001</v>
      </c>
      <c r="S16" s="3">
        <v>0</v>
      </c>
      <c r="T16" t="s">
        <v>481</v>
      </c>
    </row>
    <row r="17" spans="1:20" ht="15" customHeight="1" x14ac:dyDescent="0.25">
      <c r="A17" t="s">
        <v>151</v>
      </c>
      <c r="B17" t="s">
        <v>250</v>
      </c>
      <c r="C17" t="s">
        <v>146</v>
      </c>
      <c r="D17" s="2">
        <v>1.32</v>
      </c>
      <c r="E17" s="3">
        <v>74702.954599999997</v>
      </c>
      <c r="F17" s="3">
        <f t="shared" si="0"/>
        <v>98607.900072000004</v>
      </c>
      <c r="G17" s="3">
        <f t="shared" si="1"/>
        <v>80826.147600000011</v>
      </c>
      <c r="H17" s="3">
        <f t="shared" si="2"/>
        <v>17781.752471999993</v>
      </c>
      <c r="I17" s="3">
        <f t="shared" si="3"/>
        <v>10507.399187999996</v>
      </c>
      <c r="J17" s="3">
        <f t="shared" si="4"/>
        <v>28289.151660000003</v>
      </c>
      <c r="K17" s="3">
        <f t="shared" si="5"/>
        <v>17781.752472000004</v>
      </c>
      <c r="L17" s="3">
        <f t="shared" si="6"/>
        <v>6466.091808000001</v>
      </c>
      <c r="M17" s="3">
        <f t="shared" si="7"/>
        <v>9699.1377120000016</v>
      </c>
      <c r="N17" s="3">
        <f t="shared" si="8"/>
        <v>8082.6147600000013</v>
      </c>
      <c r="O17" s="3">
        <f t="shared" si="9"/>
        <v>0</v>
      </c>
      <c r="P17" s="18">
        <f t="shared" si="10"/>
        <v>2.8544414298706803E-2</v>
      </c>
      <c r="Q17" s="3" t="s">
        <v>499</v>
      </c>
      <c r="R17" s="3">
        <f t="shared" si="11"/>
        <v>98607.900072000004</v>
      </c>
      <c r="S17" s="3">
        <v>0</v>
      </c>
      <c r="T17" t="s">
        <v>481</v>
      </c>
    </row>
    <row r="18" spans="1:20" ht="15" customHeight="1" x14ac:dyDescent="0.25">
      <c r="A18" t="s">
        <v>151</v>
      </c>
      <c r="B18" t="s">
        <v>251</v>
      </c>
      <c r="C18" t="s">
        <v>145</v>
      </c>
      <c r="D18" s="2">
        <v>26.736000000000001</v>
      </c>
      <c r="E18" s="3">
        <v>1894.7331999999999</v>
      </c>
      <c r="F18" s="3">
        <f t="shared" si="0"/>
        <v>50657.586835199996</v>
      </c>
      <c r="G18" s="3">
        <f t="shared" si="1"/>
        <v>41522.612159999997</v>
      </c>
      <c r="H18" s="3">
        <f t="shared" si="2"/>
        <v>9134.9746751999992</v>
      </c>
      <c r="I18" s="3">
        <f t="shared" si="3"/>
        <v>5397.9395807999972</v>
      </c>
      <c r="J18" s="3">
        <f t="shared" si="4"/>
        <v>14532.914255999998</v>
      </c>
      <c r="K18" s="3">
        <f t="shared" si="5"/>
        <v>9134.9746751999992</v>
      </c>
      <c r="L18" s="3">
        <f t="shared" si="6"/>
        <v>3321.8089728</v>
      </c>
      <c r="M18" s="3">
        <f t="shared" si="7"/>
        <v>4982.7134591999993</v>
      </c>
      <c r="N18" s="3">
        <f t="shared" si="8"/>
        <v>4152.2612159999999</v>
      </c>
      <c r="O18" s="3">
        <f t="shared" si="9"/>
        <v>0</v>
      </c>
      <c r="P18" s="18">
        <f t="shared" si="10"/>
        <v>1.4664049685074449E-2</v>
      </c>
      <c r="Q18" s="3" t="s">
        <v>499</v>
      </c>
      <c r="R18" s="3">
        <f t="shared" si="11"/>
        <v>50657.586835199996</v>
      </c>
      <c r="S18" s="3">
        <v>0</v>
      </c>
      <c r="T18" t="s">
        <v>481</v>
      </c>
    </row>
    <row r="19" spans="1:20" ht="15" customHeight="1" x14ac:dyDescent="0.25">
      <c r="A19" t="s">
        <v>151</v>
      </c>
      <c r="B19" t="s">
        <v>252</v>
      </c>
      <c r="C19" t="s">
        <v>112</v>
      </c>
      <c r="D19" s="2">
        <v>360</v>
      </c>
      <c r="E19" s="3">
        <v>487.89019999999999</v>
      </c>
      <c r="F19" s="3">
        <f t="shared" si="0"/>
        <v>175640.47200000001</v>
      </c>
      <c r="G19" s="3">
        <f t="shared" si="1"/>
        <v>143967.6</v>
      </c>
      <c r="H19" s="3">
        <f t="shared" si="2"/>
        <v>31672.872000000003</v>
      </c>
      <c r="I19" s="3">
        <f t="shared" si="3"/>
        <v>18715.788</v>
      </c>
      <c r="J19" s="3">
        <f t="shared" si="4"/>
        <v>50388.659999999996</v>
      </c>
      <c r="K19" s="3">
        <f t="shared" si="5"/>
        <v>31672.872000000003</v>
      </c>
      <c r="L19" s="3">
        <f t="shared" si="6"/>
        <v>11517.408000000001</v>
      </c>
      <c r="M19" s="3">
        <f t="shared" si="7"/>
        <v>17276.112000000001</v>
      </c>
      <c r="N19" s="3">
        <f t="shared" si="8"/>
        <v>14396.760000000002</v>
      </c>
      <c r="O19" s="3">
        <f t="shared" si="9"/>
        <v>0</v>
      </c>
      <c r="P19" s="18">
        <f t="shared" si="10"/>
        <v>5.0843334020171729E-2</v>
      </c>
      <c r="Q19" s="3" t="s">
        <v>499</v>
      </c>
      <c r="R19" s="3">
        <f t="shared" si="11"/>
        <v>175640.47200000001</v>
      </c>
      <c r="S19" s="3">
        <v>0</v>
      </c>
      <c r="T19" t="s">
        <v>481</v>
      </c>
    </row>
    <row r="20" spans="1:20" ht="15" customHeight="1" x14ac:dyDescent="0.25">
      <c r="A20" t="s">
        <v>151</v>
      </c>
      <c r="B20" t="s">
        <v>106</v>
      </c>
      <c r="C20" t="s">
        <v>146</v>
      </c>
      <c r="D20" s="2">
        <v>0.79200000000000004</v>
      </c>
      <c r="E20" s="3">
        <v>0</v>
      </c>
      <c r="F20" s="3">
        <f t="shared" si="0"/>
        <v>0</v>
      </c>
      <c r="G20" s="3">
        <f t="shared" si="1"/>
        <v>0</v>
      </c>
      <c r="H20" s="3">
        <f t="shared" si="2"/>
        <v>0</v>
      </c>
      <c r="I20" s="3">
        <f t="shared" si="3"/>
        <v>0</v>
      </c>
      <c r="J20" s="3">
        <f t="shared" si="4"/>
        <v>0</v>
      </c>
      <c r="K20" s="3">
        <f t="shared" si="5"/>
        <v>0</v>
      </c>
      <c r="L20" s="3">
        <f t="shared" si="6"/>
        <v>0</v>
      </c>
      <c r="M20" s="3">
        <f t="shared" si="7"/>
        <v>0</v>
      </c>
      <c r="N20" s="3">
        <f t="shared" si="8"/>
        <v>0</v>
      </c>
      <c r="O20" s="3">
        <f t="shared" si="9"/>
        <v>0</v>
      </c>
      <c r="P20" s="18">
        <f t="shared" si="10"/>
        <v>0</v>
      </c>
      <c r="Q20" s="3" t="s">
        <v>499</v>
      </c>
      <c r="R20" s="3">
        <f t="shared" si="11"/>
        <v>0</v>
      </c>
      <c r="S20" s="3">
        <v>0</v>
      </c>
      <c r="T20" t="s">
        <v>481</v>
      </c>
    </row>
    <row r="21" spans="1:20" ht="15" customHeight="1" x14ac:dyDescent="0.25">
      <c r="A21" t="s">
        <v>151</v>
      </c>
      <c r="B21" t="s">
        <v>108</v>
      </c>
      <c r="C21" t="s">
        <v>146</v>
      </c>
      <c r="D21" s="2">
        <v>0.90720000000000001</v>
      </c>
      <c r="E21" s="3">
        <v>0</v>
      </c>
      <c r="F21" s="3">
        <f t="shared" si="0"/>
        <v>0</v>
      </c>
      <c r="G21" s="3">
        <f t="shared" si="1"/>
        <v>0</v>
      </c>
      <c r="H21" s="3">
        <f t="shared" si="2"/>
        <v>0</v>
      </c>
      <c r="I21" s="3">
        <f t="shared" si="3"/>
        <v>0</v>
      </c>
      <c r="J21" s="3">
        <f t="shared" si="4"/>
        <v>0</v>
      </c>
      <c r="K21" s="3">
        <f t="shared" si="5"/>
        <v>0</v>
      </c>
      <c r="L21" s="3">
        <f t="shared" si="6"/>
        <v>0</v>
      </c>
      <c r="M21" s="3">
        <f t="shared" si="7"/>
        <v>0</v>
      </c>
      <c r="N21" s="3">
        <f t="shared" si="8"/>
        <v>0</v>
      </c>
      <c r="O21" s="3">
        <f t="shared" si="9"/>
        <v>0</v>
      </c>
      <c r="P21" s="18">
        <f t="shared" si="10"/>
        <v>0</v>
      </c>
      <c r="Q21" s="3" t="s">
        <v>499</v>
      </c>
      <c r="R21" s="3">
        <f t="shared" si="11"/>
        <v>0</v>
      </c>
      <c r="S21" s="3">
        <v>0</v>
      </c>
      <c r="T21" t="s">
        <v>481</v>
      </c>
    </row>
    <row r="22" spans="1:20" ht="15" customHeight="1" x14ac:dyDescent="0.25">
      <c r="A22" t="s">
        <v>151</v>
      </c>
      <c r="B22" t="s">
        <v>122</v>
      </c>
      <c r="C22" t="s">
        <v>148</v>
      </c>
      <c r="D22" s="2">
        <v>24</v>
      </c>
      <c r="E22" s="3">
        <v>0</v>
      </c>
      <c r="F22" s="3">
        <f t="shared" si="0"/>
        <v>0</v>
      </c>
      <c r="G22" s="3">
        <f t="shared" si="1"/>
        <v>0</v>
      </c>
      <c r="H22" s="3">
        <f t="shared" si="2"/>
        <v>0</v>
      </c>
      <c r="I22" s="3">
        <f t="shared" si="3"/>
        <v>0</v>
      </c>
      <c r="J22" s="3">
        <f t="shared" si="4"/>
        <v>0</v>
      </c>
      <c r="K22" s="3">
        <f t="shared" si="5"/>
        <v>0</v>
      </c>
      <c r="L22" s="3">
        <f t="shared" si="6"/>
        <v>0</v>
      </c>
      <c r="M22" s="3">
        <f t="shared" si="7"/>
        <v>0</v>
      </c>
      <c r="N22" s="3">
        <f t="shared" si="8"/>
        <v>0</v>
      </c>
      <c r="O22" s="3">
        <f t="shared" si="9"/>
        <v>0</v>
      </c>
      <c r="P22" s="18">
        <f t="shared" si="10"/>
        <v>0</v>
      </c>
      <c r="Q22" s="3" t="s">
        <v>499</v>
      </c>
      <c r="R22" s="3">
        <f t="shared" si="11"/>
        <v>0</v>
      </c>
      <c r="S22" s="3">
        <v>0</v>
      </c>
      <c r="T22" t="s">
        <v>481</v>
      </c>
    </row>
    <row r="23" spans="1:20" ht="15" customHeight="1" x14ac:dyDescent="0.25">
      <c r="A23" t="s">
        <v>151</v>
      </c>
      <c r="B23" t="s">
        <v>124</v>
      </c>
      <c r="C23" t="s">
        <v>148</v>
      </c>
      <c r="D23" s="2">
        <v>48</v>
      </c>
      <c r="E23" s="3">
        <v>0</v>
      </c>
      <c r="F23" s="3">
        <f t="shared" si="0"/>
        <v>0</v>
      </c>
      <c r="G23" s="3">
        <f t="shared" si="1"/>
        <v>0</v>
      </c>
      <c r="H23" s="3">
        <f t="shared" si="2"/>
        <v>0</v>
      </c>
      <c r="I23" s="3">
        <f t="shared" si="3"/>
        <v>0</v>
      </c>
      <c r="J23" s="3">
        <f t="shared" si="4"/>
        <v>0</v>
      </c>
      <c r="K23" s="3">
        <f t="shared" si="5"/>
        <v>0</v>
      </c>
      <c r="L23" s="3">
        <f t="shared" si="6"/>
        <v>0</v>
      </c>
      <c r="M23" s="3">
        <f t="shared" si="7"/>
        <v>0</v>
      </c>
      <c r="N23" s="3">
        <f t="shared" si="8"/>
        <v>0</v>
      </c>
      <c r="O23" s="3">
        <f t="shared" si="9"/>
        <v>0</v>
      </c>
      <c r="P23" s="18">
        <f t="shared" si="10"/>
        <v>0</v>
      </c>
      <c r="Q23" s="3" t="s">
        <v>499</v>
      </c>
      <c r="R23" s="3">
        <f t="shared" si="11"/>
        <v>0</v>
      </c>
      <c r="S23" s="3">
        <v>0</v>
      </c>
      <c r="T23" t="s">
        <v>481</v>
      </c>
    </row>
    <row r="24" spans="1:20" ht="15" customHeight="1" x14ac:dyDescent="0.25">
      <c r="A24" t="s">
        <v>151</v>
      </c>
      <c r="B24" t="s">
        <v>111</v>
      </c>
      <c r="C24" t="s">
        <v>112</v>
      </c>
      <c r="D24" s="2">
        <v>80.207999999999998</v>
      </c>
      <c r="E24" s="3">
        <v>0</v>
      </c>
      <c r="F24" s="3">
        <f t="shared" si="0"/>
        <v>0</v>
      </c>
      <c r="G24" s="3">
        <f t="shared" si="1"/>
        <v>0</v>
      </c>
      <c r="H24" s="3">
        <f t="shared" si="2"/>
        <v>0</v>
      </c>
      <c r="I24" s="3">
        <f t="shared" si="3"/>
        <v>0</v>
      </c>
      <c r="J24" s="3">
        <f t="shared" si="4"/>
        <v>0</v>
      </c>
      <c r="K24" s="3">
        <f t="shared" si="5"/>
        <v>0</v>
      </c>
      <c r="L24" s="3">
        <f t="shared" si="6"/>
        <v>0</v>
      </c>
      <c r="M24" s="3">
        <f t="shared" si="7"/>
        <v>0</v>
      </c>
      <c r="N24" s="3">
        <f t="shared" si="8"/>
        <v>0</v>
      </c>
      <c r="O24" s="3">
        <f t="shared" si="9"/>
        <v>0</v>
      </c>
      <c r="P24" s="18">
        <f t="shared" si="10"/>
        <v>0</v>
      </c>
      <c r="Q24" s="3" t="s">
        <v>499</v>
      </c>
      <c r="R24" s="3">
        <f t="shared" si="11"/>
        <v>0</v>
      </c>
      <c r="S24" s="3">
        <v>0</v>
      </c>
      <c r="T24" t="s">
        <v>481</v>
      </c>
    </row>
    <row r="25" spans="1:20" ht="15" customHeight="1" x14ac:dyDescent="0.25">
      <c r="A25" t="s">
        <v>152</v>
      </c>
      <c r="B25" t="s">
        <v>247</v>
      </c>
      <c r="C25" t="s">
        <v>145</v>
      </c>
      <c r="D25" s="2">
        <v>140</v>
      </c>
      <c r="E25" s="3">
        <v>598.53200000000004</v>
      </c>
      <c r="F25" s="3">
        <f t="shared" si="0"/>
        <v>83794.48000000001</v>
      </c>
      <c r="G25" s="3">
        <f t="shared" si="1"/>
        <v>68684.000000000015</v>
      </c>
      <c r="H25" s="3">
        <f t="shared" si="2"/>
        <v>15110.479999999996</v>
      </c>
      <c r="I25" s="3">
        <f t="shared" si="3"/>
        <v>8928.9200000000055</v>
      </c>
      <c r="J25" s="3">
        <f t="shared" si="4"/>
        <v>24039.400000000005</v>
      </c>
      <c r="K25" s="3">
        <f t="shared" si="5"/>
        <v>15110.480000000003</v>
      </c>
      <c r="L25" s="3">
        <f t="shared" si="6"/>
        <v>5494.7200000000012</v>
      </c>
      <c r="M25" s="3">
        <f t="shared" si="7"/>
        <v>8242.0800000000017</v>
      </c>
      <c r="N25" s="3">
        <f t="shared" si="8"/>
        <v>6868.4000000000015</v>
      </c>
      <c r="O25" s="3">
        <f t="shared" si="9"/>
        <v>0</v>
      </c>
      <c r="P25" s="18">
        <f t="shared" si="10"/>
        <v>2.4256315683816882E-2</v>
      </c>
      <c r="Q25" s="3" t="s">
        <v>499</v>
      </c>
      <c r="R25" s="3">
        <f t="shared" si="11"/>
        <v>83794.48000000001</v>
      </c>
      <c r="S25" s="3">
        <v>0</v>
      </c>
      <c r="T25" t="s">
        <v>481</v>
      </c>
    </row>
    <row r="26" spans="1:20" ht="15" customHeight="1" x14ac:dyDescent="0.25">
      <c r="A26" t="s">
        <v>152</v>
      </c>
      <c r="B26" t="s">
        <v>254</v>
      </c>
      <c r="C26" t="s">
        <v>146</v>
      </c>
      <c r="D26" s="2">
        <v>1.4</v>
      </c>
      <c r="E26" s="3">
        <v>5261.2744000000002</v>
      </c>
      <c r="F26" s="3">
        <f t="shared" si="0"/>
        <v>7365.7841600000002</v>
      </c>
      <c r="G26" s="3">
        <f t="shared" si="1"/>
        <v>6037.5280000000002</v>
      </c>
      <c r="H26" s="3">
        <f t="shared" si="2"/>
        <v>1328.2561599999999</v>
      </c>
      <c r="I26" s="3">
        <f t="shared" si="3"/>
        <v>784.87864000000081</v>
      </c>
      <c r="J26" s="3">
        <f t="shared" si="4"/>
        <v>2113.1347999999998</v>
      </c>
      <c r="K26" s="3">
        <f t="shared" si="5"/>
        <v>1328.2561600000001</v>
      </c>
      <c r="L26" s="3">
        <f t="shared" si="6"/>
        <v>483.00224000000003</v>
      </c>
      <c r="M26" s="3">
        <f t="shared" si="7"/>
        <v>724.50336000000004</v>
      </c>
      <c r="N26" s="3">
        <f t="shared" si="8"/>
        <v>603.75280000000009</v>
      </c>
      <c r="O26" s="3">
        <f t="shared" si="9"/>
        <v>0</v>
      </c>
      <c r="P26" s="18">
        <f t="shared" si="10"/>
        <v>2.1322023341372601E-3</v>
      </c>
      <c r="Q26" s="3" t="s">
        <v>499</v>
      </c>
      <c r="R26" s="3">
        <f t="shared" si="11"/>
        <v>7365.7841600000002</v>
      </c>
      <c r="S26" s="3">
        <v>0</v>
      </c>
      <c r="T26" t="s">
        <v>481</v>
      </c>
    </row>
    <row r="27" spans="1:20" ht="15" customHeight="1" x14ac:dyDescent="0.25">
      <c r="A27" t="s">
        <v>152</v>
      </c>
      <c r="B27" t="s">
        <v>255</v>
      </c>
      <c r="C27" t="s">
        <v>146</v>
      </c>
      <c r="D27" s="2">
        <v>7</v>
      </c>
      <c r="E27" s="3">
        <v>20671.9728</v>
      </c>
      <c r="F27" s="3">
        <f t="shared" si="0"/>
        <v>144703.80960000001</v>
      </c>
      <c r="G27" s="3">
        <f t="shared" si="1"/>
        <v>118609.68000000001</v>
      </c>
      <c r="H27" s="3">
        <f t="shared" si="2"/>
        <v>26094.1296</v>
      </c>
      <c r="I27" s="3">
        <f t="shared" si="3"/>
        <v>15419.258400000006</v>
      </c>
      <c r="J27" s="3">
        <f t="shared" si="4"/>
        <v>41513.387999999999</v>
      </c>
      <c r="K27" s="3">
        <f t="shared" si="5"/>
        <v>26094.1296</v>
      </c>
      <c r="L27" s="3">
        <f t="shared" si="6"/>
        <v>9488.7744000000002</v>
      </c>
      <c r="M27" s="3">
        <f t="shared" si="7"/>
        <v>14233.161600000001</v>
      </c>
      <c r="N27" s="3">
        <f t="shared" si="8"/>
        <v>11860.968000000001</v>
      </c>
      <c r="O27" s="3">
        <f t="shared" si="9"/>
        <v>0</v>
      </c>
      <c r="P27" s="18">
        <f t="shared" si="10"/>
        <v>4.1887977421764915E-2</v>
      </c>
      <c r="Q27" s="3" t="s">
        <v>499</v>
      </c>
      <c r="R27" s="3">
        <f t="shared" si="11"/>
        <v>144703.80960000001</v>
      </c>
      <c r="S27" s="3">
        <v>0</v>
      </c>
      <c r="T27" t="s">
        <v>481</v>
      </c>
    </row>
    <row r="28" spans="1:20" ht="15" customHeight="1" x14ac:dyDescent="0.25">
      <c r="A28" t="s">
        <v>152</v>
      </c>
      <c r="B28" t="s">
        <v>256</v>
      </c>
      <c r="C28" t="s">
        <v>145</v>
      </c>
      <c r="D28" s="2">
        <v>140</v>
      </c>
      <c r="E28" s="3">
        <v>1741.6964</v>
      </c>
      <c r="F28" s="3">
        <f t="shared" si="0"/>
        <v>243837.49600000001</v>
      </c>
      <c r="G28" s="3">
        <f t="shared" si="1"/>
        <v>199866.80000000002</v>
      </c>
      <c r="H28" s="3">
        <f t="shared" si="2"/>
        <v>43970.695999999996</v>
      </c>
      <c r="I28" s="3">
        <f t="shared" si="3"/>
        <v>25982.684000000037</v>
      </c>
      <c r="J28" s="3">
        <f t="shared" si="4"/>
        <v>69953.38</v>
      </c>
      <c r="K28" s="3">
        <f t="shared" si="5"/>
        <v>43970.696000000004</v>
      </c>
      <c r="L28" s="3">
        <f t="shared" si="6"/>
        <v>15989.344000000001</v>
      </c>
      <c r="M28" s="3">
        <f t="shared" si="7"/>
        <v>23984.016</v>
      </c>
      <c r="N28" s="3">
        <f t="shared" si="8"/>
        <v>19986.680000000004</v>
      </c>
      <c r="O28" s="3">
        <f t="shared" si="9"/>
        <v>0</v>
      </c>
      <c r="P28" s="18">
        <f t="shared" si="10"/>
        <v>7.0584593144171745E-2</v>
      </c>
      <c r="Q28" s="3" t="s">
        <v>499</v>
      </c>
      <c r="R28" s="3">
        <f t="shared" si="11"/>
        <v>243837.49600000001</v>
      </c>
      <c r="S28" s="3">
        <v>0</v>
      </c>
      <c r="T28" t="s">
        <v>481</v>
      </c>
    </row>
    <row r="29" spans="1:20" ht="15" customHeight="1" x14ac:dyDescent="0.25">
      <c r="A29" t="s">
        <v>152</v>
      </c>
      <c r="B29" t="s">
        <v>257</v>
      </c>
      <c r="C29" t="s">
        <v>112</v>
      </c>
      <c r="D29" s="2">
        <v>1827</v>
      </c>
      <c r="E29" s="3">
        <v>148.2056</v>
      </c>
      <c r="F29" s="3">
        <f t="shared" si="0"/>
        <v>270771.6312</v>
      </c>
      <c r="G29" s="3">
        <f t="shared" si="1"/>
        <v>221943.96000000002</v>
      </c>
      <c r="H29" s="3">
        <f t="shared" si="2"/>
        <v>48827.671199999982</v>
      </c>
      <c r="I29" s="3">
        <f t="shared" si="3"/>
        <v>28852.714799999987</v>
      </c>
      <c r="J29" s="3">
        <f t="shared" si="4"/>
        <v>77680.385999999999</v>
      </c>
      <c r="K29" s="3">
        <f t="shared" si="5"/>
        <v>48827.671200000004</v>
      </c>
      <c r="L29" s="3">
        <f t="shared" si="6"/>
        <v>17755.516800000001</v>
      </c>
      <c r="M29" s="3">
        <f t="shared" si="7"/>
        <v>26633.2752</v>
      </c>
      <c r="N29" s="3">
        <f t="shared" si="8"/>
        <v>22194.396000000004</v>
      </c>
      <c r="O29" s="3">
        <f t="shared" si="9"/>
        <v>0</v>
      </c>
      <c r="P29" s="18">
        <f t="shared" si="10"/>
        <v>7.8381322547848506E-2</v>
      </c>
      <c r="Q29" s="3" t="s">
        <v>499</v>
      </c>
      <c r="R29" s="3">
        <f t="shared" si="11"/>
        <v>270771.6312</v>
      </c>
      <c r="S29" s="3">
        <v>0</v>
      </c>
      <c r="T29" t="s">
        <v>481</v>
      </c>
    </row>
    <row r="30" spans="1:20" ht="15" customHeight="1" x14ac:dyDescent="0.25">
      <c r="A30" t="s">
        <v>152</v>
      </c>
      <c r="B30" t="s">
        <v>258</v>
      </c>
      <c r="C30" t="s">
        <v>146</v>
      </c>
      <c r="D30" s="2">
        <v>42</v>
      </c>
      <c r="E30" s="3">
        <v>27220.091</v>
      </c>
      <c r="F30" s="3">
        <f t="shared" si="0"/>
        <v>1143243.8219999999</v>
      </c>
      <c r="G30" s="3">
        <f t="shared" si="1"/>
        <v>937085.1</v>
      </c>
      <c r="H30" s="3">
        <f t="shared" si="2"/>
        <v>206158.72199999995</v>
      </c>
      <c r="I30" s="3">
        <f t="shared" si="3"/>
        <v>121821.06299999997</v>
      </c>
      <c r="J30" s="3">
        <f t="shared" si="4"/>
        <v>327979.78499999997</v>
      </c>
      <c r="K30" s="3">
        <f t="shared" si="5"/>
        <v>206158.72200000001</v>
      </c>
      <c r="L30" s="3">
        <f t="shared" si="6"/>
        <v>74966.808000000005</v>
      </c>
      <c r="M30" s="3">
        <f t="shared" si="7"/>
        <v>112450.212</v>
      </c>
      <c r="N30" s="3">
        <f t="shared" si="8"/>
        <v>93708.510000000009</v>
      </c>
      <c r="O30" s="3">
        <f t="shared" si="9"/>
        <v>0</v>
      </c>
      <c r="P30" s="18">
        <f t="shared" si="10"/>
        <v>0.33093925817076913</v>
      </c>
      <c r="Q30" s="3" t="s">
        <v>499</v>
      </c>
      <c r="R30" s="3">
        <f t="shared" si="11"/>
        <v>1143243.8219999999</v>
      </c>
      <c r="S30" s="3">
        <v>0</v>
      </c>
      <c r="T30" t="s">
        <v>481</v>
      </c>
    </row>
    <row r="31" spans="1:20" ht="15" customHeight="1" x14ac:dyDescent="0.25">
      <c r="A31" t="s">
        <v>152</v>
      </c>
      <c r="B31" t="s">
        <v>259</v>
      </c>
      <c r="C31" t="s">
        <v>145</v>
      </c>
      <c r="D31" s="2">
        <v>140</v>
      </c>
      <c r="E31" s="3">
        <v>2551.5567999999998</v>
      </c>
      <c r="F31" s="3">
        <f t="shared" si="0"/>
        <v>357217.95199999999</v>
      </c>
      <c r="G31" s="3">
        <f t="shared" si="1"/>
        <v>292801.59999999998</v>
      </c>
      <c r="H31" s="3">
        <f t="shared" si="2"/>
        <v>64416.352000000014</v>
      </c>
      <c r="I31" s="3">
        <f t="shared" si="3"/>
        <v>38064.208000000013</v>
      </c>
      <c r="J31" s="3">
        <f t="shared" si="4"/>
        <v>102480.55999999998</v>
      </c>
      <c r="K31" s="3">
        <f t="shared" si="5"/>
        <v>64416.351999999992</v>
      </c>
      <c r="L31" s="3">
        <f t="shared" si="6"/>
        <v>23424.127999999997</v>
      </c>
      <c r="M31" s="3">
        <f t="shared" si="7"/>
        <v>35136.191999999995</v>
      </c>
      <c r="N31" s="3">
        <f t="shared" si="8"/>
        <v>29280.16</v>
      </c>
      <c r="O31" s="3">
        <f t="shared" si="9"/>
        <v>0</v>
      </c>
      <c r="P31" s="18">
        <f t="shared" si="10"/>
        <v>0.10340527695426412</v>
      </c>
      <c r="Q31" s="3" t="s">
        <v>499</v>
      </c>
      <c r="R31" s="3">
        <f t="shared" si="11"/>
        <v>357217.95199999999</v>
      </c>
      <c r="S31" s="3">
        <v>0</v>
      </c>
      <c r="T31" t="s">
        <v>481</v>
      </c>
    </row>
    <row r="32" spans="1:20" ht="15" customHeight="1" x14ac:dyDescent="0.25">
      <c r="A32" t="s">
        <v>152</v>
      </c>
      <c r="B32" t="s">
        <v>153</v>
      </c>
      <c r="C32" t="s">
        <v>146</v>
      </c>
      <c r="D32" s="2">
        <v>1.54</v>
      </c>
      <c r="E32" s="3">
        <v>0</v>
      </c>
      <c r="F32" s="3">
        <f t="shared" si="0"/>
        <v>0</v>
      </c>
      <c r="G32" s="3">
        <f t="shared" si="1"/>
        <v>0</v>
      </c>
      <c r="H32" s="3">
        <f t="shared" si="2"/>
        <v>0</v>
      </c>
      <c r="I32" s="3">
        <f t="shared" si="3"/>
        <v>0</v>
      </c>
      <c r="J32" s="3">
        <f t="shared" si="4"/>
        <v>0</v>
      </c>
      <c r="K32" s="3">
        <f t="shared" si="5"/>
        <v>0</v>
      </c>
      <c r="L32" s="3">
        <f t="shared" si="6"/>
        <v>0</v>
      </c>
      <c r="M32" s="3">
        <f t="shared" si="7"/>
        <v>0</v>
      </c>
      <c r="N32" s="3">
        <f t="shared" si="8"/>
        <v>0</v>
      </c>
      <c r="O32" s="3">
        <f t="shared" si="9"/>
        <v>0</v>
      </c>
      <c r="P32" s="18">
        <f t="shared" si="10"/>
        <v>0</v>
      </c>
      <c r="Q32" s="3" t="s">
        <v>499</v>
      </c>
      <c r="R32" s="3">
        <f t="shared" si="11"/>
        <v>0</v>
      </c>
      <c r="S32" s="3">
        <v>0</v>
      </c>
      <c r="T32" t="s">
        <v>481</v>
      </c>
    </row>
    <row r="33" spans="1:20" ht="15" customHeight="1" x14ac:dyDescent="0.25">
      <c r="A33" t="s">
        <v>152</v>
      </c>
      <c r="B33" t="s">
        <v>154</v>
      </c>
      <c r="C33" t="s">
        <v>146</v>
      </c>
      <c r="D33" s="2">
        <v>7</v>
      </c>
      <c r="E33" s="3">
        <v>0</v>
      </c>
      <c r="F33" s="3">
        <f t="shared" si="0"/>
        <v>0</v>
      </c>
      <c r="G33" s="3">
        <f t="shared" si="1"/>
        <v>0</v>
      </c>
      <c r="H33" s="3">
        <f t="shared" si="2"/>
        <v>0</v>
      </c>
      <c r="I33" s="3">
        <f t="shared" si="3"/>
        <v>0</v>
      </c>
      <c r="J33" s="3">
        <f t="shared" si="4"/>
        <v>0</v>
      </c>
      <c r="K33" s="3">
        <f t="shared" si="5"/>
        <v>0</v>
      </c>
      <c r="L33" s="3">
        <f t="shared" si="6"/>
        <v>0</v>
      </c>
      <c r="M33" s="3">
        <f t="shared" si="7"/>
        <v>0</v>
      </c>
      <c r="N33" s="3">
        <f t="shared" si="8"/>
        <v>0</v>
      </c>
      <c r="O33" s="3">
        <f t="shared" si="9"/>
        <v>0</v>
      </c>
      <c r="P33" s="18">
        <f t="shared" si="10"/>
        <v>0</v>
      </c>
      <c r="Q33" s="3" t="s">
        <v>499</v>
      </c>
      <c r="R33" s="3">
        <f t="shared" si="11"/>
        <v>0</v>
      </c>
      <c r="S33" s="3">
        <v>0</v>
      </c>
      <c r="T33" t="s">
        <v>481</v>
      </c>
    </row>
    <row r="34" spans="1:20" ht="15" customHeight="1" x14ac:dyDescent="0.25">
      <c r="A34" t="s">
        <v>152</v>
      </c>
      <c r="B34" t="s">
        <v>155</v>
      </c>
      <c r="C34" t="s">
        <v>112</v>
      </c>
      <c r="D34" s="2">
        <v>420</v>
      </c>
      <c r="E34" s="3">
        <v>0</v>
      </c>
      <c r="F34" s="3">
        <f t="shared" si="0"/>
        <v>0</v>
      </c>
      <c r="G34" s="3">
        <f t="shared" si="1"/>
        <v>0</v>
      </c>
      <c r="H34" s="3">
        <f t="shared" si="2"/>
        <v>0</v>
      </c>
      <c r="I34" s="3">
        <f t="shared" si="3"/>
        <v>0</v>
      </c>
      <c r="J34" s="3">
        <f t="shared" si="4"/>
        <v>0</v>
      </c>
      <c r="K34" s="3">
        <f t="shared" si="5"/>
        <v>0</v>
      </c>
      <c r="L34" s="3">
        <f t="shared" si="6"/>
        <v>0</v>
      </c>
      <c r="M34" s="3">
        <f t="shared" si="7"/>
        <v>0</v>
      </c>
      <c r="N34" s="3">
        <f t="shared" si="8"/>
        <v>0</v>
      </c>
      <c r="O34" s="3">
        <f t="shared" si="9"/>
        <v>0</v>
      </c>
      <c r="P34" s="18">
        <f t="shared" si="10"/>
        <v>0</v>
      </c>
      <c r="Q34" s="3" t="s">
        <v>499</v>
      </c>
      <c r="R34" s="3">
        <f t="shared" si="11"/>
        <v>0</v>
      </c>
      <c r="S34" s="3">
        <v>0</v>
      </c>
      <c r="T34" t="s">
        <v>481</v>
      </c>
    </row>
    <row r="35" spans="1:20" ht="15" customHeight="1" x14ac:dyDescent="0.25">
      <c r="A35" t="s">
        <v>152</v>
      </c>
      <c r="B35" t="s">
        <v>156</v>
      </c>
      <c r="C35" t="s">
        <v>112</v>
      </c>
      <c r="D35" s="2">
        <v>1594.6</v>
      </c>
      <c r="E35" s="3">
        <v>0</v>
      </c>
      <c r="F35" s="3">
        <f t="shared" si="0"/>
        <v>0</v>
      </c>
      <c r="G35" s="3">
        <f t="shared" si="1"/>
        <v>0</v>
      </c>
      <c r="H35" s="3">
        <f t="shared" si="2"/>
        <v>0</v>
      </c>
      <c r="I35" s="3">
        <f t="shared" si="3"/>
        <v>0</v>
      </c>
      <c r="J35" s="3">
        <f t="shared" si="4"/>
        <v>0</v>
      </c>
      <c r="K35" s="3">
        <f t="shared" si="5"/>
        <v>0</v>
      </c>
      <c r="L35" s="3">
        <f t="shared" si="6"/>
        <v>0</v>
      </c>
      <c r="M35" s="3">
        <f t="shared" si="7"/>
        <v>0</v>
      </c>
      <c r="N35" s="3">
        <f t="shared" si="8"/>
        <v>0</v>
      </c>
      <c r="O35" s="3">
        <f t="shared" si="9"/>
        <v>0</v>
      </c>
      <c r="P35" s="18">
        <f t="shared" si="10"/>
        <v>0</v>
      </c>
      <c r="Q35" s="3" t="s">
        <v>499</v>
      </c>
      <c r="R35" s="3">
        <f t="shared" si="11"/>
        <v>0</v>
      </c>
      <c r="S35" s="3">
        <v>0</v>
      </c>
      <c r="T35" t="s">
        <v>481</v>
      </c>
    </row>
    <row r="36" spans="1:20" ht="15" customHeight="1" x14ac:dyDescent="0.25">
      <c r="A36" t="s">
        <v>152</v>
      </c>
      <c r="B36" t="s">
        <v>157</v>
      </c>
      <c r="C36" t="s">
        <v>112</v>
      </c>
      <c r="D36" s="2">
        <v>232.4</v>
      </c>
      <c r="E36" s="3">
        <v>0</v>
      </c>
      <c r="F36" s="3">
        <f t="shared" si="0"/>
        <v>0</v>
      </c>
      <c r="G36" s="3">
        <f t="shared" si="1"/>
        <v>0</v>
      </c>
      <c r="H36" s="3">
        <f t="shared" si="2"/>
        <v>0</v>
      </c>
      <c r="I36" s="3">
        <f t="shared" si="3"/>
        <v>0</v>
      </c>
      <c r="J36" s="3">
        <f t="shared" si="4"/>
        <v>0</v>
      </c>
      <c r="K36" s="3">
        <f t="shared" si="5"/>
        <v>0</v>
      </c>
      <c r="L36" s="3">
        <f t="shared" si="6"/>
        <v>0</v>
      </c>
      <c r="M36" s="3">
        <f t="shared" si="7"/>
        <v>0</v>
      </c>
      <c r="N36" s="3">
        <f t="shared" si="8"/>
        <v>0</v>
      </c>
      <c r="O36" s="3">
        <f t="shared" si="9"/>
        <v>0</v>
      </c>
      <c r="P36" s="18">
        <f t="shared" si="10"/>
        <v>0</v>
      </c>
      <c r="Q36" s="3" t="s">
        <v>499</v>
      </c>
      <c r="R36" s="3">
        <f t="shared" si="11"/>
        <v>0</v>
      </c>
      <c r="S36" s="3">
        <v>0</v>
      </c>
      <c r="T36" t="s">
        <v>481</v>
      </c>
    </row>
    <row r="37" spans="1:20" ht="15" customHeight="1" x14ac:dyDescent="0.25">
      <c r="A37" t="s">
        <v>152</v>
      </c>
      <c r="B37" t="s">
        <v>158</v>
      </c>
      <c r="C37" t="s">
        <v>146</v>
      </c>
      <c r="D37" s="2">
        <v>42</v>
      </c>
      <c r="E37" s="3">
        <v>0</v>
      </c>
      <c r="F37" s="3">
        <f t="shared" si="0"/>
        <v>0</v>
      </c>
      <c r="G37" s="3">
        <f t="shared" si="1"/>
        <v>0</v>
      </c>
      <c r="H37" s="3">
        <f t="shared" si="2"/>
        <v>0</v>
      </c>
      <c r="I37" s="3">
        <f t="shared" si="3"/>
        <v>0</v>
      </c>
      <c r="J37" s="3">
        <f t="shared" si="4"/>
        <v>0</v>
      </c>
      <c r="K37" s="3">
        <f t="shared" si="5"/>
        <v>0</v>
      </c>
      <c r="L37" s="3">
        <f t="shared" si="6"/>
        <v>0</v>
      </c>
      <c r="M37" s="3">
        <f t="shared" si="7"/>
        <v>0</v>
      </c>
      <c r="N37" s="3">
        <f t="shared" si="8"/>
        <v>0</v>
      </c>
      <c r="O37" s="3">
        <f t="shared" si="9"/>
        <v>0</v>
      </c>
      <c r="P37" s="18">
        <f t="shared" si="10"/>
        <v>0</v>
      </c>
      <c r="Q37" s="3" t="s">
        <v>499</v>
      </c>
      <c r="R37" s="3">
        <f t="shared" si="11"/>
        <v>0</v>
      </c>
      <c r="S37" s="3">
        <v>0</v>
      </c>
      <c r="T37" t="s">
        <v>481</v>
      </c>
    </row>
    <row r="38" spans="1:20" ht="15" customHeight="1" x14ac:dyDescent="0.25">
      <c r="A38" t="s">
        <v>152</v>
      </c>
      <c r="B38" t="s">
        <v>159</v>
      </c>
      <c r="C38" t="s">
        <v>112</v>
      </c>
      <c r="D38" s="2">
        <v>560</v>
      </c>
      <c r="E38" s="3">
        <v>0</v>
      </c>
      <c r="F38" s="3">
        <f t="shared" si="0"/>
        <v>0</v>
      </c>
      <c r="G38" s="3">
        <f t="shared" si="1"/>
        <v>0</v>
      </c>
      <c r="H38" s="3">
        <f t="shared" si="2"/>
        <v>0</v>
      </c>
      <c r="I38" s="3">
        <f t="shared" si="3"/>
        <v>0</v>
      </c>
      <c r="J38" s="3">
        <f t="shared" si="4"/>
        <v>0</v>
      </c>
      <c r="K38" s="3">
        <f t="shared" si="5"/>
        <v>0</v>
      </c>
      <c r="L38" s="3">
        <f t="shared" si="6"/>
        <v>0</v>
      </c>
      <c r="M38" s="3">
        <f t="shared" si="7"/>
        <v>0</v>
      </c>
      <c r="N38" s="3">
        <f t="shared" si="8"/>
        <v>0</v>
      </c>
      <c r="O38" s="3">
        <f t="shared" si="9"/>
        <v>0</v>
      </c>
      <c r="P38" s="18">
        <f t="shared" si="10"/>
        <v>0</v>
      </c>
      <c r="Q38" s="3" t="s">
        <v>499</v>
      </c>
      <c r="R38" s="3">
        <f t="shared" si="11"/>
        <v>0</v>
      </c>
      <c r="S38" s="3">
        <v>0</v>
      </c>
      <c r="T38" t="s">
        <v>481</v>
      </c>
    </row>
    <row r="39" spans="1:20" ht="15" customHeight="1" x14ac:dyDescent="0.25">
      <c r="A39" t="s">
        <v>152</v>
      </c>
      <c r="B39" t="s">
        <v>161</v>
      </c>
      <c r="C39" t="s">
        <v>132</v>
      </c>
      <c r="D39" s="2">
        <v>10.5</v>
      </c>
      <c r="E39" s="3">
        <v>0</v>
      </c>
      <c r="F39" s="3">
        <f t="shared" si="0"/>
        <v>0</v>
      </c>
      <c r="G39" s="3">
        <f t="shared" si="1"/>
        <v>0</v>
      </c>
      <c r="H39" s="3">
        <f t="shared" si="2"/>
        <v>0</v>
      </c>
      <c r="I39" s="3">
        <f t="shared" si="3"/>
        <v>0</v>
      </c>
      <c r="J39" s="3">
        <f t="shared" si="4"/>
        <v>0</v>
      </c>
      <c r="K39" s="3">
        <f t="shared" si="5"/>
        <v>0</v>
      </c>
      <c r="L39" s="3">
        <f t="shared" si="6"/>
        <v>0</v>
      </c>
      <c r="M39" s="3">
        <f t="shared" si="7"/>
        <v>0</v>
      </c>
      <c r="N39" s="3">
        <f t="shared" si="8"/>
        <v>0</v>
      </c>
      <c r="O39" s="3">
        <f t="shared" si="9"/>
        <v>0</v>
      </c>
      <c r="P39" s="18">
        <f t="shared" si="10"/>
        <v>0</v>
      </c>
      <c r="Q39" s="3" t="s">
        <v>499</v>
      </c>
      <c r="R39" s="3">
        <f t="shared" si="11"/>
        <v>0</v>
      </c>
      <c r="S39" s="3">
        <v>0</v>
      </c>
      <c r="T39" t="s">
        <v>481</v>
      </c>
    </row>
    <row r="40" spans="1:20" ht="15" customHeight="1" x14ac:dyDescent="0.25">
      <c r="A40" t="s">
        <v>152</v>
      </c>
      <c r="B40" t="s">
        <v>163</v>
      </c>
      <c r="C40" t="s">
        <v>132</v>
      </c>
      <c r="D40" s="2">
        <v>0.45</v>
      </c>
      <c r="E40" s="3">
        <v>0</v>
      </c>
      <c r="F40" s="3">
        <f t="shared" si="0"/>
        <v>0</v>
      </c>
      <c r="G40" s="3">
        <f t="shared" si="1"/>
        <v>0</v>
      </c>
      <c r="H40" s="3">
        <f t="shared" si="2"/>
        <v>0</v>
      </c>
      <c r="I40" s="3">
        <f t="shared" si="3"/>
        <v>0</v>
      </c>
      <c r="J40" s="3">
        <f t="shared" si="4"/>
        <v>0</v>
      </c>
      <c r="K40" s="3">
        <f t="shared" si="5"/>
        <v>0</v>
      </c>
      <c r="L40" s="3">
        <f t="shared" si="6"/>
        <v>0</v>
      </c>
      <c r="M40" s="3">
        <f t="shared" si="7"/>
        <v>0</v>
      </c>
      <c r="N40" s="3">
        <f t="shared" si="8"/>
        <v>0</v>
      </c>
      <c r="O40" s="3">
        <f t="shared" si="9"/>
        <v>0</v>
      </c>
      <c r="P40" s="18">
        <f t="shared" si="10"/>
        <v>0</v>
      </c>
      <c r="Q40" s="3" t="s">
        <v>499</v>
      </c>
      <c r="R40" s="3">
        <f t="shared" si="11"/>
        <v>0</v>
      </c>
      <c r="S40" s="3">
        <v>0</v>
      </c>
      <c r="T40" t="s">
        <v>481</v>
      </c>
    </row>
    <row r="41" spans="1:20" ht="15" customHeight="1" x14ac:dyDescent="0.25">
      <c r="A41" t="s">
        <v>152</v>
      </c>
      <c r="B41" t="s">
        <v>133</v>
      </c>
      <c r="C41" t="s">
        <v>146</v>
      </c>
      <c r="D41" s="2">
        <v>5.8799999999999998E-2</v>
      </c>
      <c r="E41" s="3">
        <v>0</v>
      </c>
      <c r="F41" s="3">
        <f t="shared" si="0"/>
        <v>0</v>
      </c>
      <c r="G41" s="3">
        <f t="shared" si="1"/>
        <v>0</v>
      </c>
      <c r="H41" s="3">
        <f t="shared" si="2"/>
        <v>0</v>
      </c>
      <c r="I41" s="3">
        <f t="shared" si="3"/>
        <v>0</v>
      </c>
      <c r="J41" s="3">
        <f t="shared" si="4"/>
        <v>0</v>
      </c>
      <c r="K41" s="3">
        <f t="shared" si="5"/>
        <v>0</v>
      </c>
      <c r="L41" s="3">
        <f t="shared" si="6"/>
        <v>0</v>
      </c>
      <c r="M41" s="3">
        <f t="shared" si="7"/>
        <v>0</v>
      </c>
      <c r="N41" s="3">
        <f t="shared" si="8"/>
        <v>0</v>
      </c>
      <c r="O41" s="3">
        <f t="shared" si="9"/>
        <v>0</v>
      </c>
      <c r="P41" s="18">
        <f t="shared" si="10"/>
        <v>0</v>
      </c>
      <c r="Q41" s="3" t="s">
        <v>499</v>
      </c>
      <c r="R41" s="3">
        <f t="shared" si="11"/>
        <v>0</v>
      </c>
      <c r="S41" s="3">
        <v>0</v>
      </c>
      <c r="T41" t="s">
        <v>481</v>
      </c>
    </row>
    <row r="42" spans="1:20" ht="15" customHeight="1" x14ac:dyDescent="0.25">
      <c r="A42" t="s">
        <v>165</v>
      </c>
      <c r="B42" t="s">
        <v>264</v>
      </c>
      <c r="C42" t="s">
        <v>123</v>
      </c>
      <c r="D42" s="2">
        <v>44</v>
      </c>
      <c r="E42" s="3">
        <v>352.75080000000003</v>
      </c>
      <c r="F42" s="3">
        <f t="shared" si="0"/>
        <v>15521.035200000002</v>
      </c>
      <c r="G42" s="3">
        <f t="shared" si="1"/>
        <v>12722.160000000002</v>
      </c>
      <c r="H42" s="3">
        <f t="shared" si="2"/>
        <v>2798.8752000000004</v>
      </c>
      <c r="I42" s="3">
        <f t="shared" si="3"/>
        <v>1653.8808000000008</v>
      </c>
      <c r="J42" s="3">
        <f t="shared" si="4"/>
        <v>4452.7560000000003</v>
      </c>
      <c r="K42" s="3">
        <f t="shared" si="5"/>
        <v>2798.8752000000004</v>
      </c>
      <c r="L42" s="3">
        <f t="shared" si="6"/>
        <v>1017.7728000000002</v>
      </c>
      <c r="M42" s="3">
        <f t="shared" si="7"/>
        <v>1526.6592000000001</v>
      </c>
      <c r="N42" s="3">
        <f t="shared" si="8"/>
        <v>1272.2160000000003</v>
      </c>
      <c r="O42" s="3">
        <f t="shared" si="9"/>
        <v>0</v>
      </c>
      <c r="P42" s="18">
        <f t="shared" si="10"/>
        <v>4.4929347321068635E-3</v>
      </c>
      <c r="Q42" s="3" t="s">
        <v>499</v>
      </c>
      <c r="R42" s="3">
        <f t="shared" si="11"/>
        <v>15521.035200000002</v>
      </c>
      <c r="S42" s="3">
        <v>0</v>
      </c>
      <c r="T42" t="s">
        <v>481</v>
      </c>
    </row>
    <row r="43" spans="1:20" ht="15" customHeight="1" x14ac:dyDescent="0.25">
      <c r="A43" t="s">
        <v>165</v>
      </c>
      <c r="B43" t="s">
        <v>166</v>
      </c>
      <c r="C43" t="s">
        <v>145</v>
      </c>
      <c r="D43" s="2">
        <v>13.2</v>
      </c>
      <c r="E43" s="3">
        <v>0</v>
      </c>
      <c r="F43" s="3">
        <f t="shared" si="0"/>
        <v>0</v>
      </c>
      <c r="G43" s="3">
        <f t="shared" si="1"/>
        <v>0</v>
      </c>
      <c r="H43" s="3">
        <f t="shared" si="2"/>
        <v>0</v>
      </c>
      <c r="I43" s="3">
        <f t="shared" si="3"/>
        <v>0</v>
      </c>
      <c r="J43" s="3">
        <f t="shared" si="4"/>
        <v>0</v>
      </c>
      <c r="K43" s="3">
        <f t="shared" si="5"/>
        <v>0</v>
      </c>
      <c r="L43" s="3">
        <f t="shared" si="6"/>
        <v>0</v>
      </c>
      <c r="M43" s="3">
        <f t="shared" si="7"/>
        <v>0</v>
      </c>
      <c r="N43" s="3">
        <f t="shared" si="8"/>
        <v>0</v>
      </c>
      <c r="O43" s="3">
        <f t="shared" si="9"/>
        <v>0</v>
      </c>
      <c r="P43" s="18">
        <f t="shared" si="10"/>
        <v>0</v>
      </c>
      <c r="Q43" s="3" t="s">
        <v>499</v>
      </c>
      <c r="R43" s="3">
        <f t="shared" si="11"/>
        <v>0</v>
      </c>
      <c r="S43" s="3">
        <v>0</v>
      </c>
      <c r="T43" t="s">
        <v>481</v>
      </c>
    </row>
    <row r="44" spans="1:20" ht="15" customHeight="1" x14ac:dyDescent="0.25">
      <c r="A44" t="s">
        <v>165</v>
      </c>
      <c r="B44" t="s">
        <v>168</v>
      </c>
      <c r="C44" t="s">
        <v>123</v>
      </c>
      <c r="D44" s="2">
        <v>30</v>
      </c>
      <c r="E44" s="3">
        <v>0</v>
      </c>
      <c r="F44" s="3">
        <f t="shared" si="0"/>
        <v>0</v>
      </c>
      <c r="G44" s="3">
        <f t="shared" si="1"/>
        <v>0</v>
      </c>
      <c r="H44" s="3">
        <f t="shared" si="2"/>
        <v>0</v>
      </c>
      <c r="I44" s="3">
        <f t="shared" si="3"/>
        <v>0</v>
      </c>
      <c r="J44" s="3">
        <f t="shared" si="4"/>
        <v>0</v>
      </c>
      <c r="K44" s="3">
        <f t="shared" si="5"/>
        <v>0</v>
      </c>
      <c r="L44" s="3">
        <f t="shared" si="6"/>
        <v>0</v>
      </c>
      <c r="M44" s="3">
        <f t="shared" si="7"/>
        <v>0</v>
      </c>
      <c r="N44" s="3">
        <f t="shared" si="8"/>
        <v>0</v>
      </c>
      <c r="O44" s="3">
        <f t="shared" si="9"/>
        <v>0</v>
      </c>
      <c r="P44" s="18">
        <f t="shared" si="10"/>
        <v>0</v>
      </c>
      <c r="Q44" s="3" t="s">
        <v>499</v>
      </c>
      <c r="R44" s="3">
        <f t="shared" si="11"/>
        <v>0</v>
      </c>
      <c r="S44" s="3">
        <v>0</v>
      </c>
      <c r="T44" t="s">
        <v>481</v>
      </c>
    </row>
    <row r="45" spans="1:20" ht="15" customHeight="1" x14ac:dyDescent="0.25">
      <c r="A45" t="s">
        <v>165</v>
      </c>
      <c r="B45" t="s">
        <v>161</v>
      </c>
      <c r="C45" t="s">
        <v>132</v>
      </c>
      <c r="D45" s="2">
        <v>10.5</v>
      </c>
      <c r="E45" s="3">
        <v>0</v>
      </c>
      <c r="F45" s="3">
        <f t="shared" si="0"/>
        <v>0</v>
      </c>
      <c r="G45" s="3">
        <f t="shared" si="1"/>
        <v>0</v>
      </c>
      <c r="H45" s="3">
        <f t="shared" si="2"/>
        <v>0</v>
      </c>
      <c r="I45" s="3">
        <f t="shared" si="3"/>
        <v>0</v>
      </c>
      <c r="J45" s="3">
        <f t="shared" si="4"/>
        <v>0</v>
      </c>
      <c r="K45" s="3">
        <f t="shared" si="5"/>
        <v>0</v>
      </c>
      <c r="L45" s="3">
        <f t="shared" si="6"/>
        <v>0</v>
      </c>
      <c r="M45" s="3">
        <f t="shared" si="7"/>
        <v>0</v>
      </c>
      <c r="N45" s="3">
        <f t="shared" si="8"/>
        <v>0</v>
      </c>
      <c r="O45" s="3">
        <f t="shared" si="9"/>
        <v>0</v>
      </c>
      <c r="P45" s="18">
        <f t="shared" si="10"/>
        <v>0</v>
      </c>
      <c r="Q45" s="3" t="s">
        <v>499</v>
      </c>
      <c r="R45" s="3">
        <f t="shared" si="11"/>
        <v>0</v>
      </c>
      <c r="S45" s="3">
        <v>0</v>
      </c>
      <c r="T45" t="s">
        <v>481</v>
      </c>
    </row>
    <row r="46" spans="1:20" ht="15" customHeight="1" x14ac:dyDescent="0.25">
      <c r="A46" t="s">
        <v>165</v>
      </c>
      <c r="B46" t="s">
        <v>163</v>
      </c>
      <c r="C46" t="s">
        <v>132</v>
      </c>
      <c r="D46" s="2">
        <v>0.45</v>
      </c>
      <c r="E46" s="3">
        <v>0</v>
      </c>
      <c r="F46" s="3">
        <f t="shared" si="0"/>
        <v>0</v>
      </c>
      <c r="G46" s="3">
        <f t="shared" si="1"/>
        <v>0</v>
      </c>
      <c r="H46" s="3">
        <f t="shared" si="2"/>
        <v>0</v>
      </c>
      <c r="I46" s="3">
        <f t="shared" si="3"/>
        <v>0</v>
      </c>
      <c r="J46" s="3">
        <f t="shared" si="4"/>
        <v>0</v>
      </c>
      <c r="K46" s="3">
        <f t="shared" si="5"/>
        <v>0</v>
      </c>
      <c r="L46" s="3">
        <f t="shared" si="6"/>
        <v>0</v>
      </c>
      <c r="M46" s="3">
        <f t="shared" si="7"/>
        <v>0</v>
      </c>
      <c r="N46" s="3">
        <f t="shared" si="8"/>
        <v>0</v>
      </c>
      <c r="O46" s="3">
        <f t="shared" si="9"/>
        <v>0</v>
      </c>
      <c r="P46" s="18">
        <f t="shared" si="10"/>
        <v>0</v>
      </c>
      <c r="Q46" s="3" t="s">
        <v>499</v>
      </c>
      <c r="R46" s="3">
        <f t="shared" si="11"/>
        <v>0</v>
      </c>
      <c r="S46" s="3">
        <v>0</v>
      </c>
      <c r="T46" t="s">
        <v>481</v>
      </c>
    </row>
    <row r="47" spans="1:20" ht="15" customHeight="1" x14ac:dyDescent="0.25">
      <c r="A47" t="s">
        <v>165</v>
      </c>
      <c r="B47" t="s">
        <v>133</v>
      </c>
      <c r="C47" t="s">
        <v>146</v>
      </c>
      <c r="D47" s="2">
        <v>5.8799999999999998E-2</v>
      </c>
      <c r="E47" s="3">
        <v>0</v>
      </c>
      <c r="F47" s="3">
        <f t="shared" si="0"/>
        <v>0</v>
      </c>
      <c r="G47" s="3">
        <f t="shared" si="1"/>
        <v>0</v>
      </c>
      <c r="H47" s="3">
        <f t="shared" si="2"/>
        <v>0</v>
      </c>
      <c r="I47" s="3">
        <f t="shared" si="3"/>
        <v>0</v>
      </c>
      <c r="J47" s="3">
        <f t="shared" si="4"/>
        <v>0</v>
      </c>
      <c r="K47" s="3">
        <f t="shared" si="5"/>
        <v>0</v>
      </c>
      <c r="L47" s="3">
        <f t="shared" si="6"/>
        <v>0</v>
      </c>
      <c r="M47" s="3">
        <f t="shared" si="7"/>
        <v>0</v>
      </c>
      <c r="N47" s="3">
        <f t="shared" si="8"/>
        <v>0</v>
      </c>
      <c r="O47" s="3">
        <f t="shared" si="9"/>
        <v>0</v>
      </c>
      <c r="P47" s="18">
        <f t="shared" si="10"/>
        <v>0</v>
      </c>
      <c r="Q47" s="3" t="s">
        <v>499</v>
      </c>
      <c r="R47" s="3">
        <f t="shared" si="11"/>
        <v>0</v>
      </c>
      <c r="S47" s="3">
        <v>0</v>
      </c>
      <c r="T47" t="s">
        <v>481</v>
      </c>
    </row>
    <row r="48" spans="1:20" ht="15" customHeight="1" x14ac:dyDescent="0.25">
      <c r="A48" s="13" t="s">
        <v>54</v>
      </c>
      <c r="B48" s="13"/>
      <c r="C48" s="13"/>
      <c r="D48" s="14">
        <f>SUM(D9:D47)</f>
        <v>10523.876400000001</v>
      </c>
      <c r="E48" s="13"/>
      <c r="F48" s="10">
        <f t="shared" ref="F48:O48" si="12">SUM(F9:F47)</f>
        <v>3454542.7711391998</v>
      </c>
      <c r="G48" s="10">
        <f t="shared" si="12"/>
        <v>2831592.43536</v>
      </c>
      <c r="H48" s="10">
        <f t="shared" si="12"/>
        <v>622950.33577919996</v>
      </c>
      <c r="I48" s="10">
        <f t="shared" si="12"/>
        <v>368107.01659680001</v>
      </c>
      <c r="J48" s="10">
        <f t="shared" si="12"/>
        <v>991057.35237599991</v>
      </c>
      <c r="K48" s="10">
        <f t="shared" si="12"/>
        <v>622950.33577919996</v>
      </c>
      <c r="L48" s="10">
        <f t="shared" si="12"/>
        <v>226527.3948288</v>
      </c>
      <c r="M48" s="10">
        <f t="shared" si="12"/>
        <v>339791.09224319999</v>
      </c>
      <c r="N48" s="10">
        <f t="shared" si="12"/>
        <v>283159.24353600002</v>
      </c>
      <c r="O48" s="10">
        <f t="shared" si="12"/>
        <v>0</v>
      </c>
      <c r="P48" s="19">
        <f>1</f>
        <v>1</v>
      </c>
      <c r="Q48" s="10">
        <f>SUM(Q9:Q47)</f>
        <v>0</v>
      </c>
      <c r="R48" s="10">
        <f>SUM(R9:R47)</f>
        <v>3454542.7711391998</v>
      </c>
      <c r="S48" s="10">
        <f>SUM(S9:S47)</f>
        <v>0</v>
      </c>
      <c r="T48" s="13" t="s">
        <v>54</v>
      </c>
    </row>
    <row r="50" spans="1:2" ht="15" customHeight="1" x14ac:dyDescent="0.25">
      <c r="A50" s="1" t="s">
        <v>488</v>
      </c>
      <c r="B50" s="3">
        <f>R48</f>
        <v>3454542.7711391998</v>
      </c>
    </row>
    <row r="51" spans="1:2" ht="15" customHeight="1" x14ac:dyDescent="0.25">
      <c r="A51" s="1" t="s">
        <v>61</v>
      </c>
      <c r="B51" s="3">
        <f>S48</f>
        <v>0</v>
      </c>
    </row>
    <row r="52" spans="1:2" ht="15" customHeight="1" x14ac:dyDescent="0.25">
      <c r="A52" s="1" t="s">
        <v>489</v>
      </c>
      <c r="B52" s="3">
        <f>B50+B51</f>
        <v>3454542.7711391998</v>
      </c>
    </row>
  </sheetData>
  <mergeCells count="1">
    <mergeCell ref="A1:Q1"/>
  </mergeCells>
  <pageMargins left="0.75" right="0.75" top="1" bottom="1" header="0.511811023622047" footer="0.511811023622047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T53"/>
  <sheetViews>
    <sheetView showGridLines="0" zoomScaleNormal="100" workbookViewId="0">
      <pane ySplit="7" topLeftCell="A8" activePane="bottomLeft" state="frozen"/>
      <selection pane="bottomLeft"/>
    </sheetView>
  </sheetViews>
  <sheetFormatPr defaultColWidth="8.7109375" defaultRowHeight="15" x14ac:dyDescent="0.25"/>
  <cols>
    <col min="1" max="1" width="24" customWidth="1"/>
    <col min="2" max="2" width="68" customWidth="1"/>
    <col min="3" max="3" width="10" customWidth="1"/>
    <col min="4" max="4" width="14" customWidth="1"/>
    <col min="5" max="5" width="18" customWidth="1"/>
    <col min="6" max="7" width="20" customWidth="1"/>
    <col min="8" max="14" width="18" customWidth="1"/>
    <col min="15" max="15" width="22" customWidth="1"/>
    <col min="16" max="16" width="14" customWidth="1"/>
    <col min="17" max="17" width="36" customWidth="1"/>
    <col min="18" max="19" width="24" customWidth="1"/>
    <col min="20" max="20" width="28" customWidth="1"/>
  </cols>
  <sheetData>
    <row r="1" spans="1:20" ht="17.25" customHeight="1" x14ac:dyDescent="0.25">
      <c r="A1" s="31" t="s">
        <v>500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20" ht="15" customHeight="1" x14ac:dyDescent="0.25">
      <c r="A2" s="1" t="s">
        <v>47</v>
      </c>
      <c r="B2" t="s">
        <v>52</v>
      </c>
    </row>
    <row r="3" spans="1:20" ht="15" customHeight="1" x14ac:dyDescent="0.25">
      <c r="A3" s="1" t="s">
        <v>55</v>
      </c>
      <c r="B3" t="s">
        <v>72</v>
      </c>
    </row>
    <row r="4" spans="1:20" ht="15" customHeight="1" x14ac:dyDescent="0.25">
      <c r="A4" s="1" t="s">
        <v>57</v>
      </c>
      <c r="B4" s="2">
        <v>933</v>
      </c>
    </row>
    <row r="5" spans="1:20" ht="15" customHeight="1" x14ac:dyDescent="0.25">
      <c r="A5" s="1" t="s">
        <v>467</v>
      </c>
      <c r="B5" s="3">
        <v>22009857.550643802</v>
      </c>
    </row>
    <row r="6" spans="1:20" ht="15" customHeight="1" x14ac:dyDescent="0.25">
      <c r="A6" s="1" t="s">
        <v>468</v>
      </c>
      <c r="B6" t="s">
        <v>469</v>
      </c>
    </row>
    <row r="8" spans="1:20" ht="41.25" customHeight="1" x14ac:dyDescent="0.25">
      <c r="A8" s="12" t="s">
        <v>470</v>
      </c>
      <c r="B8" s="12" t="s">
        <v>180</v>
      </c>
      <c r="C8" s="12" t="s">
        <v>139</v>
      </c>
      <c r="D8" s="12" t="s">
        <v>140</v>
      </c>
      <c r="E8" s="12" t="s">
        <v>471</v>
      </c>
      <c r="F8" s="12" t="s">
        <v>472</v>
      </c>
      <c r="G8" s="12" t="s">
        <v>473</v>
      </c>
      <c r="H8" s="12" t="s">
        <v>181</v>
      </c>
      <c r="I8" s="12" t="s">
        <v>452</v>
      </c>
      <c r="J8" s="12" t="s">
        <v>454</v>
      </c>
      <c r="K8" s="12" t="s">
        <v>456</v>
      </c>
      <c r="L8" s="12" t="s">
        <v>457</v>
      </c>
      <c r="M8" s="12" t="s">
        <v>458</v>
      </c>
      <c r="N8" s="12" t="s">
        <v>459</v>
      </c>
      <c r="O8" s="12" t="s">
        <v>474</v>
      </c>
      <c r="P8" s="12" t="s">
        <v>475</v>
      </c>
      <c r="Q8" s="12" t="s">
        <v>476</v>
      </c>
      <c r="R8" s="12" t="s">
        <v>477</v>
      </c>
      <c r="S8" s="12" t="s">
        <v>61</v>
      </c>
      <c r="T8" s="12" t="s">
        <v>478</v>
      </c>
    </row>
    <row r="9" spans="1:20" ht="15" customHeight="1" x14ac:dyDescent="0.25">
      <c r="A9" t="s">
        <v>479</v>
      </c>
      <c r="B9" t="s">
        <v>183</v>
      </c>
      <c r="C9" t="s">
        <v>112</v>
      </c>
      <c r="D9" s="2">
        <v>908.32</v>
      </c>
      <c r="E9" s="3">
        <v>71.321200000000005</v>
      </c>
      <c r="F9" s="3">
        <f t="shared" ref="F9:F48" si="0">D9*E9</f>
        <v>64782.472384000008</v>
      </c>
      <c r="G9" s="3">
        <f t="shared" ref="G9:G48" si="1">F9/1.22</f>
        <v>53100.387200000005</v>
      </c>
      <c r="H9" s="3">
        <f t="shared" ref="H9:H48" si="2">F9-G9</f>
        <v>11682.085184000003</v>
      </c>
      <c r="I9" s="3">
        <f t="shared" ref="I9:I48" si="3">G9-SUM(J9:N9)</f>
        <v>6903.0503360000075</v>
      </c>
      <c r="J9" s="3">
        <f t="shared" ref="J9:J48" si="4">G9*0.35</f>
        <v>18585.13552</v>
      </c>
      <c r="K9" s="3">
        <f t="shared" ref="K9:K48" si="5">G9*0.22</f>
        <v>11682.085184000001</v>
      </c>
      <c r="L9" s="3">
        <f t="shared" ref="L9:L48" si="6">G9*0.08</f>
        <v>4248.030976</v>
      </c>
      <c r="M9" s="3">
        <f t="shared" ref="M9:M48" si="7">G9*0.12</f>
        <v>6372.046464</v>
      </c>
      <c r="N9" s="3">
        <f t="shared" ref="N9:N48" si="8">G9*0.1</f>
        <v>5310.0387200000005</v>
      </c>
      <c r="O9" s="3">
        <f t="shared" ref="O9:O48" si="9">G9-SUM(I9:N9)</f>
        <v>0</v>
      </c>
      <c r="P9" s="18">
        <f t="shared" ref="P9:P48" si="10">IF($F$49=0,0,F9/$F$49)</f>
        <v>2.943339012301109E-3</v>
      </c>
      <c r="Q9" s="3" t="s">
        <v>501</v>
      </c>
      <c r="R9" s="3">
        <f t="shared" ref="R9:R48" si="11">F9</f>
        <v>64782.472384000008</v>
      </c>
      <c r="S9" s="3">
        <v>0</v>
      </c>
      <c r="T9" t="s">
        <v>481</v>
      </c>
    </row>
    <row r="10" spans="1:20" ht="15" customHeight="1" x14ac:dyDescent="0.25">
      <c r="A10" t="s">
        <v>479</v>
      </c>
      <c r="B10" t="s">
        <v>482</v>
      </c>
      <c r="C10" t="s">
        <v>107</v>
      </c>
      <c r="D10" s="2">
        <v>279.89999999999998</v>
      </c>
      <c r="E10" s="3">
        <v>8492.2369999999992</v>
      </c>
      <c r="F10" s="3">
        <f t="shared" si="0"/>
        <v>2376977.1362999994</v>
      </c>
      <c r="G10" s="3">
        <f t="shared" si="1"/>
        <v>1948341.9149999996</v>
      </c>
      <c r="H10" s="3">
        <f t="shared" si="2"/>
        <v>428635.22129999986</v>
      </c>
      <c r="I10" s="3">
        <f t="shared" si="3"/>
        <v>253284.44894999987</v>
      </c>
      <c r="J10" s="3">
        <f t="shared" si="4"/>
        <v>681919.67024999985</v>
      </c>
      <c r="K10" s="3">
        <f t="shared" si="5"/>
        <v>428635.22129999992</v>
      </c>
      <c r="L10" s="3">
        <f t="shared" si="6"/>
        <v>155867.35319999998</v>
      </c>
      <c r="M10" s="3">
        <f t="shared" si="7"/>
        <v>233801.02979999993</v>
      </c>
      <c r="N10" s="3">
        <f t="shared" si="8"/>
        <v>194834.19149999996</v>
      </c>
      <c r="O10" s="3">
        <f t="shared" si="9"/>
        <v>0</v>
      </c>
      <c r="P10" s="18">
        <f t="shared" si="10"/>
        <v>0.10799602545498857</v>
      </c>
      <c r="Q10" s="3" t="s">
        <v>501</v>
      </c>
      <c r="R10" s="3">
        <f t="shared" si="11"/>
        <v>2376977.1362999994</v>
      </c>
      <c r="S10" s="3">
        <v>0</v>
      </c>
      <c r="T10" t="s">
        <v>481</v>
      </c>
    </row>
    <row r="11" spans="1:20" ht="15" customHeight="1" x14ac:dyDescent="0.25">
      <c r="A11" t="s">
        <v>479</v>
      </c>
      <c r="B11" t="s">
        <v>483</v>
      </c>
      <c r="C11" t="s">
        <v>112</v>
      </c>
      <c r="D11" s="2">
        <v>29871.70436</v>
      </c>
      <c r="E11" s="3">
        <v>0</v>
      </c>
      <c r="F11" s="3">
        <f t="shared" si="0"/>
        <v>0</v>
      </c>
      <c r="G11" s="3">
        <f t="shared" si="1"/>
        <v>0</v>
      </c>
      <c r="H11" s="3">
        <f t="shared" si="2"/>
        <v>0</v>
      </c>
      <c r="I11" s="3">
        <f t="shared" si="3"/>
        <v>0</v>
      </c>
      <c r="J11" s="3">
        <f t="shared" si="4"/>
        <v>0</v>
      </c>
      <c r="K11" s="3">
        <f t="shared" si="5"/>
        <v>0</v>
      </c>
      <c r="L11" s="3">
        <f t="shared" si="6"/>
        <v>0</v>
      </c>
      <c r="M11" s="3">
        <f t="shared" si="7"/>
        <v>0</v>
      </c>
      <c r="N11" s="3">
        <f t="shared" si="8"/>
        <v>0</v>
      </c>
      <c r="O11" s="3">
        <f t="shared" si="9"/>
        <v>0</v>
      </c>
      <c r="P11" s="18">
        <f t="shared" si="10"/>
        <v>0</v>
      </c>
      <c r="Q11" s="3" t="s">
        <v>501</v>
      </c>
      <c r="R11" s="3">
        <f t="shared" si="11"/>
        <v>0</v>
      </c>
      <c r="S11" s="3">
        <v>0</v>
      </c>
      <c r="T11" t="s">
        <v>481</v>
      </c>
    </row>
    <row r="12" spans="1:20" ht="15" customHeight="1" x14ac:dyDescent="0.25">
      <c r="A12" t="s">
        <v>479</v>
      </c>
      <c r="B12" t="s">
        <v>484</v>
      </c>
      <c r="C12" t="s">
        <v>107</v>
      </c>
      <c r="D12" s="2">
        <v>139.94999999999999</v>
      </c>
      <c r="E12" s="3">
        <v>1853.3630000000001</v>
      </c>
      <c r="F12" s="3">
        <f t="shared" si="0"/>
        <v>259378.15184999999</v>
      </c>
      <c r="G12" s="3">
        <f t="shared" si="1"/>
        <v>212605.04250000001</v>
      </c>
      <c r="H12" s="3">
        <f t="shared" si="2"/>
        <v>46773.109349999984</v>
      </c>
      <c r="I12" s="3">
        <f t="shared" si="3"/>
        <v>27638.65552499998</v>
      </c>
      <c r="J12" s="3">
        <f t="shared" si="4"/>
        <v>74411.764874999993</v>
      </c>
      <c r="K12" s="3">
        <f t="shared" si="5"/>
        <v>46773.109350000006</v>
      </c>
      <c r="L12" s="3">
        <f t="shared" si="6"/>
        <v>17008.403400000003</v>
      </c>
      <c r="M12" s="3">
        <f t="shared" si="7"/>
        <v>25512.605100000001</v>
      </c>
      <c r="N12" s="3">
        <f t="shared" si="8"/>
        <v>21260.504250000002</v>
      </c>
      <c r="O12" s="3">
        <f t="shared" si="9"/>
        <v>0</v>
      </c>
      <c r="P12" s="18">
        <f t="shared" si="10"/>
        <v>1.1784635645786499E-2</v>
      </c>
      <c r="Q12" s="3" t="s">
        <v>501</v>
      </c>
      <c r="R12" s="3">
        <f t="shared" si="11"/>
        <v>259378.15184999999</v>
      </c>
      <c r="S12" s="3">
        <v>0</v>
      </c>
      <c r="T12" t="s">
        <v>481</v>
      </c>
    </row>
    <row r="13" spans="1:20" ht="15" customHeight="1" x14ac:dyDescent="0.25">
      <c r="A13" t="s">
        <v>479</v>
      </c>
      <c r="B13" t="s">
        <v>485</v>
      </c>
      <c r="C13" t="s">
        <v>107</v>
      </c>
      <c r="D13" s="2">
        <v>419.85</v>
      </c>
      <c r="E13" s="3">
        <v>3497.9474</v>
      </c>
      <c r="F13" s="3">
        <f t="shared" si="0"/>
        <v>1468613.2158900001</v>
      </c>
      <c r="G13" s="3">
        <f t="shared" si="1"/>
        <v>1203781.3245000001</v>
      </c>
      <c r="H13" s="3">
        <f t="shared" si="2"/>
        <v>264831.89139</v>
      </c>
      <c r="I13" s="3">
        <f t="shared" si="3"/>
        <v>156491.57218500017</v>
      </c>
      <c r="J13" s="3">
        <f t="shared" si="4"/>
        <v>421323.463575</v>
      </c>
      <c r="K13" s="3">
        <f t="shared" si="5"/>
        <v>264831.89139</v>
      </c>
      <c r="L13" s="3">
        <f t="shared" si="6"/>
        <v>96302.50596000001</v>
      </c>
      <c r="M13" s="3">
        <f t="shared" si="7"/>
        <v>144453.75894</v>
      </c>
      <c r="N13" s="3">
        <f t="shared" si="8"/>
        <v>120378.13245000002</v>
      </c>
      <c r="O13" s="3">
        <f t="shared" si="9"/>
        <v>0</v>
      </c>
      <c r="P13" s="18">
        <f t="shared" si="10"/>
        <v>6.6725248562412562E-2</v>
      </c>
      <c r="Q13" s="3" t="s">
        <v>501</v>
      </c>
      <c r="R13" s="3">
        <f t="shared" si="11"/>
        <v>1468613.2158900001</v>
      </c>
      <c r="S13" s="3">
        <v>0</v>
      </c>
      <c r="T13" t="s">
        <v>481</v>
      </c>
    </row>
    <row r="14" spans="1:20" ht="15" customHeight="1" x14ac:dyDescent="0.25">
      <c r="A14" t="s">
        <v>479</v>
      </c>
      <c r="B14" t="s">
        <v>486</v>
      </c>
      <c r="C14" t="s">
        <v>107</v>
      </c>
      <c r="D14" s="2">
        <v>419.85</v>
      </c>
      <c r="E14" s="3">
        <v>3497.9474</v>
      </c>
      <c r="F14" s="3">
        <f t="shared" si="0"/>
        <v>1468613.2158900001</v>
      </c>
      <c r="G14" s="3">
        <f t="shared" si="1"/>
        <v>1203781.3245000001</v>
      </c>
      <c r="H14" s="3">
        <f t="shared" si="2"/>
        <v>264831.89139</v>
      </c>
      <c r="I14" s="3">
        <f t="shared" si="3"/>
        <v>156491.57218500017</v>
      </c>
      <c r="J14" s="3">
        <f t="shared" si="4"/>
        <v>421323.463575</v>
      </c>
      <c r="K14" s="3">
        <f t="shared" si="5"/>
        <v>264831.89139</v>
      </c>
      <c r="L14" s="3">
        <f t="shared" si="6"/>
        <v>96302.50596000001</v>
      </c>
      <c r="M14" s="3">
        <f t="shared" si="7"/>
        <v>144453.75894</v>
      </c>
      <c r="N14" s="3">
        <f t="shared" si="8"/>
        <v>120378.13245000002</v>
      </c>
      <c r="O14" s="3">
        <f t="shared" si="9"/>
        <v>0</v>
      </c>
      <c r="P14" s="18">
        <f t="shared" si="10"/>
        <v>6.6725248562412562E-2</v>
      </c>
      <c r="Q14" s="3" t="s">
        <v>501</v>
      </c>
      <c r="R14" s="3">
        <f t="shared" si="11"/>
        <v>1468613.2158900001</v>
      </c>
      <c r="S14" s="3">
        <v>0</v>
      </c>
      <c r="T14" t="s">
        <v>481</v>
      </c>
    </row>
    <row r="15" spans="1:20" ht="15" customHeight="1" x14ac:dyDescent="0.25">
      <c r="A15" t="s">
        <v>151</v>
      </c>
      <c r="B15" t="s">
        <v>247</v>
      </c>
      <c r="C15" t="s">
        <v>145</v>
      </c>
      <c r="D15" s="2">
        <v>54.6</v>
      </c>
      <c r="E15" s="3">
        <v>598.53200000000004</v>
      </c>
      <c r="F15" s="3">
        <f t="shared" si="0"/>
        <v>32679.847200000004</v>
      </c>
      <c r="G15" s="3">
        <f t="shared" si="1"/>
        <v>26786.760000000002</v>
      </c>
      <c r="H15" s="3">
        <f t="shared" si="2"/>
        <v>5893.0872000000018</v>
      </c>
      <c r="I15" s="3">
        <f t="shared" si="3"/>
        <v>3482.2788000000037</v>
      </c>
      <c r="J15" s="3">
        <f t="shared" si="4"/>
        <v>9375.366</v>
      </c>
      <c r="K15" s="3">
        <f t="shared" si="5"/>
        <v>5893.0872000000008</v>
      </c>
      <c r="L15" s="3">
        <f t="shared" si="6"/>
        <v>2142.9408000000003</v>
      </c>
      <c r="M15" s="3">
        <f t="shared" si="7"/>
        <v>3214.4112</v>
      </c>
      <c r="N15" s="3">
        <f t="shared" si="8"/>
        <v>2678.6760000000004</v>
      </c>
      <c r="O15" s="3">
        <f t="shared" si="9"/>
        <v>0</v>
      </c>
      <c r="P15" s="18">
        <f t="shared" si="10"/>
        <v>1.4847823128707213E-3</v>
      </c>
      <c r="Q15" s="3" t="s">
        <v>501</v>
      </c>
      <c r="R15" s="3">
        <f t="shared" si="11"/>
        <v>32679.847200000004</v>
      </c>
      <c r="S15" s="3">
        <v>0</v>
      </c>
      <c r="T15" t="s">
        <v>481</v>
      </c>
    </row>
    <row r="16" spans="1:20" ht="15" customHeight="1" x14ac:dyDescent="0.25">
      <c r="A16" t="s">
        <v>151</v>
      </c>
      <c r="B16" t="s">
        <v>248</v>
      </c>
      <c r="C16" t="s">
        <v>146</v>
      </c>
      <c r="D16" s="2">
        <v>2.73</v>
      </c>
      <c r="E16" s="3">
        <v>5261.2744000000002</v>
      </c>
      <c r="F16" s="3">
        <f t="shared" si="0"/>
        <v>14363.279112</v>
      </c>
      <c r="G16" s="3">
        <f t="shared" si="1"/>
        <v>11773.179600000001</v>
      </c>
      <c r="H16" s="3">
        <f t="shared" si="2"/>
        <v>2590.0995119999989</v>
      </c>
      <c r="I16" s="3">
        <f t="shared" si="3"/>
        <v>1530.5133480000004</v>
      </c>
      <c r="J16" s="3">
        <f t="shared" si="4"/>
        <v>4120.6128600000002</v>
      </c>
      <c r="K16" s="3">
        <f t="shared" si="5"/>
        <v>2590.0995120000002</v>
      </c>
      <c r="L16" s="3">
        <f t="shared" si="6"/>
        <v>941.85436800000014</v>
      </c>
      <c r="M16" s="3">
        <f t="shared" si="7"/>
        <v>1412.7815520000001</v>
      </c>
      <c r="N16" s="3">
        <f t="shared" si="8"/>
        <v>1177.3179600000001</v>
      </c>
      <c r="O16" s="3">
        <f t="shared" si="9"/>
        <v>0</v>
      </c>
      <c r="P16" s="18">
        <f t="shared" si="10"/>
        <v>6.5258391968011037E-4</v>
      </c>
      <c r="Q16" s="3" t="s">
        <v>501</v>
      </c>
      <c r="R16" s="3">
        <f t="shared" si="11"/>
        <v>14363.279112</v>
      </c>
      <c r="S16" s="3">
        <v>0</v>
      </c>
      <c r="T16" t="s">
        <v>481</v>
      </c>
    </row>
    <row r="17" spans="1:20" ht="15" customHeight="1" x14ac:dyDescent="0.25">
      <c r="A17" t="s">
        <v>151</v>
      </c>
      <c r="B17" t="s">
        <v>249</v>
      </c>
      <c r="C17" t="s">
        <v>146</v>
      </c>
      <c r="D17" s="2">
        <v>5.46</v>
      </c>
      <c r="E17" s="3">
        <v>10026.301600000001</v>
      </c>
      <c r="F17" s="3">
        <f t="shared" si="0"/>
        <v>54743.606736000002</v>
      </c>
      <c r="G17" s="3">
        <f t="shared" si="1"/>
        <v>44871.808799999999</v>
      </c>
      <c r="H17" s="3">
        <f t="shared" si="2"/>
        <v>9871.7979360000027</v>
      </c>
      <c r="I17" s="3">
        <f t="shared" si="3"/>
        <v>5833.3351440000042</v>
      </c>
      <c r="J17" s="3">
        <f t="shared" si="4"/>
        <v>15705.133079999998</v>
      </c>
      <c r="K17" s="3">
        <f t="shared" si="5"/>
        <v>9871.797935999999</v>
      </c>
      <c r="L17" s="3">
        <f t="shared" si="6"/>
        <v>3589.7447040000002</v>
      </c>
      <c r="M17" s="3">
        <f t="shared" si="7"/>
        <v>5384.617056</v>
      </c>
      <c r="N17" s="3">
        <f t="shared" si="8"/>
        <v>4487.1808799999999</v>
      </c>
      <c r="O17" s="3">
        <f t="shared" si="9"/>
        <v>0</v>
      </c>
      <c r="P17" s="18">
        <f t="shared" si="10"/>
        <v>2.4872313057927417E-3</v>
      </c>
      <c r="Q17" s="3" t="s">
        <v>501</v>
      </c>
      <c r="R17" s="3">
        <f t="shared" si="11"/>
        <v>54743.606736000002</v>
      </c>
      <c r="S17" s="3">
        <v>0</v>
      </c>
      <c r="T17" t="s">
        <v>481</v>
      </c>
    </row>
    <row r="18" spans="1:20" ht="15" customHeight="1" x14ac:dyDescent="0.25">
      <c r="A18" t="s">
        <v>151</v>
      </c>
      <c r="B18" t="s">
        <v>250</v>
      </c>
      <c r="C18" t="s">
        <v>146</v>
      </c>
      <c r="D18" s="2">
        <v>5.0049999999999999</v>
      </c>
      <c r="E18" s="3">
        <v>74702.954599999997</v>
      </c>
      <c r="F18" s="3">
        <f t="shared" si="0"/>
        <v>373888.28777299996</v>
      </c>
      <c r="G18" s="3">
        <f t="shared" si="1"/>
        <v>306465.80964999995</v>
      </c>
      <c r="H18" s="3">
        <f t="shared" si="2"/>
        <v>67422.478123000008</v>
      </c>
      <c r="I18" s="3">
        <f t="shared" si="3"/>
        <v>39840.55525450001</v>
      </c>
      <c r="J18" s="3">
        <f t="shared" si="4"/>
        <v>107263.03337749997</v>
      </c>
      <c r="K18" s="3">
        <f t="shared" si="5"/>
        <v>67422.478122999994</v>
      </c>
      <c r="L18" s="3">
        <f t="shared" si="6"/>
        <v>24517.264771999995</v>
      </c>
      <c r="M18" s="3">
        <f t="shared" si="7"/>
        <v>36775.897157999992</v>
      </c>
      <c r="N18" s="3">
        <f t="shared" si="8"/>
        <v>30646.580964999997</v>
      </c>
      <c r="O18" s="3">
        <f t="shared" si="9"/>
        <v>0</v>
      </c>
      <c r="P18" s="18">
        <f t="shared" si="10"/>
        <v>1.6987310658994413E-2</v>
      </c>
      <c r="Q18" s="3" t="s">
        <v>501</v>
      </c>
      <c r="R18" s="3">
        <f t="shared" si="11"/>
        <v>373888.28777299996</v>
      </c>
      <c r="S18" s="3">
        <v>0</v>
      </c>
      <c r="T18" t="s">
        <v>481</v>
      </c>
    </row>
    <row r="19" spans="1:20" ht="15" customHeight="1" x14ac:dyDescent="0.25">
      <c r="A19" t="s">
        <v>151</v>
      </c>
      <c r="B19" t="s">
        <v>251</v>
      </c>
      <c r="C19" t="s">
        <v>145</v>
      </c>
      <c r="D19" s="2">
        <v>101.374</v>
      </c>
      <c r="E19" s="3">
        <v>1894.7331999999999</v>
      </c>
      <c r="F19" s="3">
        <f t="shared" si="0"/>
        <v>192076.68341679999</v>
      </c>
      <c r="G19" s="3">
        <f t="shared" si="1"/>
        <v>157439.90443999998</v>
      </c>
      <c r="H19" s="3">
        <f t="shared" si="2"/>
        <v>34636.778976800008</v>
      </c>
      <c r="I19" s="3">
        <f t="shared" si="3"/>
        <v>20467.187577200006</v>
      </c>
      <c r="J19" s="3">
        <f t="shared" si="4"/>
        <v>55103.966553999991</v>
      </c>
      <c r="K19" s="3">
        <f t="shared" si="5"/>
        <v>34636.7789768</v>
      </c>
      <c r="L19" s="3">
        <f t="shared" si="6"/>
        <v>12595.192355199999</v>
      </c>
      <c r="M19" s="3">
        <f t="shared" si="7"/>
        <v>18892.788532799997</v>
      </c>
      <c r="N19" s="3">
        <f t="shared" si="8"/>
        <v>15743.990443999999</v>
      </c>
      <c r="O19" s="3">
        <f t="shared" si="9"/>
        <v>0</v>
      </c>
      <c r="P19" s="18">
        <f t="shared" si="10"/>
        <v>8.7268480940796318E-3</v>
      </c>
      <c r="Q19" s="3" t="s">
        <v>501</v>
      </c>
      <c r="R19" s="3">
        <f t="shared" si="11"/>
        <v>192076.68341679999</v>
      </c>
      <c r="S19" s="3">
        <v>0</v>
      </c>
      <c r="T19" t="s">
        <v>481</v>
      </c>
    </row>
    <row r="20" spans="1:20" ht="15" customHeight="1" x14ac:dyDescent="0.25">
      <c r="A20" t="s">
        <v>151</v>
      </c>
      <c r="B20" t="s">
        <v>252</v>
      </c>
      <c r="C20" t="s">
        <v>112</v>
      </c>
      <c r="D20" s="2">
        <v>1365</v>
      </c>
      <c r="E20" s="3">
        <v>487.89019999999999</v>
      </c>
      <c r="F20" s="3">
        <f t="shared" si="0"/>
        <v>665970.12300000002</v>
      </c>
      <c r="G20" s="3">
        <f t="shared" si="1"/>
        <v>545877.15</v>
      </c>
      <c r="H20" s="3">
        <f t="shared" si="2"/>
        <v>120092.973</v>
      </c>
      <c r="I20" s="3">
        <f t="shared" si="3"/>
        <v>70964.029500000004</v>
      </c>
      <c r="J20" s="3">
        <f t="shared" si="4"/>
        <v>191057.0025</v>
      </c>
      <c r="K20" s="3">
        <f t="shared" si="5"/>
        <v>120092.97300000001</v>
      </c>
      <c r="L20" s="3">
        <f t="shared" si="6"/>
        <v>43670.172000000006</v>
      </c>
      <c r="M20" s="3">
        <f t="shared" si="7"/>
        <v>65505.258000000002</v>
      </c>
      <c r="N20" s="3">
        <f t="shared" si="8"/>
        <v>54587.715000000004</v>
      </c>
      <c r="O20" s="3">
        <f t="shared" si="9"/>
        <v>0</v>
      </c>
      <c r="P20" s="18">
        <f t="shared" si="10"/>
        <v>3.0257811594992363E-2</v>
      </c>
      <c r="Q20" s="3" t="s">
        <v>501</v>
      </c>
      <c r="R20" s="3">
        <f t="shared" si="11"/>
        <v>665970.12300000002</v>
      </c>
      <c r="S20" s="3">
        <v>0</v>
      </c>
      <c r="T20" t="s">
        <v>481</v>
      </c>
    </row>
    <row r="21" spans="1:20" ht="15" customHeight="1" x14ac:dyDescent="0.25">
      <c r="A21" t="s">
        <v>151</v>
      </c>
      <c r="B21" t="s">
        <v>106</v>
      </c>
      <c r="C21" t="s">
        <v>146</v>
      </c>
      <c r="D21" s="2">
        <v>3.0030000000000001</v>
      </c>
      <c r="E21" s="3">
        <v>0</v>
      </c>
      <c r="F21" s="3">
        <f t="shared" si="0"/>
        <v>0</v>
      </c>
      <c r="G21" s="3">
        <f t="shared" si="1"/>
        <v>0</v>
      </c>
      <c r="H21" s="3">
        <f t="shared" si="2"/>
        <v>0</v>
      </c>
      <c r="I21" s="3">
        <f t="shared" si="3"/>
        <v>0</v>
      </c>
      <c r="J21" s="3">
        <f t="shared" si="4"/>
        <v>0</v>
      </c>
      <c r="K21" s="3">
        <f t="shared" si="5"/>
        <v>0</v>
      </c>
      <c r="L21" s="3">
        <f t="shared" si="6"/>
        <v>0</v>
      </c>
      <c r="M21" s="3">
        <f t="shared" si="7"/>
        <v>0</v>
      </c>
      <c r="N21" s="3">
        <f t="shared" si="8"/>
        <v>0</v>
      </c>
      <c r="O21" s="3">
        <f t="shared" si="9"/>
        <v>0</v>
      </c>
      <c r="P21" s="18">
        <f t="shared" si="10"/>
        <v>0</v>
      </c>
      <c r="Q21" s="3" t="s">
        <v>501</v>
      </c>
      <c r="R21" s="3">
        <f t="shared" si="11"/>
        <v>0</v>
      </c>
      <c r="S21" s="3">
        <v>0</v>
      </c>
      <c r="T21" t="s">
        <v>481</v>
      </c>
    </row>
    <row r="22" spans="1:20" ht="15" customHeight="1" x14ac:dyDescent="0.25">
      <c r="A22" t="s">
        <v>151</v>
      </c>
      <c r="B22" t="s">
        <v>108</v>
      </c>
      <c r="C22" t="s">
        <v>146</v>
      </c>
      <c r="D22" s="2">
        <v>3.4398</v>
      </c>
      <c r="E22" s="3">
        <v>0</v>
      </c>
      <c r="F22" s="3">
        <f t="shared" si="0"/>
        <v>0</v>
      </c>
      <c r="G22" s="3">
        <f t="shared" si="1"/>
        <v>0</v>
      </c>
      <c r="H22" s="3">
        <f t="shared" si="2"/>
        <v>0</v>
      </c>
      <c r="I22" s="3">
        <f t="shared" si="3"/>
        <v>0</v>
      </c>
      <c r="J22" s="3">
        <f t="shared" si="4"/>
        <v>0</v>
      </c>
      <c r="K22" s="3">
        <f t="shared" si="5"/>
        <v>0</v>
      </c>
      <c r="L22" s="3">
        <f t="shared" si="6"/>
        <v>0</v>
      </c>
      <c r="M22" s="3">
        <f t="shared" si="7"/>
        <v>0</v>
      </c>
      <c r="N22" s="3">
        <f t="shared" si="8"/>
        <v>0</v>
      </c>
      <c r="O22" s="3">
        <f t="shared" si="9"/>
        <v>0</v>
      </c>
      <c r="P22" s="18">
        <f t="shared" si="10"/>
        <v>0</v>
      </c>
      <c r="Q22" s="3" t="s">
        <v>501</v>
      </c>
      <c r="R22" s="3">
        <f t="shared" si="11"/>
        <v>0</v>
      </c>
      <c r="S22" s="3">
        <v>0</v>
      </c>
      <c r="T22" t="s">
        <v>481</v>
      </c>
    </row>
    <row r="23" spans="1:20" ht="15" customHeight="1" x14ac:dyDescent="0.25">
      <c r="A23" t="s">
        <v>151</v>
      </c>
      <c r="B23" t="s">
        <v>122</v>
      </c>
      <c r="C23" t="s">
        <v>148</v>
      </c>
      <c r="D23" s="2">
        <v>91</v>
      </c>
      <c r="E23" s="3">
        <v>0</v>
      </c>
      <c r="F23" s="3">
        <f t="shared" si="0"/>
        <v>0</v>
      </c>
      <c r="G23" s="3">
        <f t="shared" si="1"/>
        <v>0</v>
      </c>
      <c r="H23" s="3">
        <f t="shared" si="2"/>
        <v>0</v>
      </c>
      <c r="I23" s="3">
        <f t="shared" si="3"/>
        <v>0</v>
      </c>
      <c r="J23" s="3">
        <f t="shared" si="4"/>
        <v>0</v>
      </c>
      <c r="K23" s="3">
        <f t="shared" si="5"/>
        <v>0</v>
      </c>
      <c r="L23" s="3">
        <f t="shared" si="6"/>
        <v>0</v>
      </c>
      <c r="M23" s="3">
        <f t="shared" si="7"/>
        <v>0</v>
      </c>
      <c r="N23" s="3">
        <f t="shared" si="8"/>
        <v>0</v>
      </c>
      <c r="O23" s="3">
        <f t="shared" si="9"/>
        <v>0</v>
      </c>
      <c r="P23" s="18">
        <f t="shared" si="10"/>
        <v>0</v>
      </c>
      <c r="Q23" s="3" t="s">
        <v>501</v>
      </c>
      <c r="R23" s="3">
        <f t="shared" si="11"/>
        <v>0</v>
      </c>
      <c r="S23" s="3">
        <v>0</v>
      </c>
      <c r="T23" t="s">
        <v>481</v>
      </c>
    </row>
    <row r="24" spans="1:20" ht="15" customHeight="1" x14ac:dyDescent="0.25">
      <c r="A24" t="s">
        <v>151</v>
      </c>
      <c r="B24" t="s">
        <v>124</v>
      </c>
      <c r="C24" t="s">
        <v>148</v>
      </c>
      <c r="D24" s="2">
        <v>182</v>
      </c>
      <c r="E24" s="3">
        <v>0</v>
      </c>
      <c r="F24" s="3">
        <f t="shared" si="0"/>
        <v>0</v>
      </c>
      <c r="G24" s="3">
        <f t="shared" si="1"/>
        <v>0</v>
      </c>
      <c r="H24" s="3">
        <f t="shared" si="2"/>
        <v>0</v>
      </c>
      <c r="I24" s="3">
        <f t="shared" si="3"/>
        <v>0</v>
      </c>
      <c r="J24" s="3">
        <f t="shared" si="4"/>
        <v>0</v>
      </c>
      <c r="K24" s="3">
        <f t="shared" si="5"/>
        <v>0</v>
      </c>
      <c r="L24" s="3">
        <f t="shared" si="6"/>
        <v>0</v>
      </c>
      <c r="M24" s="3">
        <f t="shared" si="7"/>
        <v>0</v>
      </c>
      <c r="N24" s="3">
        <f t="shared" si="8"/>
        <v>0</v>
      </c>
      <c r="O24" s="3">
        <f t="shared" si="9"/>
        <v>0</v>
      </c>
      <c r="P24" s="18">
        <f t="shared" si="10"/>
        <v>0</v>
      </c>
      <c r="Q24" s="3" t="s">
        <v>501</v>
      </c>
      <c r="R24" s="3">
        <f t="shared" si="11"/>
        <v>0</v>
      </c>
      <c r="S24" s="3">
        <v>0</v>
      </c>
      <c r="T24" t="s">
        <v>481</v>
      </c>
    </row>
    <row r="25" spans="1:20" ht="15" customHeight="1" x14ac:dyDescent="0.25">
      <c r="A25" t="s">
        <v>151</v>
      </c>
      <c r="B25" t="s">
        <v>111</v>
      </c>
      <c r="C25" t="s">
        <v>112</v>
      </c>
      <c r="D25" s="2">
        <v>304.12200000000001</v>
      </c>
      <c r="E25" s="3">
        <v>0</v>
      </c>
      <c r="F25" s="3">
        <f t="shared" si="0"/>
        <v>0</v>
      </c>
      <c r="G25" s="3">
        <f t="shared" si="1"/>
        <v>0</v>
      </c>
      <c r="H25" s="3">
        <f t="shared" si="2"/>
        <v>0</v>
      </c>
      <c r="I25" s="3">
        <f t="shared" si="3"/>
        <v>0</v>
      </c>
      <c r="J25" s="3">
        <f t="shared" si="4"/>
        <v>0</v>
      </c>
      <c r="K25" s="3">
        <f t="shared" si="5"/>
        <v>0</v>
      </c>
      <c r="L25" s="3">
        <f t="shared" si="6"/>
        <v>0</v>
      </c>
      <c r="M25" s="3">
        <f t="shared" si="7"/>
        <v>0</v>
      </c>
      <c r="N25" s="3">
        <f t="shared" si="8"/>
        <v>0</v>
      </c>
      <c r="O25" s="3">
        <f t="shared" si="9"/>
        <v>0</v>
      </c>
      <c r="P25" s="18">
        <f t="shared" si="10"/>
        <v>0</v>
      </c>
      <c r="Q25" s="3" t="s">
        <v>501</v>
      </c>
      <c r="R25" s="3">
        <f t="shared" si="11"/>
        <v>0</v>
      </c>
      <c r="S25" s="3">
        <v>0</v>
      </c>
      <c r="T25" t="s">
        <v>481</v>
      </c>
    </row>
    <row r="26" spans="1:20" ht="15" customHeight="1" x14ac:dyDescent="0.25">
      <c r="A26" t="s">
        <v>152</v>
      </c>
      <c r="B26" t="s">
        <v>247</v>
      </c>
      <c r="C26" t="s">
        <v>145</v>
      </c>
      <c r="D26" s="2">
        <v>933</v>
      </c>
      <c r="E26" s="3">
        <v>598.53200000000004</v>
      </c>
      <c r="F26" s="3">
        <f t="shared" si="0"/>
        <v>558430.35600000003</v>
      </c>
      <c r="G26" s="3">
        <f t="shared" si="1"/>
        <v>457729.80000000005</v>
      </c>
      <c r="H26" s="3">
        <f t="shared" si="2"/>
        <v>100700.55599999998</v>
      </c>
      <c r="I26" s="3">
        <f t="shared" si="3"/>
        <v>59504.874000000069</v>
      </c>
      <c r="J26" s="3">
        <f t="shared" si="4"/>
        <v>160205.43</v>
      </c>
      <c r="K26" s="3">
        <f t="shared" si="5"/>
        <v>100700.55600000001</v>
      </c>
      <c r="L26" s="3">
        <f t="shared" si="6"/>
        <v>36618.384000000005</v>
      </c>
      <c r="M26" s="3">
        <f t="shared" si="7"/>
        <v>54927.576000000001</v>
      </c>
      <c r="N26" s="3">
        <f t="shared" si="8"/>
        <v>45772.98000000001</v>
      </c>
      <c r="O26" s="3">
        <f t="shared" si="9"/>
        <v>0</v>
      </c>
      <c r="P26" s="18">
        <f t="shared" si="10"/>
        <v>2.5371829632021666E-2</v>
      </c>
      <c r="Q26" s="3" t="s">
        <v>501</v>
      </c>
      <c r="R26" s="3">
        <f t="shared" si="11"/>
        <v>558430.35600000003</v>
      </c>
      <c r="S26" s="3">
        <v>0</v>
      </c>
      <c r="T26" t="s">
        <v>481</v>
      </c>
    </row>
    <row r="27" spans="1:20" ht="15" customHeight="1" x14ac:dyDescent="0.25">
      <c r="A27" t="s">
        <v>152</v>
      </c>
      <c r="B27" t="s">
        <v>254</v>
      </c>
      <c r="C27" t="s">
        <v>146</v>
      </c>
      <c r="D27" s="2">
        <v>9.33</v>
      </c>
      <c r="E27" s="3">
        <v>5261.2744000000002</v>
      </c>
      <c r="F27" s="3">
        <f t="shared" si="0"/>
        <v>49087.690152000003</v>
      </c>
      <c r="G27" s="3">
        <f t="shared" si="1"/>
        <v>40235.811600000001</v>
      </c>
      <c r="H27" s="3">
        <f t="shared" si="2"/>
        <v>8851.8785520000019</v>
      </c>
      <c r="I27" s="3">
        <f t="shared" si="3"/>
        <v>5230.6555080000035</v>
      </c>
      <c r="J27" s="3">
        <f t="shared" si="4"/>
        <v>14082.53406</v>
      </c>
      <c r="K27" s="3">
        <f t="shared" si="5"/>
        <v>8851.8785520000001</v>
      </c>
      <c r="L27" s="3">
        <f t="shared" si="6"/>
        <v>3218.864928</v>
      </c>
      <c r="M27" s="3">
        <f t="shared" si="7"/>
        <v>4828.2973919999995</v>
      </c>
      <c r="N27" s="3">
        <f t="shared" si="8"/>
        <v>4023.5811600000002</v>
      </c>
      <c r="O27" s="3">
        <f t="shared" si="9"/>
        <v>0</v>
      </c>
      <c r="P27" s="18">
        <f t="shared" si="10"/>
        <v>2.2302593298957618E-3</v>
      </c>
      <c r="Q27" s="3" t="s">
        <v>501</v>
      </c>
      <c r="R27" s="3">
        <f t="shared" si="11"/>
        <v>49087.690152000003</v>
      </c>
      <c r="S27" s="3">
        <v>0</v>
      </c>
      <c r="T27" t="s">
        <v>481</v>
      </c>
    </row>
    <row r="28" spans="1:20" ht="15" customHeight="1" x14ac:dyDescent="0.25">
      <c r="A28" t="s">
        <v>152</v>
      </c>
      <c r="B28" t="s">
        <v>255</v>
      </c>
      <c r="C28" t="s">
        <v>146</v>
      </c>
      <c r="D28" s="2">
        <v>46.65</v>
      </c>
      <c r="E28" s="3">
        <v>20671.9728</v>
      </c>
      <c r="F28" s="3">
        <f t="shared" si="0"/>
        <v>964347.53111999994</v>
      </c>
      <c r="G28" s="3">
        <f t="shared" si="1"/>
        <v>790448.79599999997</v>
      </c>
      <c r="H28" s="3">
        <f t="shared" si="2"/>
        <v>173898.73511999997</v>
      </c>
      <c r="I28" s="3">
        <f t="shared" si="3"/>
        <v>102758.34348000004</v>
      </c>
      <c r="J28" s="3">
        <f t="shared" si="4"/>
        <v>276657.07859999995</v>
      </c>
      <c r="K28" s="3">
        <f t="shared" si="5"/>
        <v>173898.73512</v>
      </c>
      <c r="L28" s="3">
        <f t="shared" si="6"/>
        <v>63235.903679999996</v>
      </c>
      <c r="M28" s="3">
        <f t="shared" si="7"/>
        <v>94853.855519999997</v>
      </c>
      <c r="N28" s="3">
        <f t="shared" si="8"/>
        <v>79044.8796</v>
      </c>
      <c r="O28" s="3">
        <f t="shared" si="9"/>
        <v>0</v>
      </c>
      <c r="P28" s="18">
        <f t="shared" si="10"/>
        <v>4.3814346771716951E-2</v>
      </c>
      <c r="Q28" s="3" t="s">
        <v>501</v>
      </c>
      <c r="R28" s="3">
        <f t="shared" si="11"/>
        <v>964347.53111999994</v>
      </c>
      <c r="S28" s="3">
        <v>0</v>
      </c>
      <c r="T28" t="s">
        <v>481</v>
      </c>
    </row>
    <row r="29" spans="1:20" ht="15" customHeight="1" x14ac:dyDescent="0.25">
      <c r="A29" t="s">
        <v>152</v>
      </c>
      <c r="B29" t="s">
        <v>256</v>
      </c>
      <c r="C29" t="s">
        <v>145</v>
      </c>
      <c r="D29" s="2">
        <v>933</v>
      </c>
      <c r="E29" s="3">
        <v>1741.6964</v>
      </c>
      <c r="F29" s="3">
        <f t="shared" si="0"/>
        <v>1625002.7412</v>
      </c>
      <c r="G29" s="3">
        <f t="shared" si="1"/>
        <v>1331969.46</v>
      </c>
      <c r="H29" s="3">
        <f t="shared" si="2"/>
        <v>293033.28120000008</v>
      </c>
      <c r="I29" s="3">
        <f t="shared" si="3"/>
        <v>173156.02980000013</v>
      </c>
      <c r="J29" s="3">
        <f t="shared" si="4"/>
        <v>466189.31099999993</v>
      </c>
      <c r="K29" s="3">
        <f t="shared" si="5"/>
        <v>293033.28119999997</v>
      </c>
      <c r="L29" s="3">
        <f t="shared" si="6"/>
        <v>106557.55680000001</v>
      </c>
      <c r="M29" s="3">
        <f t="shared" si="7"/>
        <v>159836.3352</v>
      </c>
      <c r="N29" s="3">
        <f t="shared" si="8"/>
        <v>133196.946</v>
      </c>
      <c r="O29" s="3">
        <f t="shared" si="9"/>
        <v>0</v>
      </c>
      <c r="P29" s="18">
        <f t="shared" si="10"/>
        <v>7.3830679615301209E-2</v>
      </c>
      <c r="Q29" s="3" t="s">
        <v>501</v>
      </c>
      <c r="R29" s="3">
        <f t="shared" si="11"/>
        <v>1625002.7412</v>
      </c>
      <c r="S29" s="3">
        <v>0</v>
      </c>
      <c r="T29" t="s">
        <v>481</v>
      </c>
    </row>
    <row r="30" spans="1:20" ht="15" customHeight="1" x14ac:dyDescent="0.25">
      <c r="A30" t="s">
        <v>152</v>
      </c>
      <c r="B30" t="s">
        <v>257</v>
      </c>
      <c r="C30" t="s">
        <v>112</v>
      </c>
      <c r="D30" s="2">
        <v>12175.65</v>
      </c>
      <c r="E30" s="3">
        <v>148.2056</v>
      </c>
      <c r="F30" s="3">
        <f t="shared" si="0"/>
        <v>1804499.51364</v>
      </c>
      <c r="G30" s="3">
        <f t="shared" si="1"/>
        <v>1479097.9620000001</v>
      </c>
      <c r="H30" s="3">
        <f t="shared" si="2"/>
        <v>325401.55163999996</v>
      </c>
      <c r="I30" s="3">
        <f t="shared" si="3"/>
        <v>192282.73506000009</v>
      </c>
      <c r="J30" s="3">
        <f t="shared" si="4"/>
        <v>517684.2867</v>
      </c>
      <c r="K30" s="3">
        <f t="shared" si="5"/>
        <v>325401.55164000002</v>
      </c>
      <c r="L30" s="3">
        <f t="shared" si="6"/>
        <v>118327.83696</v>
      </c>
      <c r="M30" s="3">
        <f t="shared" si="7"/>
        <v>177491.75544000001</v>
      </c>
      <c r="N30" s="3">
        <f t="shared" si="8"/>
        <v>147909.79620000001</v>
      </c>
      <c r="O30" s="3">
        <f t="shared" si="9"/>
        <v>0</v>
      </c>
      <c r="P30" s="18">
        <f t="shared" si="10"/>
        <v>8.1985969672357911E-2</v>
      </c>
      <c r="Q30" s="3" t="s">
        <v>501</v>
      </c>
      <c r="R30" s="3">
        <f t="shared" si="11"/>
        <v>1804499.51364</v>
      </c>
      <c r="S30" s="3">
        <v>0</v>
      </c>
      <c r="T30" t="s">
        <v>481</v>
      </c>
    </row>
    <row r="31" spans="1:20" ht="15" customHeight="1" x14ac:dyDescent="0.25">
      <c r="A31" t="s">
        <v>152</v>
      </c>
      <c r="B31" t="s">
        <v>258</v>
      </c>
      <c r="C31" t="s">
        <v>146</v>
      </c>
      <c r="D31" s="2">
        <v>279.89999999999998</v>
      </c>
      <c r="E31" s="3">
        <v>27220.091</v>
      </c>
      <c r="F31" s="3">
        <f t="shared" si="0"/>
        <v>7618903.4708999991</v>
      </c>
      <c r="G31" s="3">
        <f t="shared" si="1"/>
        <v>6245002.8449999997</v>
      </c>
      <c r="H31" s="3">
        <f t="shared" si="2"/>
        <v>1373900.6258999994</v>
      </c>
      <c r="I31" s="3">
        <f t="shared" si="3"/>
        <v>811850.36985000037</v>
      </c>
      <c r="J31" s="3">
        <f t="shared" si="4"/>
        <v>2185750.9957499998</v>
      </c>
      <c r="K31" s="3">
        <f t="shared" si="5"/>
        <v>1373900.6258999999</v>
      </c>
      <c r="L31" s="3">
        <f t="shared" si="6"/>
        <v>499600.22759999998</v>
      </c>
      <c r="M31" s="3">
        <f t="shared" si="7"/>
        <v>749400.34139999992</v>
      </c>
      <c r="N31" s="3">
        <f t="shared" si="8"/>
        <v>624500.28449999995</v>
      </c>
      <c r="O31" s="3">
        <f t="shared" si="9"/>
        <v>0</v>
      </c>
      <c r="P31" s="18">
        <f t="shared" si="10"/>
        <v>0.34615869063982851</v>
      </c>
      <c r="Q31" s="3" t="s">
        <v>501</v>
      </c>
      <c r="R31" s="3">
        <f t="shared" si="11"/>
        <v>7618903.4708999991</v>
      </c>
      <c r="S31" s="3">
        <v>0</v>
      </c>
      <c r="T31" t="s">
        <v>481</v>
      </c>
    </row>
    <row r="32" spans="1:20" ht="15" customHeight="1" x14ac:dyDescent="0.25">
      <c r="A32" t="s">
        <v>152</v>
      </c>
      <c r="B32" t="s">
        <v>259</v>
      </c>
      <c r="C32" t="s">
        <v>145</v>
      </c>
      <c r="D32" s="2">
        <v>933</v>
      </c>
      <c r="E32" s="3">
        <v>2551.5567999999998</v>
      </c>
      <c r="F32" s="3">
        <f t="shared" si="0"/>
        <v>2380602.4943999997</v>
      </c>
      <c r="G32" s="3">
        <f t="shared" si="1"/>
        <v>1951313.5199999998</v>
      </c>
      <c r="H32" s="3">
        <f t="shared" si="2"/>
        <v>429288.97439999995</v>
      </c>
      <c r="I32" s="3">
        <f t="shared" si="3"/>
        <v>253670.75760000013</v>
      </c>
      <c r="J32" s="3">
        <f t="shared" si="4"/>
        <v>682959.73199999984</v>
      </c>
      <c r="K32" s="3">
        <f t="shared" si="5"/>
        <v>429288.97439999995</v>
      </c>
      <c r="L32" s="3">
        <f t="shared" si="6"/>
        <v>156105.08159999998</v>
      </c>
      <c r="M32" s="3">
        <f t="shared" si="7"/>
        <v>234157.62239999996</v>
      </c>
      <c r="N32" s="3">
        <f t="shared" si="8"/>
        <v>195131.35199999998</v>
      </c>
      <c r="O32" s="3">
        <f t="shared" si="9"/>
        <v>0</v>
      </c>
      <c r="P32" s="18">
        <f t="shared" si="10"/>
        <v>0.10816074065551444</v>
      </c>
      <c r="Q32" s="3" t="s">
        <v>501</v>
      </c>
      <c r="R32" s="3">
        <f t="shared" si="11"/>
        <v>2380602.4943999997</v>
      </c>
      <c r="S32" s="3">
        <v>0</v>
      </c>
      <c r="T32" t="s">
        <v>481</v>
      </c>
    </row>
    <row r="33" spans="1:20" ht="15" customHeight="1" x14ac:dyDescent="0.25">
      <c r="A33" t="s">
        <v>152</v>
      </c>
      <c r="B33" t="s">
        <v>153</v>
      </c>
      <c r="C33" t="s">
        <v>146</v>
      </c>
      <c r="D33" s="2">
        <v>10.263</v>
      </c>
      <c r="E33" s="3">
        <v>0</v>
      </c>
      <c r="F33" s="3">
        <f t="shared" si="0"/>
        <v>0</v>
      </c>
      <c r="G33" s="3">
        <f t="shared" si="1"/>
        <v>0</v>
      </c>
      <c r="H33" s="3">
        <f t="shared" si="2"/>
        <v>0</v>
      </c>
      <c r="I33" s="3">
        <f t="shared" si="3"/>
        <v>0</v>
      </c>
      <c r="J33" s="3">
        <f t="shared" si="4"/>
        <v>0</v>
      </c>
      <c r="K33" s="3">
        <f t="shared" si="5"/>
        <v>0</v>
      </c>
      <c r="L33" s="3">
        <f t="shared" si="6"/>
        <v>0</v>
      </c>
      <c r="M33" s="3">
        <f t="shared" si="7"/>
        <v>0</v>
      </c>
      <c r="N33" s="3">
        <f t="shared" si="8"/>
        <v>0</v>
      </c>
      <c r="O33" s="3">
        <f t="shared" si="9"/>
        <v>0</v>
      </c>
      <c r="P33" s="18">
        <f t="shared" si="10"/>
        <v>0</v>
      </c>
      <c r="Q33" s="3" t="s">
        <v>501</v>
      </c>
      <c r="R33" s="3">
        <f t="shared" si="11"/>
        <v>0</v>
      </c>
      <c r="S33" s="3">
        <v>0</v>
      </c>
      <c r="T33" t="s">
        <v>481</v>
      </c>
    </row>
    <row r="34" spans="1:20" ht="15" customHeight="1" x14ac:dyDescent="0.25">
      <c r="A34" t="s">
        <v>152</v>
      </c>
      <c r="B34" t="s">
        <v>154</v>
      </c>
      <c r="C34" t="s">
        <v>146</v>
      </c>
      <c r="D34" s="2">
        <v>46.65</v>
      </c>
      <c r="E34" s="3">
        <v>0</v>
      </c>
      <c r="F34" s="3">
        <f t="shared" si="0"/>
        <v>0</v>
      </c>
      <c r="G34" s="3">
        <f t="shared" si="1"/>
        <v>0</v>
      </c>
      <c r="H34" s="3">
        <f t="shared" si="2"/>
        <v>0</v>
      </c>
      <c r="I34" s="3">
        <f t="shared" si="3"/>
        <v>0</v>
      </c>
      <c r="J34" s="3">
        <f t="shared" si="4"/>
        <v>0</v>
      </c>
      <c r="K34" s="3">
        <f t="shared" si="5"/>
        <v>0</v>
      </c>
      <c r="L34" s="3">
        <f t="shared" si="6"/>
        <v>0</v>
      </c>
      <c r="M34" s="3">
        <f t="shared" si="7"/>
        <v>0</v>
      </c>
      <c r="N34" s="3">
        <f t="shared" si="8"/>
        <v>0</v>
      </c>
      <c r="O34" s="3">
        <f t="shared" si="9"/>
        <v>0</v>
      </c>
      <c r="P34" s="18">
        <f t="shared" si="10"/>
        <v>0</v>
      </c>
      <c r="Q34" s="3" t="s">
        <v>501</v>
      </c>
      <c r="R34" s="3">
        <f t="shared" si="11"/>
        <v>0</v>
      </c>
      <c r="S34" s="3">
        <v>0</v>
      </c>
      <c r="T34" t="s">
        <v>481</v>
      </c>
    </row>
    <row r="35" spans="1:20" ht="15" customHeight="1" x14ac:dyDescent="0.25">
      <c r="A35" t="s">
        <v>152</v>
      </c>
      <c r="B35" t="s">
        <v>155</v>
      </c>
      <c r="C35" t="s">
        <v>112</v>
      </c>
      <c r="D35" s="2">
        <v>2799</v>
      </c>
      <c r="E35" s="3">
        <v>0</v>
      </c>
      <c r="F35" s="3">
        <f t="shared" si="0"/>
        <v>0</v>
      </c>
      <c r="G35" s="3">
        <f t="shared" si="1"/>
        <v>0</v>
      </c>
      <c r="H35" s="3">
        <f t="shared" si="2"/>
        <v>0</v>
      </c>
      <c r="I35" s="3">
        <f t="shared" si="3"/>
        <v>0</v>
      </c>
      <c r="J35" s="3">
        <f t="shared" si="4"/>
        <v>0</v>
      </c>
      <c r="K35" s="3">
        <f t="shared" si="5"/>
        <v>0</v>
      </c>
      <c r="L35" s="3">
        <f t="shared" si="6"/>
        <v>0</v>
      </c>
      <c r="M35" s="3">
        <f t="shared" si="7"/>
        <v>0</v>
      </c>
      <c r="N35" s="3">
        <f t="shared" si="8"/>
        <v>0</v>
      </c>
      <c r="O35" s="3">
        <f t="shared" si="9"/>
        <v>0</v>
      </c>
      <c r="P35" s="18">
        <f t="shared" si="10"/>
        <v>0</v>
      </c>
      <c r="Q35" s="3" t="s">
        <v>501</v>
      </c>
      <c r="R35" s="3">
        <f t="shared" si="11"/>
        <v>0</v>
      </c>
      <c r="S35" s="3">
        <v>0</v>
      </c>
      <c r="T35" t="s">
        <v>481</v>
      </c>
    </row>
    <row r="36" spans="1:20" ht="15" customHeight="1" x14ac:dyDescent="0.25">
      <c r="A36" t="s">
        <v>152</v>
      </c>
      <c r="B36" t="s">
        <v>156</v>
      </c>
      <c r="C36" t="s">
        <v>112</v>
      </c>
      <c r="D36" s="2">
        <v>10626.87</v>
      </c>
      <c r="E36" s="3">
        <v>0</v>
      </c>
      <c r="F36" s="3">
        <f t="shared" si="0"/>
        <v>0</v>
      </c>
      <c r="G36" s="3">
        <f t="shared" si="1"/>
        <v>0</v>
      </c>
      <c r="H36" s="3">
        <f t="shared" si="2"/>
        <v>0</v>
      </c>
      <c r="I36" s="3">
        <f t="shared" si="3"/>
        <v>0</v>
      </c>
      <c r="J36" s="3">
        <f t="shared" si="4"/>
        <v>0</v>
      </c>
      <c r="K36" s="3">
        <f t="shared" si="5"/>
        <v>0</v>
      </c>
      <c r="L36" s="3">
        <f t="shared" si="6"/>
        <v>0</v>
      </c>
      <c r="M36" s="3">
        <f t="shared" si="7"/>
        <v>0</v>
      </c>
      <c r="N36" s="3">
        <f t="shared" si="8"/>
        <v>0</v>
      </c>
      <c r="O36" s="3">
        <f t="shared" si="9"/>
        <v>0</v>
      </c>
      <c r="P36" s="18">
        <f t="shared" si="10"/>
        <v>0</v>
      </c>
      <c r="Q36" s="3" t="s">
        <v>501</v>
      </c>
      <c r="R36" s="3">
        <f t="shared" si="11"/>
        <v>0</v>
      </c>
      <c r="S36" s="3">
        <v>0</v>
      </c>
      <c r="T36" t="s">
        <v>481</v>
      </c>
    </row>
    <row r="37" spans="1:20" ht="15" customHeight="1" x14ac:dyDescent="0.25">
      <c r="A37" t="s">
        <v>152</v>
      </c>
      <c r="B37" t="s">
        <v>157</v>
      </c>
      <c r="C37" t="s">
        <v>112</v>
      </c>
      <c r="D37" s="2">
        <v>1548.78</v>
      </c>
      <c r="E37" s="3">
        <v>0</v>
      </c>
      <c r="F37" s="3">
        <f t="shared" si="0"/>
        <v>0</v>
      </c>
      <c r="G37" s="3">
        <f t="shared" si="1"/>
        <v>0</v>
      </c>
      <c r="H37" s="3">
        <f t="shared" si="2"/>
        <v>0</v>
      </c>
      <c r="I37" s="3">
        <f t="shared" si="3"/>
        <v>0</v>
      </c>
      <c r="J37" s="3">
        <f t="shared" si="4"/>
        <v>0</v>
      </c>
      <c r="K37" s="3">
        <f t="shared" si="5"/>
        <v>0</v>
      </c>
      <c r="L37" s="3">
        <f t="shared" si="6"/>
        <v>0</v>
      </c>
      <c r="M37" s="3">
        <f t="shared" si="7"/>
        <v>0</v>
      </c>
      <c r="N37" s="3">
        <f t="shared" si="8"/>
        <v>0</v>
      </c>
      <c r="O37" s="3">
        <f t="shared" si="9"/>
        <v>0</v>
      </c>
      <c r="P37" s="18">
        <f t="shared" si="10"/>
        <v>0</v>
      </c>
      <c r="Q37" s="3" t="s">
        <v>501</v>
      </c>
      <c r="R37" s="3">
        <f t="shared" si="11"/>
        <v>0</v>
      </c>
      <c r="S37" s="3">
        <v>0</v>
      </c>
      <c r="T37" t="s">
        <v>481</v>
      </c>
    </row>
    <row r="38" spans="1:20" ht="15" customHeight="1" x14ac:dyDescent="0.25">
      <c r="A38" t="s">
        <v>152</v>
      </c>
      <c r="B38" t="s">
        <v>158</v>
      </c>
      <c r="C38" t="s">
        <v>146</v>
      </c>
      <c r="D38" s="2">
        <v>279.89999999999998</v>
      </c>
      <c r="E38" s="3">
        <v>0</v>
      </c>
      <c r="F38" s="3">
        <f t="shared" si="0"/>
        <v>0</v>
      </c>
      <c r="G38" s="3">
        <f t="shared" si="1"/>
        <v>0</v>
      </c>
      <c r="H38" s="3">
        <f t="shared" si="2"/>
        <v>0</v>
      </c>
      <c r="I38" s="3">
        <f t="shared" si="3"/>
        <v>0</v>
      </c>
      <c r="J38" s="3">
        <f t="shared" si="4"/>
        <v>0</v>
      </c>
      <c r="K38" s="3">
        <f t="shared" si="5"/>
        <v>0</v>
      </c>
      <c r="L38" s="3">
        <f t="shared" si="6"/>
        <v>0</v>
      </c>
      <c r="M38" s="3">
        <f t="shared" si="7"/>
        <v>0</v>
      </c>
      <c r="N38" s="3">
        <f t="shared" si="8"/>
        <v>0</v>
      </c>
      <c r="O38" s="3">
        <f t="shared" si="9"/>
        <v>0</v>
      </c>
      <c r="P38" s="18">
        <f t="shared" si="10"/>
        <v>0</v>
      </c>
      <c r="Q38" s="3" t="s">
        <v>501</v>
      </c>
      <c r="R38" s="3">
        <f t="shared" si="11"/>
        <v>0</v>
      </c>
      <c r="S38" s="3">
        <v>0</v>
      </c>
      <c r="T38" t="s">
        <v>481</v>
      </c>
    </row>
    <row r="39" spans="1:20" ht="15" customHeight="1" x14ac:dyDescent="0.25">
      <c r="A39" t="s">
        <v>152</v>
      </c>
      <c r="B39" t="s">
        <v>159</v>
      </c>
      <c r="C39" t="s">
        <v>112</v>
      </c>
      <c r="D39" s="2">
        <v>3732</v>
      </c>
      <c r="E39" s="3">
        <v>0</v>
      </c>
      <c r="F39" s="3">
        <f t="shared" si="0"/>
        <v>0</v>
      </c>
      <c r="G39" s="3">
        <f t="shared" si="1"/>
        <v>0</v>
      </c>
      <c r="H39" s="3">
        <f t="shared" si="2"/>
        <v>0</v>
      </c>
      <c r="I39" s="3">
        <f t="shared" si="3"/>
        <v>0</v>
      </c>
      <c r="J39" s="3">
        <f t="shared" si="4"/>
        <v>0</v>
      </c>
      <c r="K39" s="3">
        <f t="shared" si="5"/>
        <v>0</v>
      </c>
      <c r="L39" s="3">
        <f t="shared" si="6"/>
        <v>0</v>
      </c>
      <c r="M39" s="3">
        <f t="shared" si="7"/>
        <v>0</v>
      </c>
      <c r="N39" s="3">
        <f t="shared" si="8"/>
        <v>0</v>
      </c>
      <c r="O39" s="3">
        <f t="shared" si="9"/>
        <v>0</v>
      </c>
      <c r="P39" s="18">
        <f t="shared" si="10"/>
        <v>0</v>
      </c>
      <c r="Q39" s="3" t="s">
        <v>501</v>
      </c>
      <c r="R39" s="3">
        <f t="shared" si="11"/>
        <v>0</v>
      </c>
      <c r="S39" s="3">
        <v>0</v>
      </c>
      <c r="T39" t="s">
        <v>481</v>
      </c>
    </row>
    <row r="40" spans="1:20" ht="15" customHeight="1" x14ac:dyDescent="0.25">
      <c r="A40" t="s">
        <v>152</v>
      </c>
      <c r="B40" t="s">
        <v>161</v>
      </c>
      <c r="C40" t="s">
        <v>132</v>
      </c>
      <c r="D40" s="2">
        <v>4.2</v>
      </c>
      <c r="E40" s="3">
        <v>0</v>
      </c>
      <c r="F40" s="3">
        <f t="shared" si="0"/>
        <v>0</v>
      </c>
      <c r="G40" s="3">
        <f t="shared" si="1"/>
        <v>0</v>
      </c>
      <c r="H40" s="3">
        <f t="shared" si="2"/>
        <v>0</v>
      </c>
      <c r="I40" s="3">
        <f t="shared" si="3"/>
        <v>0</v>
      </c>
      <c r="J40" s="3">
        <f t="shared" si="4"/>
        <v>0</v>
      </c>
      <c r="K40" s="3">
        <f t="shared" si="5"/>
        <v>0</v>
      </c>
      <c r="L40" s="3">
        <f t="shared" si="6"/>
        <v>0</v>
      </c>
      <c r="M40" s="3">
        <f t="shared" si="7"/>
        <v>0</v>
      </c>
      <c r="N40" s="3">
        <f t="shared" si="8"/>
        <v>0</v>
      </c>
      <c r="O40" s="3">
        <f t="shared" si="9"/>
        <v>0</v>
      </c>
      <c r="P40" s="18">
        <f t="shared" si="10"/>
        <v>0</v>
      </c>
      <c r="Q40" s="3" t="s">
        <v>501</v>
      </c>
      <c r="R40" s="3">
        <f t="shared" si="11"/>
        <v>0</v>
      </c>
      <c r="S40" s="3">
        <v>0</v>
      </c>
      <c r="T40" t="s">
        <v>481</v>
      </c>
    </row>
    <row r="41" spans="1:20" ht="15" customHeight="1" x14ac:dyDescent="0.25">
      <c r="A41" t="s">
        <v>152</v>
      </c>
      <c r="B41" t="s">
        <v>163</v>
      </c>
      <c r="C41" t="s">
        <v>132</v>
      </c>
      <c r="D41" s="2">
        <v>0.18</v>
      </c>
      <c r="E41" s="3">
        <v>0</v>
      </c>
      <c r="F41" s="3">
        <f t="shared" si="0"/>
        <v>0</v>
      </c>
      <c r="G41" s="3">
        <f t="shared" si="1"/>
        <v>0</v>
      </c>
      <c r="H41" s="3">
        <f t="shared" si="2"/>
        <v>0</v>
      </c>
      <c r="I41" s="3">
        <f t="shared" si="3"/>
        <v>0</v>
      </c>
      <c r="J41" s="3">
        <f t="shared" si="4"/>
        <v>0</v>
      </c>
      <c r="K41" s="3">
        <f t="shared" si="5"/>
        <v>0</v>
      </c>
      <c r="L41" s="3">
        <f t="shared" si="6"/>
        <v>0</v>
      </c>
      <c r="M41" s="3">
        <f t="shared" si="7"/>
        <v>0</v>
      </c>
      <c r="N41" s="3">
        <f t="shared" si="8"/>
        <v>0</v>
      </c>
      <c r="O41" s="3">
        <f t="shared" si="9"/>
        <v>0</v>
      </c>
      <c r="P41" s="18">
        <f t="shared" si="10"/>
        <v>0</v>
      </c>
      <c r="Q41" s="3" t="s">
        <v>501</v>
      </c>
      <c r="R41" s="3">
        <f t="shared" si="11"/>
        <v>0</v>
      </c>
      <c r="S41" s="3">
        <v>0</v>
      </c>
      <c r="T41" t="s">
        <v>481</v>
      </c>
    </row>
    <row r="42" spans="1:20" ht="15" customHeight="1" x14ac:dyDescent="0.25">
      <c r="A42" t="s">
        <v>152</v>
      </c>
      <c r="B42" t="s">
        <v>133</v>
      </c>
      <c r="C42" t="s">
        <v>146</v>
      </c>
      <c r="D42" s="2">
        <v>2.3519999999999999E-2</v>
      </c>
      <c r="E42" s="3">
        <v>0</v>
      </c>
      <c r="F42" s="3">
        <f t="shared" si="0"/>
        <v>0</v>
      </c>
      <c r="G42" s="3">
        <f t="shared" si="1"/>
        <v>0</v>
      </c>
      <c r="H42" s="3">
        <f t="shared" si="2"/>
        <v>0</v>
      </c>
      <c r="I42" s="3">
        <f t="shared" si="3"/>
        <v>0</v>
      </c>
      <c r="J42" s="3">
        <f t="shared" si="4"/>
        <v>0</v>
      </c>
      <c r="K42" s="3">
        <f t="shared" si="5"/>
        <v>0</v>
      </c>
      <c r="L42" s="3">
        <f t="shared" si="6"/>
        <v>0</v>
      </c>
      <c r="M42" s="3">
        <f t="shared" si="7"/>
        <v>0</v>
      </c>
      <c r="N42" s="3">
        <f t="shared" si="8"/>
        <v>0</v>
      </c>
      <c r="O42" s="3">
        <f t="shared" si="9"/>
        <v>0</v>
      </c>
      <c r="P42" s="18">
        <f t="shared" si="10"/>
        <v>0</v>
      </c>
      <c r="Q42" s="3" t="s">
        <v>501</v>
      </c>
      <c r="R42" s="3">
        <f t="shared" si="11"/>
        <v>0</v>
      </c>
      <c r="S42" s="3">
        <v>0</v>
      </c>
      <c r="T42" t="s">
        <v>481</v>
      </c>
    </row>
    <row r="43" spans="1:20" ht="15" customHeight="1" x14ac:dyDescent="0.25">
      <c r="A43" t="s">
        <v>165</v>
      </c>
      <c r="B43" t="s">
        <v>264</v>
      </c>
      <c r="C43" t="s">
        <v>123</v>
      </c>
      <c r="D43" s="2">
        <v>104.6</v>
      </c>
      <c r="E43" s="3">
        <v>352.75080000000003</v>
      </c>
      <c r="F43" s="3">
        <f t="shared" si="0"/>
        <v>36897.733679999998</v>
      </c>
      <c r="G43" s="3">
        <f t="shared" si="1"/>
        <v>30244.043999999998</v>
      </c>
      <c r="H43" s="3">
        <f t="shared" si="2"/>
        <v>6653.6896799999995</v>
      </c>
      <c r="I43" s="3">
        <f t="shared" si="3"/>
        <v>3931.7257200000022</v>
      </c>
      <c r="J43" s="3">
        <f t="shared" si="4"/>
        <v>10585.415399999998</v>
      </c>
      <c r="K43" s="3">
        <f t="shared" si="5"/>
        <v>6653.6896799999995</v>
      </c>
      <c r="L43" s="3">
        <f t="shared" si="6"/>
        <v>2419.5235199999997</v>
      </c>
      <c r="M43" s="3">
        <f t="shared" si="7"/>
        <v>3629.2852799999996</v>
      </c>
      <c r="N43" s="3">
        <f t="shared" si="8"/>
        <v>3024.4043999999999</v>
      </c>
      <c r="O43" s="3">
        <f t="shared" si="9"/>
        <v>0</v>
      </c>
      <c r="P43" s="18">
        <f t="shared" si="10"/>
        <v>1.6764185590524519E-3</v>
      </c>
      <c r="Q43" s="3" t="s">
        <v>501</v>
      </c>
      <c r="R43" s="3">
        <f t="shared" si="11"/>
        <v>36897.733679999998</v>
      </c>
      <c r="S43" s="3">
        <v>0</v>
      </c>
      <c r="T43" t="s">
        <v>481</v>
      </c>
    </row>
    <row r="44" spans="1:20" ht="15" customHeight="1" x14ac:dyDescent="0.25">
      <c r="A44" t="s">
        <v>165</v>
      </c>
      <c r="B44" t="s">
        <v>166</v>
      </c>
      <c r="C44" t="s">
        <v>145</v>
      </c>
      <c r="D44" s="2">
        <v>31.38</v>
      </c>
      <c r="E44" s="3">
        <v>0</v>
      </c>
      <c r="F44" s="3">
        <f t="shared" si="0"/>
        <v>0</v>
      </c>
      <c r="G44" s="3">
        <f t="shared" si="1"/>
        <v>0</v>
      </c>
      <c r="H44" s="3">
        <f t="shared" si="2"/>
        <v>0</v>
      </c>
      <c r="I44" s="3">
        <f t="shared" si="3"/>
        <v>0</v>
      </c>
      <c r="J44" s="3">
        <f t="shared" si="4"/>
        <v>0</v>
      </c>
      <c r="K44" s="3">
        <f t="shared" si="5"/>
        <v>0</v>
      </c>
      <c r="L44" s="3">
        <f t="shared" si="6"/>
        <v>0</v>
      </c>
      <c r="M44" s="3">
        <f t="shared" si="7"/>
        <v>0</v>
      </c>
      <c r="N44" s="3">
        <f t="shared" si="8"/>
        <v>0</v>
      </c>
      <c r="O44" s="3">
        <f t="shared" si="9"/>
        <v>0</v>
      </c>
      <c r="P44" s="18">
        <f t="shared" si="10"/>
        <v>0</v>
      </c>
      <c r="Q44" s="3" t="s">
        <v>501</v>
      </c>
      <c r="R44" s="3">
        <f t="shared" si="11"/>
        <v>0</v>
      </c>
      <c r="S44" s="3">
        <v>0</v>
      </c>
      <c r="T44" t="s">
        <v>481</v>
      </c>
    </row>
    <row r="45" spans="1:20" ht="15" customHeight="1" x14ac:dyDescent="0.25">
      <c r="A45" t="s">
        <v>165</v>
      </c>
      <c r="B45" t="s">
        <v>168</v>
      </c>
      <c r="C45" t="s">
        <v>123</v>
      </c>
      <c r="D45" s="2">
        <v>12</v>
      </c>
      <c r="E45" s="3">
        <v>0</v>
      </c>
      <c r="F45" s="3">
        <f t="shared" si="0"/>
        <v>0</v>
      </c>
      <c r="G45" s="3">
        <f t="shared" si="1"/>
        <v>0</v>
      </c>
      <c r="H45" s="3">
        <f t="shared" si="2"/>
        <v>0</v>
      </c>
      <c r="I45" s="3">
        <f t="shared" si="3"/>
        <v>0</v>
      </c>
      <c r="J45" s="3">
        <f t="shared" si="4"/>
        <v>0</v>
      </c>
      <c r="K45" s="3">
        <f t="shared" si="5"/>
        <v>0</v>
      </c>
      <c r="L45" s="3">
        <f t="shared" si="6"/>
        <v>0</v>
      </c>
      <c r="M45" s="3">
        <f t="shared" si="7"/>
        <v>0</v>
      </c>
      <c r="N45" s="3">
        <f t="shared" si="8"/>
        <v>0</v>
      </c>
      <c r="O45" s="3">
        <f t="shared" si="9"/>
        <v>0</v>
      </c>
      <c r="P45" s="18">
        <f t="shared" si="10"/>
        <v>0</v>
      </c>
      <c r="Q45" s="3" t="s">
        <v>501</v>
      </c>
      <c r="R45" s="3">
        <f t="shared" si="11"/>
        <v>0</v>
      </c>
      <c r="S45" s="3">
        <v>0</v>
      </c>
      <c r="T45" t="s">
        <v>481</v>
      </c>
    </row>
    <row r="46" spans="1:20" ht="15" customHeight="1" x14ac:dyDescent="0.25">
      <c r="A46" t="s">
        <v>165</v>
      </c>
      <c r="B46" t="s">
        <v>161</v>
      </c>
      <c r="C46" t="s">
        <v>132</v>
      </c>
      <c r="D46" s="2">
        <v>4.2</v>
      </c>
      <c r="E46" s="3">
        <v>0</v>
      </c>
      <c r="F46" s="3">
        <f t="shared" si="0"/>
        <v>0</v>
      </c>
      <c r="G46" s="3">
        <f t="shared" si="1"/>
        <v>0</v>
      </c>
      <c r="H46" s="3">
        <f t="shared" si="2"/>
        <v>0</v>
      </c>
      <c r="I46" s="3">
        <f t="shared" si="3"/>
        <v>0</v>
      </c>
      <c r="J46" s="3">
        <f t="shared" si="4"/>
        <v>0</v>
      </c>
      <c r="K46" s="3">
        <f t="shared" si="5"/>
        <v>0</v>
      </c>
      <c r="L46" s="3">
        <f t="shared" si="6"/>
        <v>0</v>
      </c>
      <c r="M46" s="3">
        <f t="shared" si="7"/>
        <v>0</v>
      </c>
      <c r="N46" s="3">
        <f t="shared" si="8"/>
        <v>0</v>
      </c>
      <c r="O46" s="3">
        <f t="shared" si="9"/>
        <v>0</v>
      </c>
      <c r="P46" s="18">
        <f t="shared" si="10"/>
        <v>0</v>
      </c>
      <c r="Q46" s="3" t="s">
        <v>501</v>
      </c>
      <c r="R46" s="3">
        <f t="shared" si="11"/>
        <v>0</v>
      </c>
      <c r="S46" s="3">
        <v>0</v>
      </c>
      <c r="T46" t="s">
        <v>481</v>
      </c>
    </row>
    <row r="47" spans="1:20" ht="15" customHeight="1" x14ac:dyDescent="0.25">
      <c r="A47" t="s">
        <v>165</v>
      </c>
      <c r="B47" t="s">
        <v>163</v>
      </c>
      <c r="C47" t="s">
        <v>132</v>
      </c>
      <c r="D47" s="2">
        <v>0.18</v>
      </c>
      <c r="E47" s="3">
        <v>0</v>
      </c>
      <c r="F47" s="3">
        <f t="shared" si="0"/>
        <v>0</v>
      </c>
      <c r="G47" s="3">
        <f t="shared" si="1"/>
        <v>0</v>
      </c>
      <c r="H47" s="3">
        <f t="shared" si="2"/>
        <v>0</v>
      </c>
      <c r="I47" s="3">
        <f t="shared" si="3"/>
        <v>0</v>
      </c>
      <c r="J47" s="3">
        <f t="shared" si="4"/>
        <v>0</v>
      </c>
      <c r="K47" s="3">
        <f t="shared" si="5"/>
        <v>0</v>
      </c>
      <c r="L47" s="3">
        <f t="shared" si="6"/>
        <v>0</v>
      </c>
      <c r="M47" s="3">
        <f t="shared" si="7"/>
        <v>0</v>
      </c>
      <c r="N47" s="3">
        <f t="shared" si="8"/>
        <v>0</v>
      </c>
      <c r="O47" s="3">
        <f t="shared" si="9"/>
        <v>0</v>
      </c>
      <c r="P47" s="18">
        <f t="shared" si="10"/>
        <v>0</v>
      </c>
      <c r="Q47" s="3" t="s">
        <v>501</v>
      </c>
      <c r="R47" s="3">
        <f t="shared" si="11"/>
        <v>0</v>
      </c>
      <c r="S47" s="3">
        <v>0</v>
      </c>
      <c r="T47" t="s">
        <v>481</v>
      </c>
    </row>
    <row r="48" spans="1:20" ht="15" customHeight="1" x14ac:dyDescent="0.25">
      <c r="A48" t="s">
        <v>165</v>
      </c>
      <c r="B48" t="s">
        <v>133</v>
      </c>
      <c r="C48" t="s">
        <v>146</v>
      </c>
      <c r="D48" s="2">
        <v>2.3519999999999999E-2</v>
      </c>
      <c r="E48" s="3">
        <v>0</v>
      </c>
      <c r="F48" s="3">
        <f t="shared" si="0"/>
        <v>0</v>
      </c>
      <c r="G48" s="3">
        <f t="shared" si="1"/>
        <v>0</v>
      </c>
      <c r="H48" s="3">
        <f t="shared" si="2"/>
        <v>0</v>
      </c>
      <c r="I48" s="3">
        <f t="shared" si="3"/>
        <v>0</v>
      </c>
      <c r="J48" s="3">
        <f t="shared" si="4"/>
        <v>0</v>
      </c>
      <c r="K48" s="3">
        <f t="shared" si="5"/>
        <v>0</v>
      </c>
      <c r="L48" s="3">
        <f t="shared" si="6"/>
        <v>0</v>
      </c>
      <c r="M48" s="3">
        <f t="shared" si="7"/>
        <v>0</v>
      </c>
      <c r="N48" s="3">
        <f t="shared" si="8"/>
        <v>0</v>
      </c>
      <c r="O48" s="3">
        <f t="shared" si="9"/>
        <v>0</v>
      </c>
      <c r="P48" s="18">
        <f t="shared" si="10"/>
        <v>0</v>
      </c>
      <c r="Q48" s="3" t="s">
        <v>501</v>
      </c>
      <c r="R48" s="3">
        <f t="shared" si="11"/>
        <v>0</v>
      </c>
      <c r="S48" s="3">
        <v>0</v>
      </c>
      <c r="T48" t="s">
        <v>481</v>
      </c>
    </row>
    <row r="49" spans="1:20" ht="15" customHeight="1" x14ac:dyDescent="0.25">
      <c r="A49" s="13" t="s">
        <v>54</v>
      </c>
      <c r="B49" s="13"/>
      <c r="C49" s="13"/>
      <c r="D49" s="14">
        <f>SUM(D9:D48)</f>
        <v>68668.088199999998</v>
      </c>
      <c r="E49" s="13"/>
      <c r="F49" s="10">
        <f t="shared" ref="F49:O49" si="12">SUM(F9:F48)</f>
        <v>22009857.550643794</v>
      </c>
      <c r="G49" s="10">
        <f t="shared" si="12"/>
        <v>18040866.844789997</v>
      </c>
      <c r="H49" s="10">
        <f t="shared" si="12"/>
        <v>3968990.7058537984</v>
      </c>
      <c r="I49" s="10">
        <f t="shared" si="12"/>
        <v>2345312.6898227013</v>
      </c>
      <c r="J49" s="10">
        <f t="shared" si="12"/>
        <v>6314303.3956765002</v>
      </c>
      <c r="K49" s="10">
        <f t="shared" si="12"/>
        <v>3968990.7058537994</v>
      </c>
      <c r="L49" s="10">
        <f t="shared" si="12"/>
        <v>1443269.3475832001</v>
      </c>
      <c r="M49" s="10">
        <f t="shared" si="12"/>
        <v>2164904.0213747998</v>
      </c>
      <c r="N49" s="10">
        <f t="shared" si="12"/>
        <v>1804086.6844789998</v>
      </c>
      <c r="O49" s="10">
        <f t="shared" si="12"/>
        <v>0</v>
      </c>
      <c r="P49" s="19">
        <f>1</f>
        <v>1</v>
      </c>
      <c r="Q49" s="10">
        <f>SUM(Q9:Q48)</f>
        <v>0</v>
      </c>
      <c r="R49" s="10">
        <f>SUM(R9:R48)</f>
        <v>22009857.550643794</v>
      </c>
      <c r="S49" s="10">
        <f>SUM(S9:S48)</f>
        <v>0</v>
      </c>
      <c r="T49" s="13" t="s">
        <v>54</v>
      </c>
    </row>
    <row r="51" spans="1:20" ht="15" customHeight="1" x14ac:dyDescent="0.25">
      <c r="A51" s="1" t="s">
        <v>488</v>
      </c>
      <c r="B51" s="3">
        <f>R49</f>
        <v>22009857.550643794</v>
      </c>
    </row>
    <row r="52" spans="1:20" ht="15" customHeight="1" x14ac:dyDescent="0.25">
      <c r="A52" s="1" t="s">
        <v>61</v>
      </c>
      <c r="B52" s="3">
        <f>S49</f>
        <v>0</v>
      </c>
    </row>
    <row r="53" spans="1:20" ht="15" customHeight="1" x14ac:dyDescent="0.25">
      <c r="A53" s="1" t="s">
        <v>489</v>
      </c>
      <c r="B53" s="3">
        <f>B51+B52</f>
        <v>22009857.550643794</v>
      </c>
    </row>
  </sheetData>
  <mergeCells count="1">
    <mergeCell ref="A1:Q1"/>
  </mergeCells>
  <pageMargins left="0.75" right="0.75" top="1" bottom="1" header="0.511811023622047" footer="0.511811023622047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T58"/>
  <sheetViews>
    <sheetView showGridLines="0" zoomScaleNormal="100" workbookViewId="0">
      <pane ySplit="7" topLeftCell="A8" activePane="bottomLeft" state="frozen"/>
      <selection pane="bottomLeft"/>
    </sheetView>
  </sheetViews>
  <sheetFormatPr defaultColWidth="8.7109375" defaultRowHeight="15" x14ac:dyDescent="0.25"/>
  <cols>
    <col min="1" max="1" width="24" customWidth="1"/>
    <col min="2" max="2" width="68" customWidth="1"/>
    <col min="3" max="3" width="10" customWidth="1"/>
    <col min="4" max="4" width="14" customWidth="1"/>
    <col min="5" max="5" width="18" customWidth="1"/>
    <col min="6" max="7" width="20" customWidth="1"/>
    <col min="8" max="14" width="18" customWidth="1"/>
    <col min="15" max="15" width="22" customWidth="1"/>
    <col min="16" max="16" width="14" customWidth="1"/>
    <col min="17" max="17" width="36" customWidth="1"/>
    <col min="18" max="19" width="24" customWidth="1"/>
    <col min="20" max="20" width="28" customWidth="1"/>
  </cols>
  <sheetData>
    <row r="1" spans="1:20" ht="17.25" customHeight="1" x14ac:dyDescent="0.25">
      <c r="A1" s="31" t="s">
        <v>502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20" ht="15" customHeight="1" x14ac:dyDescent="0.25">
      <c r="A2" s="1" t="s">
        <v>47</v>
      </c>
      <c r="B2" t="s">
        <v>52</v>
      </c>
    </row>
    <row r="3" spans="1:20" ht="15" customHeight="1" x14ac:dyDescent="0.25">
      <c r="A3" s="1" t="s">
        <v>55</v>
      </c>
      <c r="B3" t="s">
        <v>73</v>
      </c>
    </row>
    <row r="4" spans="1:20" ht="15" customHeight="1" x14ac:dyDescent="0.25">
      <c r="A4" s="1" t="s">
        <v>57</v>
      </c>
      <c r="B4" s="2">
        <v>4500</v>
      </c>
    </row>
    <row r="5" spans="1:20" ht="15" customHeight="1" x14ac:dyDescent="0.25">
      <c r="A5" s="1" t="s">
        <v>467</v>
      </c>
      <c r="B5" s="3">
        <v>123134438.604518</v>
      </c>
    </row>
    <row r="6" spans="1:20" ht="15" customHeight="1" x14ac:dyDescent="0.25">
      <c r="A6" s="1" t="s">
        <v>468</v>
      </c>
      <c r="B6" t="s">
        <v>503</v>
      </c>
    </row>
    <row r="8" spans="1:20" ht="41.25" customHeight="1" x14ac:dyDescent="0.25">
      <c r="A8" s="12" t="s">
        <v>470</v>
      </c>
      <c r="B8" s="12" t="s">
        <v>180</v>
      </c>
      <c r="C8" s="12" t="s">
        <v>139</v>
      </c>
      <c r="D8" s="12" t="s">
        <v>140</v>
      </c>
      <c r="E8" s="12" t="s">
        <v>471</v>
      </c>
      <c r="F8" s="12" t="s">
        <v>472</v>
      </c>
      <c r="G8" s="12" t="s">
        <v>473</v>
      </c>
      <c r="H8" s="12" t="s">
        <v>181</v>
      </c>
      <c r="I8" s="12" t="s">
        <v>452</v>
      </c>
      <c r="J8" s="12" t="s">
        <v>454</v>
      </c>
      <c r="K8" s="12" t="s">
        <v>456</v>
      </c>
      <c r="L8" s="12" t="s">
        <v>457</v>
      </c>
      <c r="M8" s="12" t="s">
        <v>458</v>
      </c>
      <c r="N8" s="12" t="s">
        <v>459</v>
      </c>
      <c r="O8" s="12" t="s">
        <v>474</v>
      </c>
      <c r="P8" s="12" t="s">
        <v>475</v>
      </c>
      <c r="Q8" s="12" t="s">
        <v>476</v>
      </c>
      <c r="R8" s="12" t="s">
        <v>477</v>
      </c>
      <c r="S8" s="12" t="s">
        <v>61</v>
      </c>
      <c r="T8" s="12" t="s">
        <v>478</v>
      </c>
    </row>
    <row r="9" spans="1:20" ht="15" customHeight="1" x14ac:dyDescent="0.25">
      <c r="A9" t="s">
        <v>184</v>
      </c>
      <c r="B9" t="s">
        <v>185</v>
      </c>
      <c r="C9" t="s">
        <v>146</v>
      </c>
      <c r="D9" s="2">
        <v>1854.27521995387</v>
      </c>
      <c r="E9" s="3">
        <v>9051.9950220840401</v>
      </c>
      <c r="F9" s="3">
        <f t="shared" ref="F9:F53" si="0">D9*E9</f>
        <v>16784890.06059622</v>
      </c>
      <c r="G9" s="3">
        <f t="shared" ref="G9:G53" si="1">F9/1.22</f>
        <v>13758106.607046083</v>
      </c>
      <c r="H9" s="3">
        <f t="shared" ref="H9:H53" si="2">F9-G9</f>
        <v>3026783.4535501376</v>
      </c>
      <c r="I9" s="3">
        <f t="shared" ref="I9:I53" si="3">G9-SUM(J9:N9)</f>
        <v>1788553.8589159902</v>
      </c>
      <c r="J9" s="3">
        <f t="shared" ref="J9:J53" si="4">G9*0.35</f>
        <v>4815337.3124661287</v>
      </c>
      <c r="K9" s="3">
        <f t="shared" ref="K9:K53" si="5">G9*0.22</f>
        <v>3026783.453550138</v>
      </c>
      <c r="L9" s="3">
        <f t="shared" ref="L9:L53" si="6">G9*0.08</f>
        <v>1100648.5285636866</v>
      </c>
      <c r="M9" s="3">
        <f t="shared" ref="M9:M53" si="7">G9*0.12</f>
        <v>1650972.7928455297</v>
      </c>
      <c r="N9" s="3">
        <f t="shared" ref="N9:N53" si="8">G9*0.1</f>
        <v>1375810.6607046083</v>
      </c>
      <c r="O9" s="3">
        <f t="shared" ref="O9:O53" si="9">G9-SUM(I9:N9)</f>
        <v>0</v>
      </c>
      <c r="P9" s="18">
        <f t="shared" ref="P9:P53" si="10">IF($F$54=0,0,F9/$F$54)</f>
        <v>0.13631353056723469</v>
      </c>
      <c r="Q9" s="3" t="s">
        <v>504</v>
      </c>
      <c r="R9" s="3">
        <f t="shared" ref="R9:R53" si="11">F9</f>
        <v>16784890.06059622</v>
      </c>
      <c r="S9" s="3">
        <v>0</v>
      </c>
      <c r="T9" t="s">
        <v>481</v>
      </c>
    </row>
    <row r="10" spans="1:20" ht="15" customHeight="1" x14ac:dyDescent="0.25">
      <c r="A10" t="s">
        <v>189</v>
      </c>
      <c r="B10" t="s">
        <v>194</v>
      </c>
      <c r="C10" t="s">
        <v>112</v>
      </c>
      <c r="D10" s="2">
        <v>568.00632100452697</v>
      </c>
      <c r="E10" s="3">
        <v>118.896960122563</v>
      </c>
      <c r="F10" s="3">
        <f t="shared" si="0"/>
        <v>67534.224897838969</v>
      </c>
      <c r="G10" s="3">
        <f t="shared" si="1"/>
        <v>55355.922047408989</v>
      </c>
      <c r="H10" s="3">
        <f t="shared" si="2"/>
        <v>12178.30285042998</v>
      </c>
      <c r="I10" s="3">
        <f t="shared" si="3"/>
        <v>7196.269866163173</v>
      </c>
      <c r="J10" s="3">
        <f t="shared" si="4"/>
        <v>19374.572716593146</v>
      </c>
      <c r="K10" s="3">
        <f t="shared" si="5"/>
        <v>12178.302850429978</v>
      </c>
      <c r="L10" s="3">
        <f t="shared" si="6"/>
        <v>4428.4737637927192</v>
      </c>
      <c r="M10" s="3">
        <f t="shared" si="7"/>
        <v>6642.7106456890788</v>
      </c>
      <c r="N10" s="3">
        <f t="shared" si="8"/>
        <v>5535.5922047408994</v>
      </c>
      <c r="O10" s="3">
        <f t="shared" si="9"/>
        <v>0</v>
      </c>
      <c r="P10" s="18">
        <f t="shared" si="10"/>
        <v>5.4845927478294559E-4</v>
      </c>
      <c r="Q10" s="3" t="s">
        <v>504</v>
      </c>
      <c r="R10" s="3">
        <f t="shared" si="11"/>
        <v>67534.224897838969</v>
      </c>
      <c r="S10" s="3">
        <v>0</v>
      </c>
      <c r="T10" t="s">
        <v>481</v>
      </c>
    </row>
    <row r="11" spans="1:20" ht="15" customHeight="1" x14ac:dyDescent="0.25">
      <c r="A11" t="s">
        <v>189</v>
      </c>
      <c r="B11" t="s">
        <v>200</v>
      </c>
      <c r="C11" t="s">
        <v>112</v>
      </c>
      <c r="D11" s="2">
        <v>18.488938242077399</v>
      </c>
      <c r="E11" s="3">
        <v>118.896960122563</v>
      </c>
      <c r="F11" s="3">
        <f t="shared" si="0"/>
        <v>2198.2785528768068</v>
      </c>
      <c r="G11" s="3">
        <f t="shared" si="1"/>
        <v>1801.8676662924647</v>
      </c>
      <c r="H11" s="3">
        <f t="shared" si="2"/>
        <v>396.41088658434205</v>
      </c>
      <c r="I11" s="3">
        <f t="shared" si="3"/>
        <v>234.24279661802052</v>
      </c>
      <c r="J11" s="3">
        <f t="shared" si="4"/>
        <v>630.65368320236257</v>
      </c>
      <c r="K11" s="3">
        <f t="shared" si="5"/>
        <v>396.41088658434222</v>
      </c>
      <c r="L11" s="3">
        <f t="shared" si="6"/>
        <v>144.14941330339718</v>
      </c>
      <c r="M11" s="3">
        <f t="shared" si="7"/>
        <v>216.22411995509574</v>
      </c>
      <c r="N11" s="3">
        <f t="shared" si="8"/>
        <v>180.18676662924648</v>
      </c>
      <c r="O11" s="3">
        <f t="shared" si="9"/>
        <v>0</v>
      </c>
      <c r="P11" s="18">
        <f t="shared" si="10"/>
        <v>1.7852670445326997E-5</v>
      </c>
      <c r="Q11" s="3" t="s">
        <v>504</v>
      </c>
      <c r="R11" s="3">
        <f t="shared" si="11"/>
        <v>2198.2785528768068</v>
      </c>
      <c r="S11" s="3">
        <v>0</v>
      </c>
      <c r="T11" t="s">
        <v>481</v>
      </c>
    </row>
    <row r="12" spans="1:20" ht="15" customHeight="1" x14ac:dyDescent="0.25">
      <c r="A12" t="s">
        <v>189</v>
      </c>
      <c r="B12" t="s">
        <v>201</v>
      </c>
      <c r="C12" t="s">
        <v>112</v>
      </c>
      <c r="D12" s="2">
        <v>15.9135559921415</v>
      </c>
      <c r="E12" s="3">
        <v>118.896960122563</v>
      </c>
      <c r="F12" s="3">
        <f t="shared" si="0"/>
        <v>1892.0734322058215</v>
      </c>
      <c r="G12" s="3">
        <f t="shared" si="1"/>
        <v>1550.8798624637882</v>
      </c>
      <c r="H12" s="3">
        <f t="shared" si="2"/>
        <v>341.19356974203333</v>
      </c>
      <c r="I12" s="3">
        <f t="shared" si="3"/>
        <v>201.61438212029248</v>
      </c>
      <c r="J12" s="3">
        <f t="shared" si="4"/>
        <v>542.80795186232581</v>
      </c>
      <c r="K12" s="3">
        <f t="shared" si="5"/>
        <v>341.19356974203339</v>
      </c>
      <c r="L12" s="3">
        <f t="shared" si="6"/>
        <v>124.07038899710305</v>
      </c>
      <c r="M12" s="3">
        <f t="shared" si="7"/>
        <v>186.10558349565457</v>
      </c>
      <c r="N12" s="3">
        <f t="shared" si="8"/>
        <v>155.08798624637882</v>
      </c>
      <c r="O12" s="3">
        <f t="shared" si="9"/>
        <v>0</v>
      </c>
      <c r="P12" s="18">
        <f t="shared" si="10"/>
        <v>1.536591593423159E-5</v>
      </c>
      <c r="Q12" s="3" t="s">
        <v>504</v>
      </c>
      <c r="R12" s="3">
        <f t="shared" si="11"/>
        <v>1892.0734322058215</v>
      </c>
      <c r="S12" s="3">
        <v>0</v>
      </c>
      <c r="T12" t="s">
        <v>481</v>
      </c>
    </row>
    <row r="13" spans="1:20" ht="15" customHeight="1" x14ac:dyDescent="0.25">
      <c r="A13" t="s">
        <v>189</v>
      </c>
      <c r="B13" t="s">
        <v>202</v>
      </c>
      <c r="C13" t="s">
        <v>112</v>
      </c>
      <c r="D13" s="2">
        <v>4.9585717946527703</v>
      </c>
      <c r="E13" s="3">
        <v>118.896960122563</v>
      </c>
      <c r="F13" s="3">
        <f t="shared" si="0"/>
        <v>589.55911293369604</v>
      </c>
      <c r="G13" s="3">
        <f t="shared" si="1"/>
        <v>483.24517453581643</v>
      </c>
      <c r="H13" s="3">
        <f t="shared" si="2"/>
        <v>106.31393839787961</v>
      </c>
      <c r="I13" s="3">
        <f t="shared" si="3"/>
        <v>62.821872689656175</v>
      </c>
      <c r="J13" s="3">
        <f t="shared" si="4"/>
        <v>169.13581108753573</v>
      </c>
      <c r="K13" s="3">
        <f t="shared" si="5"/>
        <v>106.31393839787961</v>
      </c>
      <c r="L13" s="3">
        <f t="shared" si="6"/>
        <v>38.659613962865315</v>
      </c>
      <c r="M13" s="3">
        <f t="shared" si="7"/>
        <v>57.989420944297969</v>
      </c>
      <c r="N13" s="3">
        <f t="shared" si="8"/>
        <v>48.324517453581649</v>
      </c>
      <c r="O13" s="3">
        <f t="shared" si="9"/>
        <v>0</v>
      </c>
      <c r="P13" s="18">
        <f t="shared" si="10"/>
        <v>4.787930327333016E-6</v>
      </c>
      <c r="Q13" s="3" t="s">
        <v>504</v>
      </c>
      <c r="R13" s="3">
        <f t="shared" si="11"/>
        <v>589.55911293369604</v>
      </c>
      <c r="S13" s="3">
        <v>0</v>
      </c>
      <c r="T13" t="s">
        <v>481</v>
      </c>
    </row>
    <row r="14" spans="1:20" ht="15" customHeight="1" x14ac:dyDescent="0.25">
      <c r="A14" t="s">
        <v>189</v>
      </c>
      <c r="B14" t="s">
        <v>203</v>
      </c>
      <c r="C14" t="s">
        <v>112</v>
      </c>
      <c r="D14" s="2">
        <v>30.058939096267199</v>
      </c>
      <c r="E14" s="3">
        <v>118.896960122563</v>
      </c>
      <c r="F14" s="3">
        <f t="shared" si="0"/>
        <v>3573.9164830554309</v>
      </c>
      <c r="G14" s="3">
        <f t="shared" si="1"/>
        <v>2929.4397402093696</v>
      </c>
      <c r="H14" s="3">
        <f t="shared" si="2"/>
        <v>644.47674284606137</v>
      </c>
      <c r="I14" s="3">
        <f t="shared" si="3"/>
        <v>380.82716622721819</v>
      </c>
      <c r="J14" s="3">
        <f t="shared" si="4"/>
        <v>1025.3039090732793</v>
      </c>
      <c r="K14" s="3">
        <f t="shared" si="5"/>
        <v>644.47674284606126</v>
      </c>
      <c r="L14" s="3">
        <f t="shared" si="6"/>
        <v>234.35517921674958</v>
      </c>
      <c r="M14" s="3">
        <f t="shared" si="7"/>
        <v>351.53276882512432</v>
      </c>
      <c r="N14" s="3">
        <f t="shared" si="8"/>
        <v>292.94397402093699</v>
      </c>
      <c r="O14" s="3">
        <f t="shared" si="9"/>
        <v>0</v>
      </c>
      <c r="P14" s="18">
        <f t="shared" si="10"/>
        <v>2.90245078757707E-5</v>
      </c>
      <c r="Q14" s="3" t="s">
        <v>504</v>
      </c>
      <c r="R14" s="3">
        <f t="shared" si="11"/>
        <v>3573.9164830554309</v>
      </c>
      <c r="S14" s="3">
        <v>0</v>
      </c>
      <c r="T14" t="s">
        <v>481</v>
      </c>
    </row>
    <row r="15" spans="1:20" ht="15" customHeight="1" x14ac:dyDescent="0.25">
      <c r="A15" t="s">
        <v>189</v>
      </c>
      <c r="B15" t="s">
        <v>204</v>
      </c>
      <c r="C15" t="s">
        <v>112</v>
      </c>
      <c r="D15" s="2">
        <v>24.754420432220002</v>
      </c>
      <c r="E15" s="3">
        <v>118.896960122563</v>
      </c>
      <c r="F15" s="3">
        <f t="shared" si="0"/>
        <v>2943.2253389868201</v>
      </c>
      <c r="G15" s="3">
        <f t="shared" si="1"/>
        <v>2412.4797860547706</v>
      </c>
      <c r="H15" s="3">
        <f t="shared" si="2"/>
        <v>530.74555293204958</v>
      </c>
      <c r="I15" s="3">
        <f t="shared" si="3"/>
        <v>313.62237218712016</v>
      </c>
      <c r="J15" s="3">
        <f t="shared" si="4"/>
        <v>844.36792511916963</v>
      </c>
      <c r="K15" s="3">
        <f t="shared" si="5"/>
        <v>530.74555293204958</v>
      </c>
      <c r="L15" s="3">
        <f t="shared" si="6"/>
        <v>192.99838288438164</v>
      </c>
      <c r="M15" s="3">
        <f t="shared" si="7"/>
        <v>289.49757432657248</v>
      </c>
      <c r="N15" s="3">
        <f t="shared" si="8"/>
        <v>241.24797860547707</v>
      </c>
      <c r="O15" s="3">
        <f t="shared" si="9"/>
        <v>0</v>
      </c>
      <c r="P15" s="18">
        <f t="shared" si="10"/>
        <v>2.3902535897693476E-5</v>
      </c>
      <c r="Q15" s="3" t="s">
        <v>504</v>
      </c>
      <c r="R15" s="3">
        <f t="shared" si="11"/>
        <v>2943.2253389868201</v>
      </c>
      <c r="S15" s="3">
        <v>0</v>
      </c>
      <c r="T15" t="s">
        <v>481</v>
      </c>
    </row>
    <row r="16" spans="1:20" ht="15" customHeight="1" x14ac:dyDescent="0.25">
      <c r="A16" t="s">
        <v>189</v>
      </c>
      <c r="B16" t="s">
        <v>205</v>
      </c>
      <c r="C16" t="s">
        <v>112</v>
      </c>
      <c r="D16" s="2">
        <v>13.030665413855001</v>
      </c>
      <c r="E16" s="3">
        <v>118.896960122563</v>
      </c>
      <c r="F16" s="3">
        <f t="shared" si="0"/>
        <v>1549.3065060815788</v>
      </c>
      <c r="G16" s="3">
        <f t="shared" si="1"/>
        <v>1269.9233656406384</v>
      </c>
      <c r="H16" s="3">
        <f t="shared" si="2"/>
        <v>279.38314044094045</v>
      </c>
      <c r="I16" s="3">
        <f t="shared" si="3"/>
        <v>165.09003753328307</v>
      </c>
      <c r="J16" s="3">
        <f t="shared" si="4"/>
        <v>444.4731779742234</v>
      </c>
      <c r="K16" s="3">
        <f t="shared" si="5"/>
        <v>279.38314044094045</v>
      </c>
      <c r="L16" s="3">
        <f t="shared" si="6"/>
        <v>101.59386925125108</v>
      </c>
      <c r="M16" s="3">
        <f t="shared" si="7"/>
        <v>152.39080387687659</v>
      </c>
      <c r="N16" s="3">
        <f t="shared" si="8"/>
        <v>126.99233656406385</v>
      </c>
      <c r="O16" s="3">
        <f t="shared" si="9"/>
        <v>0</v>
      </c>
      <c r="P16" s="18">
        <f t="shared" si="10"/>
        <v>1.2582235511363552E-5</v>
      </c>
      <c r="Q16" s="3" t="s">
        <v>504</v>
      </c>
      <c r="R16" s="3">
        <f t="shared" si="11"/>
        <v>1549.3065060815788</v>
      </c>
      <c r="S16" s="3">
        <v>0</v>
      </c>
      <c r="T16" t="s">
        <v>481</v>
      </c>
    </row>
    <row r="17" spans="1:20" ht="15" customHeight="1" x14ac:dyDescent="0.25">
      <c r="A17" t="s">
        <v>206</v>
      </c>
      <c r="B17" t="s">
        <v>209</v>
      </c>
      <c r="C17" t="s">
        <v>112</v>
      </c>
      <c r="D17" s="2">
        <v>63.308277099171399</v>
      </c>
      <c r="E17" s="3">
        <v>118.896960122563</v>
      </c>
      <c r="F17" s="3">
        <f t="shared" si="0"/>
        <v>7527.1616976883506</v>
      </c>
      <c r="G17" s="3">
        <f t="shared" si="1"/>
        <v>6169.8046702363526</v>
      </c>
      <c r="H17" s="3">
        <f t="shared" si="2"/>
        <v>1357.357027451998</v>
      </c>
      <c r="I17" s="3">
        <f t="shared" si="3"/>
        <v>802.07460713072578</v>
      </c>
      <c r="J17" s="3">
        <f t="shared" si="4"/>
        <v>2159.4316345827233</v>
      </c>
      <c r="K17" s="3">
        <f t="shared" si="5"/>
        <v>1357.3570274519975</v>
      </c>
      <c r="L17" s="3">
        <f t="shared" si="6"/>
        <v>493.58437361890822</v>
      </c>
      <c r="M17" s="3">
        <f t="shared" si="7"/>
        <v>740.37656042836227</v>
      </c>
      <c r="N17" s="3">
        <f t="shared" si="8"/>
        <v>616.98046702363536</v>
      </c>
      <c r="O17" s="3">
        <f t="shared" si="9"/>
        <v>0</v>
      </c>
      <c r="P17" s="18">
        <f t="shared" si="10"/>
        <v>6.1129622086181982E-5</v>
      </c>
      <c r="Q17" s="3" t="s">
        <v>504</v>
      </c>
      <c r="R17" s="3">
        <f t="shared" si="11"/>
        <v>7527.1616976883506</v>
      </c>
      <c r="S17" s="3">
        <v>0</v>
      </c>
      <c r="T17" t="s">
        <v>481</v>
      </c>
    </row>
    <row r="18" spans="1:20" ht="15" customHeight="1" x14ac:dyDescent="0.25">
      <c r="A18" t="s">
        <v>206</v>
      </c>
      <c r="B18" t="s">
        <v>213</v>
      </c>
      <c r="C18" t="s">
        <v>112</v>
      </c>
      <c r="D18" s="2">
        <v>18.565815324165001</v>
      </c>
      <c r="E18" s="3">
        <v>118.896960122563</v>
      </c>
      <c r="F18" s="3">
        <f t="shared" si="0"/>
        <v>2207.4190042401151</v>
      </c>
      <c r="G18" s="3">
        <f t="shared" si="1"/>
        <v>1809.3598395410779</v>
      </c>
      <c r="H18" s="3">
        <f t="shared" si="2"/>
        <v>398.05916469903718</v>
      </c>
      <c r="I18" s="3">
        <f t="shared" si="3"/>
        <v>235.21677914034035</v>
      </c>
      <c r="J18" s="3">
        <f t="shared" si="4"/>
        <v>633.27594383937719</v>
      </c>
      <c r="K18" s="3">
        <f t="shared" si="5"/>
        <v>398.05916469903713</v>
      </c>
      <c r="L18" s="3">
        <f t="shared" si="6"/>
        <v>144.74878716328624</v>
      </c>
      <c r="M18" s="3">
        <f t="shared" si="7"/>
        <v>217.12318074492933</v>
      </c>
      <c r="N18" s="3">
        <f t="shared" si="8"/>
        <v>180.9359839541078</v>
      </c>
      <c r="O18" s="3">
        <f t="shared" si="9"/>
        <v>0</v>
      </c>
      <c r="P18" s="18">
        <f t="shared" si="10"/>
        <v>1.7926901923270106E-5</v>
      </c>
      <c r="Q18" s="3" t="s">
        <v>504</v>
      </c>
      <c r="R18" s="3">
        <f t="shared" si="11"/>
        <v>2207.4190042401151</v>
      </c>
      <c r="S18" s="3">
        <v>0</v>
      </c>
      <c r="T18" t="s">
        <v>481</v>
      </c>
    </row>
    <row r="19" spans="1:20" ht="15" customHeight="1" x14ac:dyDescent="0.25">
      <c r="A19" t="s">
        <v>214</v>
      </c>
      <c r="B19" t="s">
        <v>215</v>
      </c>
      <c r="C19" t="s">
        <v>146</v>
      </c>
      <c r="D19" s="2">
        <v>1.9219270521909999</v>
      </c>
      <c r="E19" s="3">
        <v>9051.9950220840401</v>
      </c>
      <c r="F19" s="3">
        <f t="shared" si="0"/>
        <v>17397.274109241585</v>
      </c>
      <c r="G19" s="3">
        <f t="shared" si="1"/>
        <v>14260.060745279989</v>
      </c>
      <c r="H19" s="3">
        <f t="shared" si="2"/>
        <v>3137.2133639615968</v>
      </c>
      <c r="I19" s="3">
        <f t="shared" si="3"/>
        <v>1853.8078968863992</v>
      </c>
      <c r="J19" s="3">
        <f t="shared" si="4"/>
        <v>4991.021260847996</v>
      </c>
      <c r="K19" s="3">
        <f t="shared" si="5"/>
        <v>3137.2133639615977</v>
      </c>
      <c r="L19" s="3">
        <f t="shared" si="6"/>
        <v>1140.8048596223991</v>
      </c>
      <c r="M19" s="3">
        <f t="shared" si="7"/>
        <v>1711.2072894335986</v>
      </c>
      <c r="N19" s="3">
        <f t="shared" si="8"/>
        <v>1426.0060745279989</v>
      </c>
      <c r="O19" s="3">
        <f t="shared" si="9"/>
        <v>0</v>
      </c>
      <c r="P19" s="18">
        <f t="shared" si="10"/>
        <v>1.4128682687317081E-4</v>
      </c>
      <c r="Q19" s="3" t="s">
        <v>504</v>
      </c>
      <c r="R19" s="3">
        <f t="shared" si="11"/>
        <v>17397.274109241585</v>
      </c>
      <c r="S19" s="3">
        <v>0</v>
      </c>
      <c r="T19" t="s">
        <v>481</v>
      </c>
    </row>
    <row r="20" spans="1:20" ht="15" customHeight="1" x14ac:dyDescent="0.25">
      <c r="A20" t="s">
        <v>214</v>
      </c>
      <c r="B20" t="s">
        <v>216</v>
      </c>
      <c r="C20" t="s">
        <v>112</v>
      </c>
      <c r="D20" s="2">
        <v>136.841206115999</v>
      </c>
      <c r="E20" s="3">
        <v>118.896960122563</v>
      </c>
      <c r="F20" s="3">
        <f t="shared" si="0"/>
        <v>16270.003426697358</v>
      </c>
      <c r="G20" s="3">
        <f t="shared" si="1"/>
        <v>13336.068382538819</v>
      </c>
      <c r="H20" s="3">
        <f t="shared" si="2"/>
        <v>2933.9350441585393</v>
      </c>
      <c r="I20" s="3">
        <f t="shared" si="3"/>
        <v>1733.6888897300469</v>
      </c>
      <c r="J20" s="3">
        <f t="shared" si="4"/>
        <v>4667.6239338885862</v>
      </c>
      <c r="K20" s="3">
        <f t="shared" si="5"/>
        <v>2933.9350441585402</v>
      </c>
      <c r="L20" s="3">
        <f t="shared" si="6"/>
        <v>1066.8854706031054</v>
      </c>
      <c r="M20" s="3">
        <f t="shared" si="7"/>
        <v>1600.3282059046583</v>
      </c>
      <c r="N20" s="3">
        <f t="shared" si="8"/>
        <v>1333.606838253882</v>
      </c>
      <c r="O20" s="3">
        <f t="shared" si="9"/>
        <v>0</v>
      </c>
      <c r="P20" s="18">
        <f t="shared" si="10"/>
        <v>1.3213203073880267E-4</v>
      </c>
      <c r="Q20" s="3" t="s">
        <v>504</v>
      </c>
      <c r="R20" s="3">
        <f t="shared" si="11"/>
        <v>16270.003426697358</v>
      </c>
      <c r="S20" s="3">
        <v>0</v>
      </c>
      <c r="T20" t="s">
        <v>481</v>
      </c>
    </row>
    <row r="21" spans="1:20" ht="15" customHeight="1" x14ac:dyDescent="0.25">
      <c r="A21" t="s">
        <v>214</v>
      </c>
      <c r="B21" t="s">
        <v>219</v>
      </c>
      <c r="C21" t="s">
        <v>146</v>
      </c>
      <c r="D21" s="2">
        <v>1.30691039548988</v>
      </c>
      <c r="E21" s="3">
        <v>9051.9950220840401</v>
      </c>
      <c r="F21" s="3">
        <f t="shared" si="0"/>
        <v>11830.146394284278</v>
      </c>
      <c r="G21" s="3">
        <f t="shared" si="1"/>
        <v>9696.841306790393</v>
      </c>
      <c r="H21" s="3">
        <f t="shared" si="2"/>
        <v>2133.3050874938854</v>
      </c>
      <c r="I21" s="3">
        <f t="shared" si="3"/>
        <v>1260.5893698827513</v>
      </c>
      <c r="J21" s="3">
        <f t="shared" si="4"/>
        <v>3393.8944573766375</v>
      </c>
      <c r="K21" s="3">
        <f t="shared" si="5"/>
        <v>2133.3050874938863</v>
      </c>
      <c r="L21" s="3">
        <f t="shared" si="6"/>
        <v>775.74730454323151</v>
      </c>
      <c r="M21" s="3">
        <f t="shared" si="7"/>
        <v>1163.6209568148472</v>
      </c>
      <c r="N21" s="3">
        <f t="shared" si="8"/>
        <v>969.6841306790393</v>
      </c>
      <c r="O21" s="3">
        <f t="shared" si="9"/>
        <v>0</v>
      </c>
      <c r="P21" s="18">
        <f t="shared" si="10"/>
        <v>9.6075042273756142E-5</v>
      </c>
      <c r="Q21" s="3" t="s">
        <v>504</v>
      </c>
      <c r="R21" s="3">
        <f t="shared" si="11"/>
        <v>11830.146394284278</v>
      </c>
      <c r="S21" s="3">
        <v>0</v>
      </c>
      <c r="T21" t="s">
        <v>481</v>
      </c>
    </row>
    <row r="22" spans="1:20" ht="15" customHeight="1" x14ac:dyDescent="0.25">
      <c r="A22" t="s">
        <v>214</v>
      </c>
      <c r="B22" t="s">
        <v>220</v>
      </c>
      <c r="C22" t="s">
        <v>112</v>
      </c>
      <c r="D22" s="2">
        <v>236.16639617323</v>
      </c>
      <c r="E22" s="3">
        <v>118.896960122563</v>
      </c>
      <c r="F22" s="3">
        <f t="shared" si="0"/>
        <v>28079.466588097941</v>
      </c>
      <c r="G22" s="3">
        <f t="shared" si="1"/>
        <v>23015.95621975241</v>
      </c>
      <c r="H22" s="3">
        <f t="shared" si="2"/>
        <v>5063.5103683455309</v>
      </c>
      <c r="I22" s="3">
        <f t="shared" si="3"/>
        <v>2992.074308567815</v>
      </c>
      <c r="J22" s="3">
        <f t="shared" si="4"/>
        <v>8055.5846769133432</v>
      </c>
      <c r="K22" s="3">
        <f t="shared" si="5"/>
        <v>5063.51036834553</v>
      </c>
      <c r="L22" s="3">
        <f t="shared" si="6"/>
        <v>1841.2764975801929</v>
      </c>
      <c r="M22" s="3">
        <f t="shared" si="7"/>
        <v>2761.9147463702893</v>
      </c>
      <c r="N22" s="3">
        <f t="shared" si="8"/>
        <v>2301.5956219752411</v>
      </c>
      <c r="O22" s="3">
        <f t="shared" si="9"/>
        <v>0</v>
      </c>
      <c r="P22" s="18">
        <f t="shared" si="10"/>
        <v>2.2803910024134959E-4</v>
      </c>
      <c r="Q22" s="3" t="s">
        <v>504</v>
      </c>
      <c r="R22" s="3">
        <f t="shared" si="11"/>
        <v>28079.466588097941</v>
      </c>
      <c r="S22" s="3">
        <v>0</v>
      </c>
      <c r="T22" t="s">
        <v>481</v>
      </c>
    </row>
    <row r="23" spans="1:20" ht="15" customHeight="1" x14ac:dyDescent="0.25">
      <c r="A23" t="s">
        <v>214</v>
      </c>
      <c r="B23" t="s">
        <v>223</v>
      </c>
      <c r="C23" t="s">
        <v>112</v>
      </c>
      <c r="D23" s="2">
        <v>16.6054497309302</v>
      </c>
      <c r="E23" s="3">
        <v>118.896960122563</v>
      </c>
      <c r="F23" s="3">
        <f t="shared" si="0"/>
        <v>1974.3374944756324</v>
      </c>
      <c r="G23" s="3">
        <f t="shared" si="1"/>
        <v>1618.3094217013381</v>
      </c>
      <c r="H23" s="3">
        <f t="shared" si="2"/>
        <v>356.02807277429429</v>
      </c>
      <c r="I23" s="3">
        <f t="shared" si="3"/>
        <v>210.38022482117412</v>
      </c>
      <c r="J23" s="3">
        <f t="shared" si="4"/>
        <v>566.4082975954683</v>
      </c>
      <c r="K23" s="3">
        <f t="shared" si="5"/>
        <v>356.0280727742944</v>
      </c>
      <c r="L23" s="3">
        <f t="shared" si="6"/>
        <v>129.46475373610704</v>
      </c>
      <c r="M23" s="3">
        <f t="shared" si="7"/>
        <v>194.19713060416058</v>
      </c>
      <c r="N23" s="3">
        <f t="shared" si="8"/>
        <v>161.83094217013382</v>
      </c>
      <c r="O23" s="3">
        <f t="shared" si="9"/>
        <v>0</v>
      </c>
      <c r="P23" s="18">
        <f t="shared" si="10"/>
        <v>1.603399923571986E-5</v>
      </c>
      <c r="Q23" s="3" t="s">
        <v>504</v>
      </c>
      <c r="R23" s="3">
        <f t="shared" si="11"/>
        <v>1974.3374944756324</v>
      </c>
      <c r="S23" s="3">
        <v>0</v>
      </c>
      <c r="T23" t="s">
        <v>481</v>
      </c>
    </row>
    <row r="24" spans="1:20" ht="15" customHeight="1" x14ac:dyDescent="0.25">
      <c r="A24" t="s">
        <v>224</v>
      </c>
      <c r="B24" t="s">
        <v>226</v>
      </c>
      <c r="C24" t="s">
        <v>112</v>
      </c>
      <c r="D24" s="2">
        <v>18.4504997010336</v>
      </c>
      <c r="E24" s="3">
        <v>118.896960122563</v>
      </c>
      <c r="F24" s="3">
        <f t="shared" si="0"/>
        <v>2193.7083271951524</v>
      </c>
      <c r="G24" s="3">
        <f t="shared" si="1"/>
        <v>1798.1215796681577</v>
      </c>
      <c r="H24" s="3">
        <f t="shared" si="2"/>
        <v>395.58674752699471</v>
      </c>
      <c r="I24" s="3">
        <f t="shared" si="3"/>
        <v>233.75580535686049</v>
      </c>
      <c r="J24" s="3">
        <f t="shared" si="4"/>
        <v>629.34255288385509</v>
      </c>
      <c r="K24" s="3">
        <f t="shared" si="5"/>
        <v>395.58674752699471</v>
      </c>
      <c r="L24" s="3">
        <f t="shared" si="6"/>
        <v>143.84972637345263</v>
      </c>
      <c r="M24" s="3">
        <f t="shared" si="7"/>
        <v>215.77458956017892</v>
      </c>
      <c r="N24" s="3">
        <f t="shared" si="8"/>
        <v>179.81215796681579</v>
      </c>
      <c r="O24" s="3">
        <f t="shared" si="9"/>
        <v>0</v>
      </c>
      <c r="P24" s="18">
        <f t="shared" si="10"/>
        <v>1.7815554706355442E-5</v>
      </c>
      <c r="Q24" s="3" t="s">
        <v>504</v>
      </c>
      <c r="R24" s="3">
        <f t="shared" si="11"/>
        <v>2193.7083271951524</v>
      </c>
      <c r="S24" s="3">
        <v>0</v>
      </c>
      <c r="T24" t="s">
        <v>481</v>
      </c>
    </row>
    <row r="25" spans="1:20" ht="15" customHeight="1" x14ac:dyDescent="0.25">
      <c r="A25" t="s">
        <v>224</v>
      </c>
      <c r="B25" t="s">
        <v>227</v>
      </c>
      <c r="C25" t="s">
        <v>112</v>
      </c>
      <c r="D25" s="2">
        <v>6.9189373878875902</v>
      </c>
      <c r="E25" s="3">
        <v>118.896960122563</v>
      </c>
      <c r="F25" s="3">
        <f t="shared" si="0"/>
        <v>822.64062269818101</v>
      </c>
      <c r="G25" s="3">
        <f t="shared" si="1"/>
        <v>674.29559237555827</v>
      </c>
      <c r="H25" s="3">
        <f t="shared" si="2"/>
        <v>148.34503032262273</v>
      </c>
      <c r="I25" s="3">
        <f t="shared" si="3"/>
        <v>87.658427008822628</v>
      </c>
      <c r="J25" s="3">
        <f t="shared" si="4"/>
        <v>236.00345733144539</v>
      </c>
      <c r="K25" s="3">
        <f t="shared" si="5"/>
        <v>148.34503032262282</v>
      </c>
      <c r="L25" s="3">
        <f t="shared" si="6"/>
        <v>53.94364739004466</v>
      </c>
      <c r="M25" s="3">
        <f t="shared" si="7"/>
        <v>80.915471085066983</v>
      </c>
      <c r="N25" s="3">
        <f t="shared" si="8"/>
        <v>67.429559237555836</v>
      </c>
      <c r="O25" s="3">
        <f t="shared" si="9"/>
        <v>0</v>
      </c>
      <c r="P25" s="18">
        <f t="shared" si="10"/>
        <v>6.6808330148832819E-6</v>
      </c>
      <c r="Q25" s="3" t="s">
        <v>504</v>
      </c>
      <c r="R25" s="3">
        <f t="shared" si="11"/>
        <v>822.64062269818101</v>
      </c>
      <c r="S25" s="3">
        <v>0</v>
      </c>
      <c r="T25" t="s">
        <v>481</v>
      </c>
    </row>
    <row r="26" spans="1:20" ht="15" customHeight="1" x14ac:dyDescent="0.25">
      <c r="A26" t="s">
        <v>224</v>
      </c>
      <c r="B26" t="s">
        <v>230</v>
      </c>
      <c r="C26" t="s">
        <v>112</v>
      </c>
      <c r="D26" s="2">
        <v>36.132228581190702</v>
      </c>
      <c r="E26" s="3">
        <v>118.896960122563</v>
      </c>
      <c r="F26" s="3">
        <f t="shared" si="0"/>
        <v>4296.0121407571623</v>
      </c>
      <c r="G26" s="3">
        <f t="shared" si="1"/>
        <v>3521.3214268501333</v>
      </c>
      <c r="H26" s="3">
        <f t="shared" si="2"/>
        <v>774.69071390702902</v>
      </c>
      <c r="I26" s="3">
        <f t="shared" si="3"/>
        <v>457.77178549051769</v>
      </c>
      <c r="J26" s="3">
        <f t="shared" si="4"/>
        <v>1232.4624993975465</v>
      </c>
      <c r="K26" s="3">
        <f t="shared" si="5"/>
        <v>774.69071390702936</v>
      </c>
      <c r="L26" s="3">
        <f t="shared" si="6"/>
        <v>281.70571414801066</v>
      </c>
      <c r="M26" s="3">
        <f t="shared" si="7"/>
        <v>422.55857122201598</v>
      </c>
      <c r="N26" s="3">
        <f t="shared" si="8"/>
        <v>352.13214268501338</v>
      </c>
      <c r="O26" s="3">
        <f t="shared" si="9"/>
        <v>0</v>
      </c>
      <c r="P26" s="18">
        <f t="shared" si="10"/>
        <v>3.4888794633279318E-5</v>
      </c>
      <c r="Q26" s="3" t="s">
        <v>504</v>
      </c>
      <c r="R26" s="3">
        <f t="shared" si="11"/>
        <v>4296.0121407571623</v>
      </c>
      <c r="S26" s="3">
        <v>0</v>
      </c>
      <c r="T26" t="s">
        <v>481</v>
      </c>
    </row>
    <row r="27" spans="1:20" ht="15" customHeight="1" x14ac:dyDescent="0.25">
      <c r="A27" t="s">
        <v>224</v>
      </c>
      <c r="B27" t="s">
        <v>231</v>
      </c>
      <c r="C27" t="s">
        <v>112</v>
      </c>
      <c r="D27" s="2">
        <v>79.952165371145497</v>
      </c>
      <c r="E27" s="3">
        <v>118.896960122563</v>
      </c>
      <c r="F27" s="3">
        <f t="shared" si="0"/>
        <v>9506.0694178456488</v>
      </c>
      <c r="G27" s="3">
        <f t="shared" si="1"/>
        <v>7791.8601785620076</v>
      </c>
      <c r="H27" s="3">
        <f t="shared" si="2"/>
        <v>1714.2092392836412</v>
      </c>
      <c r="I27" s="3">
        <f t="shared" si="3"/>
        <v>1012.9418232130602</v>
      </c>
      <c r="J27" s="3">
        <f t="shared" si="4"/>
        <v>2727.1510624967027</v>
      </c>
      <c r="K27" s="3">
        <f t="shared" si="5"/>
        <v>1714.2092392836416</v>
      </c>
      <c r="L27" s="3">
        <f t="shared" si="6"/>
        <v>623.34881428496067</v>
      </c>
      <c r="M27" s="3">
        <f t="shared" si="7"/>
        <v>935.02322142744083</v>
      </c>
      <c r="N27" s="3">
        <f t="shared" si="8"/>
        <v>779.18601785620081</v>
      </c>
      <c r="O27" s="3">
        <f t="shared" si="9"/>
        <v>0</v>
      </c>
      <c r="P27" s="18">
        <f t="shared" si="10"/>
        <v>7.7200737060873495E-5</v>
      </c>
      <c r="Q27" s="3" t="s">
        <v>504</v>
      </c>
      <c r="R27" s="3">
        <f t="shared" si="11"/>
        <v>9506.0694178456488</v>
      </c>
      <c r="S27" s="3">
        <v>0</v>
      </c>
      <c r="T27" t="s">
        <v>481</v>
      </c>
    </row>
    <row r="28" spans="1:20" ht="15" customHeight="1" x14ac:dyDescent="0.25">
      <c r="A28" t="s">
        <v>224</v>
      </c>
      <c r="B28" t="s">
        <v>234</v>
      </c>
      <c r="C28" t="s">
        <v>112</v>
      </c>
      <c r="D28" s="2">
        <v>48.048176304774898</v>
      </c>
      <c r="E28" s="3">
        <v>118.896960122563</v>
      </c>
      <c r="F28" s="3">
        <f t="shared" si="0"/>
        <v>5712.7821020706979</v>
      </c>
      <c r="G28" s="3">
        <f t="shared" si="1"/>
        <v>4682.608280385818</v>
      </c>
      <c r="H28" s="3">
        <f t="shared" si="2"/>
        <v>1030.1738216848798</v>
      </c>
      <c r="I28" s="3">
        <f t="shared" si="3"/>
        <v>608.73907645015606</v>
      </c>
      <c r="J28" s="3">
        <f t="shared" si="4"/>
        <v>1638.9128981350361</v>
      </c>
      <c r="K28" s="3">
        <f t="shared" si="5"/>
        <v>1030.1738216848801</v>
      </c>
      <c r="L28" s="3">
        <f t="shared" si="6"/>
        <v>374.60866243086542</v>
      </c>
      <c r="M28" s="3">
        <f t="shared" si="7"/>
        <v>561.9129936462981</v>
      </c>
      <c r="N28" s="3">
        <f t="shared" si="8"/>
        <v>468.26082803858185</v>
      </c>
      <c r="O28" s="3">
        <f t="shared" si="9"/>
        <v>0</v>
      </c>
      <c r="P28" s="18">
        <f t="shared" si="10"/>
        <v>4.6394673714467206E-5</v>
      </c>
      <c r="Q28" s="3" t="s">
        <v>504</v>
      </c>
      <c r="R28" s="3">
        <f t="shared" si="11"/>
        <v>5712.7821020706979</v>
      </c>
      <c r="S28" s="3">
        <v>0</v>
      </c>
      <c r="T28" t="s">
        <v>481</v>
      </c>
    </row>
    <row r="29" spans="1:20" ht="15" customHeight="1" x14ac:dyDescent="0.25">
      <c r="A29" t="s">
        <v>224</v>
      </c>
      <c r="B29" t="s">
        <v>235</v>
      </c>
      <c r="C29" t="s">
        <v>112</v>
      </c>
      <c r="D29" s="2">
        <v>101.516186896729</v>
      </c>
      <c r="E29" s="3">
        <v>118.896960122563</v>
      </c>
      <c r="F29" s="3">
        <f t="shared" si="0"/>
        <v>12069.96602525504</v>
      </c>
      <c r="G29" s="3">
        <f t="shared" si="1"/>
        <v>9893.4147747992138</v>
      </c>
      <c r="H29" s="3">
        <f t="shared" si="2"/>
        <v>2176.5512504558264</v>
      </c>
      <c r="I29" s="3">
        <f t="shared" si="3"/>
        <v>1286.1439207238982</v>
      </c>
      <c r="J29" s="3">
        <f t="shared" si="4"/>
        <v>3462.6951711797246</v>
      </c>
      <c r="K29" s="3">
        <f t="shared" si="5"/>
        <v>2176.5512504558269</v>
      </c>
      <c r="L29" s="3">
        <f t="shared" si="6"/>
        <v>791.47318198393714</v>
      </c>
      <c r="M29" s="3">
        <f t="shared" si="7"/>
        <v>1187.2097729759057</v>
      </c>
      <c r="N29" s="3">
        <f t="shared" si="8"/>
        <v>989.34147747992142</v>
      </c>
      <c r="O29" s="3">
        <f t="shared" si="9"/>
        <v>0</v>
      </c>
      <c r="P29" s="18">
        <f t="shared" si="10"/>
        <v>9.8022666623926881E-5</v>
      </c>
      <c r="Q29" s="3" t="s">
        <v>504</v>
      </c>
      <c r="R29" s="3">
        <f t="shared" si="11"/>
        <v>12069.96602525504</v>
      </c>
      <c r="S29" s="3">
        <v>0</v>
      </c>
      <c r="T29" t="s">
        <v>481</v>
      </c>
    </row>
    <row r="30" spans="1:20" ht="15" customHeight="1" x14ac:dyDescent="0.25">
      <c r="A30" t="s">
        <v>236</v>
      </c>
      <c r="B30" t="s">
        <v>238</v>
      </c>
      <c r="C30" t="s">
        <v>112</v>
      </c>
      <c r="D30" s="2">
        <v>502.85299393525202</v>
      </c>
      <c r="E30" s="3">
        <v>118.896960122563</v>
      </c>
      <c r="F30" s="3">
        <f t="shared" si="0"/>
        <v>59787.692367431075</v>
      </c>
      <c r="G30" s="3">
        <f t="shared" si="1"/>
        <v>49006.305219205802</v>
      </c>
      <c r="H30" s="3">
        <f t="shared" si="2"/>
        <v>10781.387148225273</v>
      </c>
      <c r="I30" s="3">
        <f t="shared" si="3"/>
        <v>6370.8196784967513</v>
      </c>
      <c r="J30" s="3">
        <f t="shared" si="4"/>
        <v>17152.206826722031</v>
      </c>
      <c r="K30" s="3">
        <f t="shared" si="5"/>
        <v>10781.387148225276</v>
      </c>
      <c r="L30" s="3">
        <f t="shared" si="6"/>
        <v>3920.5044175364642</v>
      </c>
      <c r="M30" s="3">
        <f t="shared" si="7"/>
        <v>5880.7566263046956</v>
      </c>
      <c r="N30" s="3">
        <f t="shared" si="8"/>
        <v>4900.6305219205806</v>
      </c>
      <c r="O30" s="3">
        <f t="shared" si="9"/>
        <v>0</v>
      </c>
      <c r="P30" s="18">
        <f t="shared" si="10"/>
        <v>4.8554809722612779E-4</v>
      </c>
      <c r="Q30" s="3" t="s">
        <v>504</v>
      </c>
      <c r="R30" s="3">
        <f t="shared" si="11"/>
        <v>59787.692367431075</v>
      </c>
      <c r="S30" s="3">
        <v>0</v>
      </c>
      <c r="T30" t="s">
        <v>481</v>
      </c>
    </row>
    <row r="31" spans="1:20" ht="15" customHeight="1" x14ac:dyDescent="0.25">
      <c r="A31" t="s">
        <v>236</v>
      </c>
      <c r="B31" t="s">
        <v>239</v>
      </c>
      <c r="C31" t="s">
        <v>112</v>
      </c>
      <c r="D31" s="2">
        <v>70.573161356453397</v>
      </c>
      <c r="E31" s="3">
        <v>118.896960122563</v>
      </c>
      <c r="F31" s="3">
        <f t="shared" si="0"/>
        <v>8390.9343515214441</v>
      </c>
      <c r="G31" s="3">
        <f t="shared" si="1"/>
        <v>6877.8150422306917</v>
      </c>
      <c r="H31" s="3">
        <f t="shared" si="2"/>
        <v>1513.1193092907524</v>
      </c>
      <c r="I31" s="3">
        <f t="shared" si="3"/>
        <v>894.11595548998957</v>
      </c>
      <c r="J31" s="3">
        <f t="shared" si="4"/>
        <v>2407.235264780742</v>
      </c>
      <c r="K31" s="3">
        <f t="shared" si="5"/>
        <v>1513.1193092907522</v>
      </c>
      <c r="L31" s="3">
        <f t="shared" si="6"/>
        <v>550.22520337845538</v>
      </c>
      <c r="M31" s="3">
        <f t="shared" si="7"/>
        <v>825.33780506768301</v>
      </c>
      <c r="N31" s="3">
        <f t="shared" si="8"/>
        <v>687.78150422306919</v>
      </c>
      <c r="O31" s="3">
        <f t="shared" si="9"/>
        <v>0</v>
      </c>
      <c r="P31" s="18">
        <f t="shared" si="10"/>
        <v>6.8144496751809449E-5</v>
      </c>
      <c r="Q31" s="3" t="s">
        <v>504</v>
      </c>
      <c r="R31" s="3">
        <f t="shared" si="11"/>
        <v>8390.9343515214441</v>
      </c>
      <c r="S31" s="3">
        <v>0</v>
      </c>
      <c r="T31" t="s">
        <v>481</v>
      </c>
    </row>
    <row r="32" spans="1:20" ht="15" customHeight="1" x14ac:dyDescent="0.25">
      <c r="A32" t="s">
        <v>236</v>
      </c>
      <c r="B32" t="s">
        <v>240</v>
      </c>
      <c r="C32" t="s">
        <v>112</v>
      </c>
      <c r="D32" s="2">
        <v>67.651832237123102</v>
      </c>
      <c r="E32" s="3">
        <v>118.896960122563</v>
      </c>
      <c r="F32" s="3">
        <f t="shared" si="0"/>
        <v>8043.5971997155475</v>
      </c>
      <c r="G32" s="3">
        <f t="shared" si="1"/>
        <v>6593.1124587832355</v>
      </c>
      <c r="H32" s="3">
        <f t="shared" si="2"/>
        <v>1450.484740932312</v>
      </c>
      <c r="I32" s="3">
        <f t="shared" si="3"/>
        <v>857.10461964182014</v>
      </c>
      <c r="J32" s="3">
        <f t="shared" si="4"/>
        <v>2307.5893605741321</v>
      </c>
      <c r="K32" s="3">
        <f t="shared" si="5"/>
        <v>1450.4847409323118</v>
      </c>
      <c r="L32" s="3">
        <f t="shared" si="6"/>
        <v>527.44899670265886</v>
      </c>
      <c r="M32" s="3">
        <f t="shared" si="7"/>
        <v>791.17349505398829</v>
      </c>
      <c r="N32" s="3">
        <f t="shared" si="8"/>
        <v>659.31124587832358</v>
      </c>
      <c r="O32" s="3">
        <f t="shared" si="9"/>
        <v>0</v>
      </c>
      <c r="P32" s="18">
        <f t="shared" si="10"/>
        <v>6.5323700589969865E-5</v>
      </c>
      <c r="Q32" s="3" t="s">
        <v>504</v>
      </c>
      <c r="R32" s="3">
        <f t="shared" si="11"/>
        <v>8043.5971997155475</v>
      </c>
      <c r="S32" s="3">
        <v>0</v>
      </c>
      <c r="T32" t="s">
        <v>481</v>
      </c>
    </row>
    <row r="33" spans="1:20" ht="15" customHeight="1" x14ac:dyDescent="0.25">
      <c r="A33" t="s">
        <v>246</v>
      </c>
      <c r="B33" t="s">
        <v>249</v>
      </c>
      <c r="C33" t="s">
        <v>146</v>
      </c>
      <c r="D33" s="2">
        <v>40.360468096010898</v>
      </c>
      <c r="E33" s="3">
        <v>10687.1760848306</v>
      </c>
      <c r="F33" s="3">
        <f t="shared" si="0"/>
        <v>431339.42940825608</v>
      </c>
      <c r="G33" s="3">
        <f t="shared" si="1"/>
        <v>353556.90935102961</v>
      </c>
      <c r="H33" s="3">
        <f t="shared" si="2"/>
        <v>77782.520057226473</v>
      </c>
      <c r="I33" s="3">
        <f t="shared" si="3"/>
        <v>45962.398215633875</v>
      </c>
      <c r="J33" s="3">
        <f t="shared" si="4"/>
        <v>123744.91827286035</v>
      </c>
      <c r="K33" s="3">
        <f t="shared" si="5"/>
        <v>77782.520057226517</v>
      </c>
      <c r="L33" s="3">
        <f t="shared" si="6"/>
        <v>28284.552748082369</v>
      </c>
      <c r="M33" s="3">
        <f t="shared" si="7"/>
        <v>42426.829122123549</v>
      </c>
      <c r="N33" s="3">
        <f t="shared" si="8"/>
        <v>35355.690935102961</v>
      </c>
      <c r="O33" s="3">
        <f t="shared" si="9"/>
        <v>0</v>
      </c>
      <c r="P33" s="18">
        <f t="shared" si="10"/>
        <v>3.5029958661169404E-3</v>
      </c>
      <c r="Q33" s="3" t="s">
        <v>504</v>
      </c>
      <c r="R33" s="3">
        <f t="shared" si="11"/>
        <v>431339.42940825608</v>
      </c>
      <c r="S33" s="3">
        <v>0</v>
      </c>
      <c r="T33" t="s">
        <v>481</v>
      </c>
    </row>
    <row r="34" spans="1:20" ht="15" customHeight="1" x14ac:dyDescent="0.25">
      <c r="A34" t="s">
        <v>246</v>
      </c>
      <c r="B34" t="s">
        <v>250</v>
      </c>
      <c r="C34" t="s">
        <v>146</v>
      </c>
      <c r="D34" s="2">
        <v>97.5032032117536</v>
      </c>
      <c r="E34" s="3">
        <v>79626.931416795094</v>
      </c>
      <c r="F34" s="3">
        <f t="shared" si="0"/>
        <v>7763880.8750601392</v>
      </c>
      <c r="G34" s="3">
        <f t="shared" si="1"/>
        <v>6363836.7828361802</v>
      </c>
      <c r="H34" s="3">
        <f t="shared" si="2"/>
        <v>1400044.092223959</v>
      </c>
      <c r="I34" s="3">
        <f t="shared" si="3"/>
        <v>827298.78176870383</v>
      </c>
      <c r="J34" s="3">
        <f t="shared" si="4"/>
        <v>2227342.8739926629</v>
      </c>
      <c r="K34" s="3">
        <f t="shared" si="5"/>
        <v>1400044.0922239597</v>
      </c>
      <c r="L34" s="3">
        <f t="shared" si="6"/>
        <v>509106.94262689445</v>
      </c>
      <c r="M34" s="3">
        <f t="shared" si="7"/>
        <v>763660.41394034156</v>
      </c>
      <c r="N34" s="3">
        <f t="shared" si="8"/>
        <v>636383.67828361806</v>
      </c>
      <c r="O34" s="3">
        <f t="shared" si="9"/>
        <v>0</v>
      </c>
      <c r="P34" s="18">
        <f t="shared" si="10"/>
        <v>6.3052067017547453E-2</v>
      </c>
      <c r="Q34" s="3" t="s">
        <v>504</v>
      </c>
      <c r="R34" s="3">
        <f t="shared" si="11"/>
        <v>7763880.8750601392</v>
      </c>
      <c r="S34" s="3">
        <v>0</v>
      </c>
      <c r="T34" t="s">
        <v>481</v>
      </c>
    </row>
    <row r="35" spans="1:20" ht="15" customHeight="1" x14ac:dyDescent="0.25">
      <c r="A35" t="s">
        <v>246</v>
      </c>
      <c r="B35" t="s">
        <v>251</v>
      </c>
      <c r="C35" t="s">
        <v>145</v>
      </c>
      <c r="D35" s="2">
        <v>276.56530281028398</v>
      </c>
      <c r="E35" s="3">
        <v>2019.6228031056301</v>
      </c>
      <c r="F35" s="3">
        <f t="shared" si="0"/>
        <v>558557.59210346313</v>
      </c>
      <c r="G35" s="3">
        <f t="shared" si="1"/>
        <v>457834.09188808454</v>
      </c>
      <c r="H35" s="3">
        <f t="shared" si="2"/>
        <v>100723.50021537859</v>
      </c>
      <c r="I35" s="3">
        <f t="shared" si="3"/>
        <v>59518.431945451011</v>
      </c>
      <c r="J35" s="3">
        <f t="shared" si="4"/>
        <v>160241.93216082957</v>
      </c>
      <c r="K35" s="3">
        <f t="shared" si="5"/>
        <v>100723.5002153786</v>
      </c>
      <c r="L35" s="3">
        <f t="shared" si="6"/>
        <v>36626.727351046764</v>
      </c>
      <c r="M35" s="3">
        <f t="shared" si="7"/>
        <v>54940.091026570146</v>
      </c>
      <c r="N35" s="3">
        <f t="shared" si="8"/>
        <v>45783.409188808459</v>
      </c>
      <c r="O35" s="3">
        <f t="shared" si="9"/>
        <v>0</v>
      </c>
      <c r="P35" s="18">
        <f t="shared" si="10"/>
        <v>4.5361606260084066E-3</v>
      </c>
      <c r="Q35" s="3" t="s">
        <v>504</v>
      </c>
      <c r="R35" s="3">
        <f t="shared" si="11"/>
        <v>558557.59210346313</v>
      </c>
      <c r="S35" s="3">
        <v>0</v>
      </c>
      <c r="T35" t="s">
        <v>481</v>
      </c>
    </row>
    <row r="36" spans="1:20" ht="15" customHeight="1" x14ac:dyDescent="0.25">
      <c r="A36" t="s">
        <v>253</v>
      </c>
      <c r="B36" t="s">
        <v>255</v>
      </c>
      <c r="C36" t="s">
        <v>146</v>
      </c>
      <c r="D36" s="2">
        <v>292.15213120355298</v>
      </c>
      <c r="E36" s="3">
        <v>22034.5469494383</v>
      </c>
      <c r="F36" s="3">
        <f t="shared" si="0"/>
        <v>6437439.8513831459</v>
      </c>
      <c r="G36" s="3">
        <f t="shared" si="1"/>
        <v>5276590.042117333</v>
      </c>
      <c r="H36" s="3">
        <f t="shared" si="2"/>
        <v>1160849.8092658129</v>
      </c>
      <c r="I36" s="3">
        <f t="shared" si="3"/>
        <v>685956.70547525398</v>
      </c>
      <c r="J36" s="3">
        <f t="shared" si="4"/>
        <v>1846806.5147410664</v>
      </c>
      <c r="K36" s="3">
        <f t="shared" si="5"/>
        <v>1160849.8092658133</v>
      </c>
      <c r="L36" s="3">
        <f t="shared" si="6"/>
        <v>422127.20336938667</v>
      </c>
      <c r="M36" s="3">
        <f t="shared" si="7"/>
        <v>633190.80505407997</v>
      </c>
      <c r="N36" s="3">
        <f t="shared" si="8"/>
        <v>527659.00421173335</v>
      </c>
      <c r="O36" s="3">
        <f t="shared" si="9"/>
        <v>0</v>
      </c>
      <c r="P36" s="18">
        <f t="shared" si="10"/>
        <v>5.2279767742790979E-2</v>
      </c>
      <c r="Q36" s="3" t="s">
        <v>504</v>
      </c>
      <c r="R36" s="3">
        <f t="shared" si="11"/>
        <v>6437439.8513831459</v>
      </c>
      <c r="S36" s="3">
        <v>0</v>
      </c>
      <c r="T36" t="s">
        <v>481</v>
      </c>
    </row>
    <row r="37" spans="1:20" ht="15" customHeight="1" x14ac:dyDescent="0.25">
      <c r="A37" t="s">
        <v>253</v>
      </c>
      <c r="B37" t="s">
        <v>256</v>
      </c>
      <c r="C37" t="s">
        <v>145</v>
      </c>
      <c r="D37" s="2">
        <v>5843.0426240710703</v>
      </c>
      <c r="E37" s="3">
        <v>1856.4987226312301</v>
      </c>
      <c r="F37" s="3">
        <f t="shared" si="0"/>
        <v>10847601.167867772</v>
      </c>
      <c r="G37" s="3">
        <f t="shared" si="1"/>
        <v>8891476.3671047315</v>
      </c>
      <c r="H37" s="3">
        <f t="shared" si="2"/>
        <v>1956124.8007630408</v>
      </c>
      <c r="I37" s="3">
        <f t="shared" si="3"/>
        <v>1155891.9277236154</v>
      </c>
      <c r="J37" s="3">
        <f t="shared" si="4"/>
        <v>3112016.7284866557</v>
      </c>
      <c r="K37" s="3">
        <f t="shared" si="5"/>
        <v>1956124.800763041</v>
      </c>
      <c r="L37" s="3">
        <f t="shared" si="6"/>
        <v>711318.10936837853</v>
      </c>
      <c r="M37" s="3">
        <f t="shared" si="7"/>
        <v>1066977.1640525677</v>
      </c>
      <c r="N37" s="3">
        <f t="shared" si="8"/>
        <v>889147.63671047322</v>
      </c>
      <c r="O37" s="3">
        <f t="shared" si="9"/>
        <v>0</v>
      </c>
      <c r="P37" s="18">
        <f t="shared" si="10"/>
        <v>8.809559121561443E-2</v>
      </c>
      <c r="Q37" s="3" t="s">
        <v>504</v>
      </c>
      <c r="R37" s="3">
        <f t="shared" si="11"/>
        <v>10847601.167867772</v>
      </c>
      <c r="S37" s="3">
        <v>0</v>
      </c>
      <c r="T37" t="s">
        <v>481</v>
      </c>
    </row>
    <row r="38" spans="1:20" ht="15" customHeight="1" x14ac:dyDescent="0.25">
      <c r="A38" t="s">
        <v>253</v>
      </c>
      <c r="B38" t="s">
        <v>257</v>
      </c>
      <c r="C38" t="s">
        <v>112</v>
      </c>
      <c r="D38" s="2">
        <v>73271.162552319103</v>
      </c>
      <c r="E38" s="3">
        <v>157.97443635228001</v>
      </c>
      <c r="F38" s="3">
        <f t="shared" si="0"/>
        <v>11574970.605078897</v>
      </c>
      <c r="G38" s="3">
        <f t="shared" si="1"/>
        <v>9487680.8238351606</v>
      </c>
      <c r="H38" s="3">
        <f t="shared" si="2"/>
        <v>2087289.7812437359</v>
      </c>
      <c r="I38" s="3">
        <f t="shared" si="3"/>
        <v>1233398.5070985714</v>
      </c>
      <c r="J38" s="3">
        <f t="shared" si="4"/>
        <v>3320688.2883423059</v>
      </c>
      <c r="K38" s="3">
        <f t="shared" si="5"/>
        <v>2087289.7812437352</v>
      </c>
      <c r="L38" s="3">
        <f t="shared" si="6"/>
        <v>759014.46590681281</v>
      </c>
      <c r="M38" s="3">
        <f t="shared" si="7"/>
        <v>1138521.6988602192</v>
      </c>
      <c r="N38" s="3">
        <f t="shared" si="8"/>
        <v>948768.08238351613</v>
      </c>
      <c r="O38" s="3">
        <f t="shared" si="9"/>
        <v>0</v>
      </c>
      <c r="P38" s="18">
        <f t="shared" si="10"/>
        <v>9.4002707416852682E-2</v>
      </c>
      <c r="Q38" s="3" t="s">
        <v>504</v>
      </c>
      <c r="R38" s="3">
        <f t="shared" si="11"/>
        <v>11574970.605078897</v>
      </c>
      <c r="S38" s="3">
        <v>0</v>
      </c>
      <c r="T38" t="s">
        <v>481</v>
      </c>
    </row>
    <row r="39" spans="1:20" ht="15" customHeight="1" x14ac:dyDescent="0.25">
      <c r="A39" t="s">
        <v>253</v>
      </c>
      <c r="B39" t="s">
        <v>258</v>
      </c>
      <c r="C39" t="s">
        <v>146</v>
      </c>
      <c r="D39" s="2">
        <v>1752.9127872213201</v>
      </c>
      <c r="E39" s="3">
        <v>29014.278361835</v>
      </c>
      <c r="F39" s="3">
        <f t="shared" si="0"/>
        <v>50859499.552459426</v>
      </c>
      <c r="G39" s="3">
        <f t="shared" si="1"/>
        <v>41688114.387261823</v>
      </c>
      <c r="H39" s="3">
        <f t="shared" si="2"/>
        <v>9171385.1651976034</v>
      </c>
      <c r="I39" s="3">
        <f t="shared" si="3"/>
        <v>5419454.8703440428</v>
      </c>
      <c r="J39" s="3">
        <f t="shared" si="4"/>
        <v>14590840.035541637</v>
      </c>
      <c r="K39" s="3">
        <f t="shared" si="5"/>
        <v>9171385.1651976015</v>
      </c>
      <c r="L39" s="3">
        <f t="shared" si="6"/>
        <v>3335049.1509809457</v>
      </c>
      <c r="M39" s="3">
        <f t="shared" si="7"/>
        <v>5002573.7264714185</v>
      </c>
      <c r="N39" s="3">
        <f t="shared" si="8"/>
        <v>4168811.4387261826</v>
      </c>
      <c r="O39" s="3">
        <f t="shared" si="9"/>
        <v>0</v>
      </c>
      <c r="P39" s="18">
        <f t="shared" si="10"/>
        <v>0.4130404144352301</v>
      </c>
      <c r="Q39" s="3" t="s">
        <v>504</v>
      </c>
      <c r="R39" s="3">
        <f t="shared" si="11"/>
        <v>50859499.552459426</v>
      </c>
      <c r="S39" s="3">
        <v>0</v>
      </c>
      <c r="T39" t="s">
        <v>481</v>
      </c>
    </row>
    <row r="40" spans="1:20" ht="15" customHeight="1" x14ac:dyDescent="0.25">
      <c r="A40" t="s">
        <v>253</v>
      </c>
      <c r="B40" t="s">
        <v>259</v>
      </c>
      <c r="C40" t="s">
        <v>145</v>
      </c>
      <c r="D40" s="2">
        <v>5843.0426240710703</v>
      </c>
      <c r="E40" s="3">
        <v>2719.74032898101</v>
      </c>
      <c r="F40" s="3">
        <f t="shared" si="0"/>
        <v>15891558.668641116</v>
      </c>
      <c r="G40" s="3">
        <f t="shared" si="1"/>
        <v>13025867.761181243</v>
      </c>
      <c r="H40" s="3">
        <f t="shared" si="2"/>
        <v>2865690.9074598737</v>
      </c>
      <c r="I40" s="3">
        <f t="shared" si="3"/>
        <v>1693362.8089535609</v>
      </c>
      <c r="J40" s="3">
        <f t="shared" si="4"/>
        <v>4559053.7164134346</v>
      </c>
      <c r="K40" s="3">
        <f t="shared" si="5"/>
        <v>2865690.9074598732</v>
      </c>
      <c r="L40" s="3">
        <f t="shared" si="6"/>
        <v>1042069.4208944994</v>
      </c>
      <c r="M40" s="3">
        <f t="shared" si="7"/>
        <v>1563104.1313417491</v>
      </c>
      <c r="N40" s="3">
        <f t="shared" si="8"/>
        <v>1302586.7761181244</v>
      </c>
      <c r="O40" s="3">
        <f t="shared" si="9"/>
        <v>0</v>
      </c>
      <c r="P40" s="18">
        <f t="shared" si="10"/>
        <v>0.12905860333421015</v>
      </c>
      <c r="Q40" s="3" t="s">
        <v>504</v>
      </c>
      <c r="R40" s="3">
        <f t="shared" si="11"/>
        <v>15891558.668641116</v>
      </c>
      <c r="S40" s="3">
        <v>0</v>
      </c>
      <c r="T40" t="s">
        <v>481</v>
      </c>
    </row>
    <row r="41" spans="1:20" ht="15" customHeight="1" x14ac:dyDescent="0.25">
      <c r="A41" t="s">
        <v>260</v>
      </c>
      <c r="B41" t="s">
        <v>262</v>
      </c>
      <c r="C41" t="s">
        <v>146</v>
      </c>
      <c r="D41" s="2">
        <v>1.1531562313146</v>
      </c>
      <c r="E41" s="3">
        <v>52304.194111709803</v>
      </c>
      <c r="F41" s="3">
        <f t="shared" si="0"/>
        <v>60314.907363806567</v>
      </c>
      <c r="G41" s="3">
        <f t="shared" si="1"/>
        <v>49438.448658857844</v>
      </c>
      <c r="H41" s="3">
        <f t="shared" si="2"/>
        <v>10876.458704948724</v>
      </c>
      <c r="I41" s="3">
        <f t="shared" si="3"/>
        <v>6426.9983256515261</v>
      </c>
      <c r="J41" s="3">
        <f t="shared" si="4"/>
        <v>17303.457030600242</v>
      </c>
      <c r="K41" s="3">
        <f t="shared" si="5"/>
        <v>10876.458704948725</v>
      </c>
      <c r="L41" s="3">
        <f t="shared" si="6"/>
        <v>3955.0758927086276</v>
      </c>
      <c r="M41" s="3">
        <f t="shared" si="7"/>
        <v>5932.6138390629412</v>
      </c>
      <c r="N41" s="3">
        <f t="shared" si="8"/>
        <v>4943.8448658857851</v>
      </c>
      <c r="O41" s="3">
        <f t="shared" si="9"/>
        <v>0</v>
      </c>
      <c r="P41" s="18">
        <f t="shared" si="10"/>
        <v>4.8982971821169791E-4</v>
      </c>
      <c r="Q41" s="3" t="s">
        <v>504</v>
      </c>
      <c r="R41" s="3">
        <f t="shared" si="11"/>
        <v>60314.907363806567</v>
      </c>
      <c r="S41" s="3">
        <v>0</v>
      </c>
      <c r="T41" t="s">
        <v>481</v>
      </c>
    </row>
    <row r="42" spans="1:20" ht="15" customHeight="1" x14ac:dyDescent="0.25">
      <c r="A42" t="s">
        <v>260</v>
      </c>
      <c r="B42" t="s">
        <v>263</v>
      </c>
      <c r="C42" t="s">
        <v>191</v>
      </c>
      <c r="D42" s="2">
        <v>6.9189373878875902</v>
      </c>
      <c r="E42" s="3">
        <v>504.45705753849597</v>
      </c>
      <c r="F42" s="3">
        <f t="shared" si="0"/>
        <v>3490.3067959868613</v>
      </c>
      <c r="G42" s="3">
        <f t="shared" si="1"/>
        <v>2860.9072098252964</v>
      </c>
      <c r="H42" s="3">
        <f t="shared" si="2"/>
        <v>629.39958616156491</v>
      </c>
      <c r="I42" s="3">
        <f t="shared" si="3"/>
        <v>371.91793727728873</v>
      </c>
      <c r="J42" s="3">
        <f t="shared" si="4"/>
        <v>1001.3175234388536</v>
      </c>
      <c r="K42" s="3">
        <f t="shared" si="5"/>
        <v>629.39958616156525</v>
      </c>
      <c r="L42" s="3">
        <f t="shared" si="6"/>
        <v>228.87257678602373</v>
      </c>
      <c r="M42" s="3">
        <f t="shared" si="7"/>
        <v>343.30886517903554</v>
      </c>
      <c r="N42" s="3">
        <f t="shared" si="8"/>
        <v>286.09072098252966</v>
      </c>
      <c r="O42" s="3">
        <f t="shared" si="9"/>
        <v>0</v>
      </c>
      <c r="P42" s="18">
        <f t="shared" si="10"/>
        <v>2.834549647964044E-5</v>
      </c>
      <c r="Q42" s="3" t="s">
        <v>504</v>
      </c>
      <c r="R42" s="3">
        <f t="shared" si="11"/>
        <v>3490.3067959868613</v>
      </c>
      <c r="S42" s="3">
        <v>0</v>
      </c>
      <c r="T42" t="s">
        <v>481</v>
      </c>
    </row>
    <row r="43" spans="1:20" ht="15" customHeight="1" x14ac:dyDescent="0.25">
      <c r="A43" t="s">
        <v>264</v>
      </c>
      <c r="B43" t="s">
        <v>264</v>
      </c>
      <c r="C43" t="s">
        <v>123</v>
      </c>
      <c r="D43" s="2">
        <v>1399.8547877338301</v>
      </c>
      <c r="E43" s="3">
        <v>376.002045825636</v>
      </c>
      <c r="F43" s="3">
        <f t="shared" si="0"/>
        <v>526348.26404673152</v>
      </c>
      <c r="G43" s="3">
        <f t="shared" si="1"/>
        <v>431433.00331699307</v>
      </c>
      <c r="H43" s="3">
        <f t="shared" si="2"/>
        <v>94915.260729738453</v>
      </c>
      <c r="I43" s="3">
        <f t="shared" si="3"/>
        <v>56086.290431209083</v>
      </c>
      <c r="J43" s="3">
        <f t="shared" si="4"/>
        <v>151001.55116094757</v>
      </c>
      <c r="K43" s="3">
        <f t="shared" si="5"/>
        <v>94915.260729738482</v>
      </c>
      <c r="L43" s="3">
        <f t="shared" si="6"/>
        <v>34514.640265359449</v>
      </c>
      <c r="M43" s="3">
        <f t="shared" si="7"/>
        <v>51771.960398039169</v>
      </c>
      <c r="N43" s="3">
        <f t="shared" si="8"/>
        <v>43143.300331699313</v>
      </c>
      <c r="O43" s="3">
        <f t="shared" si="9"/>
        <v>0</v>
      </c>
      <c r="P43" s="18">
        <f t="shared" si="10"/>
        <v>4.2745820747780612E-3</v>
      </c>
      <c r="Q43" s="3" t="s">
        <v>504</v>
      </c>
      <c r="R43" s="3">
        <f t="shared" si="11"/>
        <v>526348.26404673152</v>
      </c>
      <c r="S43" s="3">
        <v>0</v>
      </c>
      <c r="T43" t="s">
        <v>481</v>
      </c>
    </row>
    <row r="44" spans="1:20" ht="15" customHeight="1" x14ac:dyDescent="0.25">
      <c r="A44" t="s">
        <v>265</v>
      </c>
      <c r="B44" t="s">
        <v>266</v>
      </c>
      <c r="C44" t="s">
        <v>146</v>
      </c>
      <c r="D44" s="2">
        <v>0.45741863842145702</v>
      </c>
      <c r="E44" s="3">
        <v>10687.1760848306</v>
      </c>
      <c r="F44" s="3">
        <f t="shared" si="0"/>
        <v>4888.5135332935715</v>
      </c>
      <c r="G44" s="3">
        <f t="shared" si="1"/>
        <v>4006.9783059783376</v>
      </c>
      <c r="H44" s="3">
        <f t="shared" si="2"/>
        <v>881.5352273152339</v>
      </c>
      <c r="I44" s="3">
        <f t="shared" si="3"/>
        <v>520.90717977718396</v>
      </c>
      <c r="J44" s="3">
        <f t="shared" si="4"/>
        <v>1402.4424070924181</v>
      </c>
      <c r="K44" s="3">
        <f t="shared" si="5"/>
        <v>881.53522731523424</v>
      </c>
      <c r="L44" s="3">
        <f t="shared" si="6"/>
        <v>320.55826447826701</v>
      </c>
      <c r="M44" s="3">
        <f t="shared" si="7"/>
        <v>480.83739671740051</v>
      </c>
      <c r="N44" s="3">
        <f t="shared" si="8"/>
        <v>400.69783059783379</v>
      </c>
      <c r="O44" s="3">
        <f t="shared" si="9"/>
        <v>0</v>
      </c>
      <c r="P44" s="18">
        <f t="shared" si="10"/>
        <v>3.9700619815992011E-5</v>
      </c>
      <c r="Q44" s="3" t="s">
        <v>504</v>
      </c>
      <c r="R44" s="3">
        <f t="shared" si="11"/>
        <v>4888.5135332935715</v>
      </c>
      <c r="S44" s="3">
        <v>0</v>
      </c>
      <c r="T44" t="s">
        <v>481</v>
      </c>
    </row>
    <row r="45" spans="1:20" ht="15" customHeight="1" x14ac:dyDescent="0.25">
      <c r="A45" t="s">
        <v>265</v>
      </c>
      <c r="B45" t="s">
        <v>267</v>
      </c>
      <c r="C45" t="s">
        <v>146</v>
      </c>
      <c r="D45" s="2">
        <v>0.45741863842145702</v>
      </c>
      <c r="E45" s="3">
        <v>26419.689990003699</v>
      </c>
      <c r="F45" s="3">
        <f t="shared" si="0"/>
        <v>12084.85862274449</v>
      </c>
      <c r="G45" s="3">
        <f t="shared" si="1"/>
        <v>9905.6218219217135</v>
      </c>
      <c r="H45" s="3">
        <f t="shared" si="2"/>
        <v>2179.2368008227768</v>
      </c>
      <c r="I45" s="3">
        <f t="shared" si="3"/>
        <v>1287.7308368498216</v>
      </c>
      <c r="J45" s="3">
        <f t="shared" si="4"/>
        <v>3466.9676376725997</v>
      </c>
      <c r="K45" s="3">
        <f t="shared" si="5"/>
        <v>2179.2368008227768</v>
      </c>
      <c r="L45" s="3">
        <f t="shared" si="6"/>
        <v>792.44974575373715</v>
      </c>
      <c r="M45" s="3">
        <f t="shared" si="7"/>
        <v>1188.6746186306057</v>
      </c>
      <c r="N45" s="3">
        <f t="shared" si="8"/>
        <v>990.56218219217135</v>
      </c>
      <c r="O45" s="3">
        <f t="shared" si="9"/>
        <v>0</v>
      </c>
      <c r="P45" s="18">
        <f t="shared" si="10"/>
        <v>9.8143612458887654E-5</v>
      </c>
      <c r="Q45" s="3" t="s">
        <v>504</v>
      </c>
      <c r="R45" s="3">
        <f t="shared" si="11"/>
        <v>12084.85862274449</v>
      </c>
      <c r="S45" s="3">
        <v>0</v>
      </c>
      <c r="T45" t="s">
        <v>481</v>
      </c>
    </row>
    <row r="46" spans="1:20" ht="15" customHeight="1" x14ac:dyDescent="0.25">
      <c r="A46" t="s">
        <v>265</v>
      </c>
      <c r="B46" t="s">
        <v>268</v>
      </c>
      <c r="C46" t="s">
        <v>145</v>
      </c>
      <c r="D46" s="2">
        <v>4.5741863842145696</v>
      </c>
      <c r="E46" s="3">
        <v>2019.6228031056301</v>
      </c>
      <c r="F46" s="3">
        <f t="shared" si="0"/>
        <v>9238.131127215036</v>
      </c>
      <c r="G46" s="3">
        <f t="shared" si="1"/>
        <v>7572.238628864784</v>
      </c>
      <c r="H46" s="3">
        <f t="shared" si="2"/>
        <v>1665.892498350252</v>
      </c>
      <c r="I46" s="3">
        <f t="shared" si="3"/>
        <v>984.39102175242169</v>
      </c>
      <c r="J46" s="3">
        <f t="shared" si="4"/>
        <v>2650.2835201026742</v>
      </c>
      <c r="K46" s="3">
        <f t="shared" si="5"/>
        <v>1665.8924983502525</v>
      </c>
      <c r="L46" s="3">
        <f t="shared" si="6"/>
        <v>605.77909030918272</v>
      </c>
      <c r="M46" s="3">
        <f t="shared" si="7"/>
        <v>908.66863546377408</v>
      </c>
      <c r="N46" s="3">
        <f t="shared" si="8"/>
        <v>757.2238628864784</v>
      </c>
      <c r="O46" s="3">
        <f t="shared" si="9"/>
        <v>0</v>
      </c>
      <c r="P46" s="18">
        <f t="shared" si="10"/>
        <v>7.5024755315497002E-5</v>
      </c>
      <c r="Q46" s="3" t="s">
        <v>504</v>
      </c>
      <c r="R46" s="3">
        <f t="shared" si="11"/>
        <v>9238.131127215036</v>
      </c>
      <c r="S46" s="3">
        <v>0</v>
      </c>
      <c r="T46" t="s">
        <v>481</v>
      </c>
    </row>
    <row r="47" spans="1:20" ht="15" customHeight="1" x14ac:dyDescent="0.25">
      <c r="A47" t="s">
        <v>265</v>
      </c>
      <c r="B47" t="s">
        <v>262</v>
      </c>
      <c r="C47" t="s">
        <v>146</v>
      </c>
      <c r="D47" s="2">
        <v>3.9591697275134501</v>
      </c>
      <c r="E47" s="3">
        <v>54731.627116001502</v>
      </c>
      <c r="F47" s="3">
        <f t="shared" si="0"/>
        <v>216691.80121522743</v>
      </c>
      <c r="G47" s="3">
        <f t="shared" si="1"/>
        <v>177616.23050428479</v>
      </c>
      <c r="H47" s="3">
        <f t="shared" si="2"/>
        <v>39075.570710942644</v>
      </c>
      <c r="I47" s="3">
        <f t="shared" si="3"/>
        <v>23090.109965557029</v>
      </c>
      <c r="J47" s="3">
        <f t="shared" si="4"/>
        <v>62165.680676499673</v>
      </c>
      <c r="K47" s="3">
        <f t="shared" si="5"/>
        <v>39075.570710942651</v>
      </c>
      <c r="L47" s="3">
        <f t="shared" si="6"/>
        <v>14209.298440342784</v>
      </c>
      <c r="M47" s="3">
        <f t="shared" si="7"/>
        <v>21313.947660514175</v>
      </c>
      <c r="N47" s="3">
        <f t="shared" si="8"/>
        <v>17761.623050428479</v>
      </c>
      <c r="O47" s="3">
        <f t="shared" si="9"/>
        <v>0</v>
      </c>
      <c r="P47" s="18">
        <f t="shared" si="10"/>
        <v>1.7597985069895549E-3</v>
      </c>
      <c r="Q47" s="3" t="s">
        <v>504</v>
      </c>
      <c r="R47" s="3">
        <f t="shared" si="11"/>
        <v>216691.80121522743</v>
      </c>
      <c r="S47" s="3">
        <v>0</v>
      </c>
      <c r="T47" t="s">
        <v>481</v>
      </c>
    </row>
    <row r="48" spans="1:20" ht="15" customHeight="1" x14ac:dyDescent="0.25">
      <c r="A48" t="s">
        <v>265</v>
      </c>
      <c r="B48" t="s">
        <v>270</v>
      </c>
      <c r="C48" t="s">
        <v>123</v>
      </c>
      <c r="D48" s="2">
        <v>5.3045186640471496</v>
      </c>
      <c r="E48" s="3">
        <v>504.45705753849597</v>
      </c>
      <c r="F48" s="3">
        <f t="shared" si="0"/>
        <v>2675.9018769232589</v>
      </c>
      <c r="G48" s="3">
        <f t="shared" si="1"/>
        <v>2193.3621941993924</v>
      </c>
      <c r="H48" s="3">
        <f t="shared" si="2"/>
        <v>482.53968272386646</v>
      </c>
      <c r="I48" s="3">
        <f t="shared" si="3"/>
        <v>285.13708524592107</v>
      </c>
      <c r="J48" s="3">
        <f t="shared" si="4"/>
        <v>767.67676796978731</v>
      </c>
      <c r="K48" s="3">
        <f t="shared" si="5"/>
        <v>482.53968272386635</v>
      </c>
      <c r="L48" s="3">
        <f t="shared" si="6"/>
        <v>175.46897553595139</v>
      </c>
      <c r="M48" s="3">
        <f t="shared" si="7"/>
        <v>263.20346330392709</v>
      </c>
      <c r="N48" s="3">
        <f t="shared" si="8"/>
        <v>219.33621941993925</v>
      </c>
      <c r="O48" s="3">
        <f t="shared" si="9"/>
        <v>0</v>
      </c>
      <c r="P48" s="18">
        <f t="shared" si="10"/>
        <v>2.173154730105766E-5</v>
      </c>
      <c r="Q48" s="3" t="s">
        <v>504</v>
      </c>
      <c r="R48" s="3">
        <f t="shared" si="11"/>
        <v>2675.9018769232589</v>
      </c>
      <c r="S48" s="3">
        <v>0</v>
      </c>
      <c r="T48" t="s">
        <v>481</v>
      </c>
    </row>
    <row r="49" spans="1:20" ht="15" customHeight="1" x14ac:dyDescent="0.25">
      <c r="A49" t="s">
        <v>271</v>
      </c>
      <c r="B49" t="s">
        <v>272</v>
      </c>
      <c r="C49" t="s">
        <v>146</v>
      </c>
      <c r="D49" s="2">
        <v>3.84385410438199</v>
      </c>
      <c r="E49" s="3">
        <v>10687.1760848306</v>
      </c>
      <c r="F49" s="3">
        <f t="shared" si="0"/>
        <v>41079.945657929151</v>
      </c>
      <c r="G49" s="3">
        <f t="shared" si="1"/>
        <v>33672.086604859964</v>
      </c>
      <c r="H49" s="3">
        <f t="shared" si="2"/>
        <v>7407.8590530691872</v>
      </c>
      <c r="I49" s="3">
        <f t="shared" si="3"/>
        <v>4377.3712586317924</v>
      </c>
      <c r="J49" s="3">
        <f t="shared" si="4"/>
        <v>11785.230311700987</v>
      </c>
      <c r="K49" s="3">
        <f t="shared" si="5"/>
        <v>7407.8590530691918</v>
      </c>
      <c r="L49" s="3">
        <f t="shared" si="6"/>
        <v>2693.7669283887972</v>
      </c>
      <c r="M49" s="3">
        <f t="shared" si="7"/>
        <v>4040.6503925831953</v>
      </c>
      <c r="N49" s="3">
        <f t="shared" si="8"/>
        <v>3367.2086604859965</v>
      </c>
      <c r="O49" s="3">
        <f t="shared" si="9"/>
        <v>0</v>
      </c>
      <c r="P49" s="18">
        <f t="shared" si="10"/>
        <v>3.3361865391589912E-4</v>
      </c>
      <c r="Q49" s="3" t="s">
        <v>504</v>
      </c>
      <c r="R49" s="3">
        <f t="shared" si="11"/>
        <v>41079.945657929151</v>
      </c>
      <c r="S49" s="3">
        <v>0</v>
      </c>
      <c r="T49" t="s">
        <v>481</v>
      </c>
    </row>
    <row r="50" spans="1:20" ht="15" customHeight="1" x14ac:dyDescent="0.25">
      <c r="A50" t="s">
        <v>271</v>
      </c>
      <c r="B50" t="s">
        <v>273</v>
      </c>
      <c r="C50" t="s">
        <v>146</v>
      </c>
      <c r="D50" s="2">
        <v>0.95327581788673399</v>
      </c>
      <c r="E50" s="3">
        <v>26419.689990003699</v>
      </c>
      <c r="F50" s="3">
        <f t="shared" si="0"/>
        <v>25185.251583534733</v>
      </c>
      <c r="G50" s="3">
        <f t="shared" si="1"/>
        <v>20643.648838962898</v>
      </c>
      <c r="H50" s="3">
        <f t="shared" si="2"/>
        <v>4541.6027445718355</v>
      </c>
      <c r="I50" s="3">
        <f t="shared" si="3"/>
        <v>2683.6743490651788</v>
      </c>
      <c r="J50" s="3">
        <f t="shared" si="4"/>
        <v>7225.2770936370134</v>
      </c>
      <c r="K50" s="3">
        <f t="shared" si="5"/>
        <v>4541.6027445718373</v>
      </c>
      <c r="L50" s="3">
        <f t="shared" si="6"/>
        <v>1651.4919071170318</v>
      </c>
      <c r="M50" s="3">
        <f t="shared" si="7"/>
        <v>2477.2378606755478</v>
      </c>
      <c r="N50" s="3">
        <f t="shared" si="8"/>
        <v>2064.3648838962899</v>
      </c>
      <c r="O50" s="3">
        <f t="shared" si="9"/>
        <v>0</v>
      </c>
      <c r="P50" s="18">
        <f t="shared" si="10"/>
        <v>2.0453458730927844E-4</v>
      </c>
      <c r="Q50" s="3" t="s">
        <v>504</v>
      </c>
      <c r="R50" s="3">
        <f t="shared" si="11"/>
        <v>25185.251583534733</v>
      </c>
      <c r="S50" s="3">
        <v>0</v>
      </c>
      <c r="T50" t="s">
        <v>481</v>
      </c>
    </row>
    <row r="51" spans="1:20" ht="15" customHeight="1" x14ac:dyDescent="0.25">
      <c r="A51" t="s">
        <v>271</v>
      </c>
      <c r="B51" t="s">
        <v>268</v>
      </c>
      <c r="C51" t="s">
        <v>145</v>
      </c>
      <c r="D51" s="2">
        <v>19.0808917741522</v>
      </c>
      <c r="E51" s="3">
        <v>2019.6228031056301</v>
      </c>
      <c r="F51" s="3">
        <f t="shared" si="0"/>
        <v>38536.204130668426</v>
      </c>
      <c r="G51" s="3">
        <f t="shared" si="1"/>
        <v>31587.05256612166</v>
      </c>
      <c r="H51" s="3">
        <f t="shared" si="2"/>
        <v>6949.1515645467662</v>
      </c>
      <c r="I51" s="3">
        <f t="shared" si="3"/>
        <v>4106.3168335958144</v>
      </c>
      <c r="J51" s="3">
        <f t="shared" si="4"/>
        <v>11055.468398142581</v>
      </c>
      <c r="K51" s="3">
        <f t="shared" si="5"/>
        <v>6949.1515645467653</v>
      </c>
      <c r="L51" s="3">
        <f t="shared" si="6"/>
        <v>2526.9642052897329</v>
      </c>
      <c r="M51" s="3">
        <f t="shared" si="7"/>
        <v>3790.4463079345992</v>
      </c>
      <c r="N51" s="3">
        <f t="shared" si="8"/>
        <v>3158.7052566121661</v>
      </c>
      <c r="O51" s="3">
        <f t="shared" si="9"/>
        <v>0</v>
      </c>
      <c r="P51" s="18">
        <f t="shared" si="10"/>
        <v>3.129604078875017E-4</v>
      </c>
      <c r="Q51" s="3" t="s">
        <v>504</v>
      </c>
      <c r="R51" s="3">
        <f t="shared" si="11"/>
        <v>38536.204130668426</v>
      </c>
      <c r="S51" s="3">
        <v>0</v>
      </c>
      <c r="T51" t="s">
        <v>481</v>
      </c>
    </row>
    <row r="52" spans="1:20" ht="15" customHeight="1" x14ac:dyDescent="0.25">
      <c r="A52" t="s">
        <v>271</v>
      </c>
      <c r="B52" t="s">
        <v>262</v>
      </c>
      <c r="C52" t="s">
        <v>146</v>
      </c>
      <c r="D52" s="2">
        <v>11.531562313146001</v>
      </c>
      <c r="E52" s="3">
        <v>49416.869278179001</v>
      </c>
      <c r="F52" s="3">
        <f t="shared" si="0"/>
        <v>569853.70740191138</v>
      </c>
      <c r="G52" s="3">
        <f t="shared" si="1"/>
        <v>467093.20278845198</v>
      </c>
      <c r="H52" s="3">
        <f t="shared" si="2"/>
        <v>102760.5046134594</v>
      </c>
      <c r="I52" s="3">
        <f t="shared" si="3"/>
        <v>60722.116362498724</v>
      </c>
      <c r="J52" s="3">
        <f t="shared" si="4"/>
        <v>163482.62097595818</v>
      </c>
      <c r="K52" s="3">
        <f t="shared" si="5"/>
        <v>102760.50461345943</v>
      </c>
      <c r="L52" s="3">
        <f t="shared" si="6"/>
        <v>37367.456223076158</v>
      </c>
      <c r="M52" s="3">
        <f t="shared" si="7"/>
        <v>56051.184334614234</v>
      </c>
      <c r="N52" s="3">
        <f t="shared" si="8"/>
        <v>46709.320278845204</v>
      </c>
      <c r="O52" s="3">
        <f t="shared" si="9"/>
        <v>0</v>
      </c>
      <c r="P52" s="18">
        <f t="shared" si="10"/>
        <v>4.6278986923565949E-3</v>
      </c>
      <c r="Q52" s="3" t="s">
        <v>504</v>
      </c>
      <c r="R52" s="3">
        <f t="shared" si="11"/>
        <v>569853.70740191138</v>
      </c>
      <c r="S52" s="3">
        <v>0</v>
      </c>
      <c r="T52" t="s">
        <v>481</v>
      </c>
    </row>
    <row r="53" spans="1:20" ht="15" customHeight="1" x14ac:dyDescent="0.25">
      <c r="A53" t="s">
        <v>271</v>
      </c>
      <c r="B53" t="s">
        <v>274</v>
      </c>
      <c r="C53" t="s">
        <v>145</v>
      </c>
      <c r="D53" s="2">
        <v>13.8378747757752</v>
      </c>
      <c r="E53" s="3">
        <v>14303.0065076676</v>
      </c>
      <c r="F53" s="3">
        <f t="shared" si="0"/>
        <v>197923.212970202</v>
      </c>
      <c r="G53" s="3">
        <f t="shared" si="1"/>
        <v>162232.1417788541</v>
      </c>
      <c r="H53" s="3">
        <f t="shared" si="2"/>
        <v>35691.071191347903</v>
      </c>
      <c r="I53" s="3">
        <f t="shared" si="3"/>
        <v>21090.178431251028</v>
      </c>
      <c r="J53" s="3">
        <f t="shared" si="4"/>
        <v>56781.249622598931</v>
      </c>
      <c r="K53" s="3">
        <f t="shared" si="5"/>
        <v>35691.071191347903</v>
      </c>
      <c r="L53" s="3">
        <f t="shared" si="6"/>
        <v>12978.571342308329</v>
      </c>
      <c r="M53" s="3">
        <f t="shared" si="7"/>
        <v>19467.85701346249</v>
      </c>
      <c r="N53" s="3">
        <f t="shared" si="8"/>
        <v>16223.214177885411</v>
      </c>
      <c r="O53" s="3">
        <f t="shared" si="9"/>
        <v>0</v>
      </c>
      <c r="P53" s="18">
        <f t="shared" si="10"/>
        <v>1.6073749571059498E-3</v>
      </c>
      <c r="Q53" s="3" t="s">
        <v>504</v>
      </c>
      <c r="R53" s="3">
        <f t="shared" si="11"/>
        <v>197923.212970202</v>
      </c>
      <c r="S53" s="3">
        <v>0</v>
      </c>
      <c r="T53" t="s">
        <v>481</v>
      </c>
    </row>
    <row r="54" spans="1:20" ht="15" customHeight="1" x14ac:dyDescent="0.25">
      <c r="A54" s="13" t="s">
        <v>54</v>
      </c>
      <c r="B54" s="13"/>
      <c r="C54" s="13"/>
      <c r="D54" s="14">
        <f>SUM(D9:D53)</f>
        <v>92824.967540787562</v>
      </c>
      <c r="E54" s="13"/>
      <c r="F54" s="10">
        <f t="shared" ref="F54:O54" si="12">SUM(F9:F53)</f>
        <v>123134438.6045178</v>
      </c>
      <c r="G54" s="10">
        <f t="shared" si="12"/>
        <v>100929867.70862119</v>
      </c>
      <c r="H54" s="10">
        <f t="shared" si="12"/>
        <v>22204570.895896651</v>
      </c>
      <c r="I54" s="10">
        <f t="shared" si="12"/>
        <v>13120882.802120756</v>
      </c>
      <c r="J54" s="10">
        <f t="shared" si="12"/>
        <v>35325453.698017389</v>
      </c>
      <c r="K54" s="10">
        <f t="shared" si="12"/>
        <v>22204570.895896647</v>
      </c>
      <c r="L54" s="10">
        <f t="shared" si="12"/>
        <v>8074389.4166896911</v>
      </c>
      <c r="M54" s="10">
        <f t="shared" si="12"/>
        <v>12111584.125034537</v>
      </c>
      <c r="N54" s="10">
        <f t="shared" si="12"/>
        <v>10092986.770862117</v>
      </c>
      <c r="O54" s="10">
        <f t="shared" si="12"/>
        <v>0</v>
      </c>
      <c r="P54" s="19">
        <f>1</f>
        <v>1</v>
      </c>
      <c r="Q54" s="10">
        <f>SUM(Q9:Q53)</f>
        <v>0</v>
      </c>
      <c r="R54" s="10">
        <f>SUM(R9:R53)</f>
        <v>123134438.6045178</v>
      </c>
      <c r="S54" s="10">
        <f>SUM(S9:S53)</f>
        <v>0</v>
      </c>
      <c r="T54" s="13" t="s">
        <v>54</v>
      </c>
    </row>
    <row r="56" spans="1:20" ht="15" customHeight="1" x14ac:dyDescent="0.25">
      <c r="A56" s="1" t="s">
        <v>488</v>
      </c>
      <c r="B56" s="3">
        <f>R54</f>
        <v>123134438.6045178</v>
      </c>
    </row>
    <row r="57" spans="1:20" ht="15" customHeight="1" x14ac:dyDescent="0.25">
      <c r="A57" s="1" t="s">
        <v>61</v>
      </c>
      <c r="B57" s="3">
        <f>S54</f>
        <v>0</v>
      </c>
    </row>
    <row r="58" spans="1:20" ht="15" customHeight="1" x14ac:dyDescent="0.25">
      <c r="A58" s="1" t="s">
        <v>489</v>
      </c>
      <c r="B58" s="3">
        <f>B56+B57</f>
        <v>123134438.6045178</v>
      </c>
    </row>
  </sheetData>
  <mergeCells count="1">
    <mergeCell ref="A1:Q1"/>
  </mergeCells>
  <pageMargins left="0.75" right="0.75" top="1" bottom="1" header="0.511811023622047" footer="0.511811023622047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T58"/>
  <sheetViews>
    <sheetView showGridLines="0" zoomScaleNormal="100" workbookViewId="0">
      <pane ySplit="7" topLeftCell="A8" activePane="bottomLeft" state="frozen"/>
      <selection pane="bottomLeft"/>
    </sheetView>
  </sheetViews>
  <sheetFormatPr defaultColWidth="8.7109375" defaultRowHeight="15" x14ac:dyDescent="0.25"/>
  <cols>
    <col min="1" max="1" width="24" customWidth="1"/>
    <col min="2" max="2" width="68" customWidth="1"/>
    <col min="3" max="3" width="10" customWidth="1"/>
    <col min="4" max="4" width="14" customWidth="1"/>
    <col min="5" max="5" width="18" customWidth="1"/>
    <col min="6" max="7" width="20" customWidth="1"/>
    <col min="8" max="14" width="18" customWidth="1"/>
    <col min="15" max="15" width="22" customWidth="1"/>
    <col min="16" max="16" width="14" customWidth="1"/>
    <col min="17" max="17" width="36" customWidth="1"/>
    <col min="18" max="19" width="24" customWidth="1"/>
    <col min="20" max="20" width="28" customWidth="1"/>
  </cols>
  <sheetData>
    <row r="1" spans="1:20" ht="17.25" customHeight="1" x14ac:dyDescent="0.25">
      <c r="A1" s="31" t="s">
        <v>505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20" ht="15" customHeight="1" x14ac:dyDescent="0.25">
      <c r="A2" s="1" t="s">
        <v>47</v>
      </c>
      <c r="B2" t="s">
        <v>53</v>
      </c>
    </row>
    <row r="3" spans="1:20" ht="15" customHeight="1" x14ac:dyDescent="0.25">
      <c r="A3" s="1" t="s">
        <v>55</v>
      </c>
      <c r="B3" t="s">
        <v>75</v>
      </c>
    </row>
    <row r="4" spans="1:20" ht="15" customHeight="1" x14ac:dyDescent="0.25">
      <c r="A4" s="1" t="s">
        <v>57</v>
      </c>
      <c r="B4" s="2">
        <v>4500</v>
      </c>
    </row>
    <row r="5" spans="1:20" ht="15" customHeight="1" x14ac:dyDescent="0.25">
      <c r="A5" s="1" t="s">
        <v>467</v>
      </c>
      <c r="B5" s="3">
        <v>123134438.604518</v>
      </c>
    </row>
    <row r="6" spans="1:20" ht="15" customHeight="1" x14ac:dyDescent="0.25">
      <c r="A6" s="1" t="s">
        <v>468</v>
      </c>
      <c r="B6" t="s">
        <v>503</v>
      </c>
    </row>
    <row r="8" spans="1:20" ht="41.25" customHeight="1" x14ac:dyDescent="0.25">
      <c r="A8" s="12" t="s">
        <v>470</v>
      </c>
      <c r="B8" s="12" t="s">
        <v>180</v>
      </c>
      <c r="C8" s="12" t="s">
        <v>139</v>
      </c>
      <c r="D8" s="12" t="s">
        <v>140</v>
      </c>
      <c r="E8" s="12" t="s">
        <v>471</v>
      </c>
      <c r="F8" s="12" t="s">
        <v>472</v>
      </c>
      <c r="G8" s="12" t="s">
        <v>473</v>
      </c>
      <c r="H8" s="12" t="s">
        <v>181</v>
      </c>
      <c r="I8" s="12" t="s">
        <v>452</v>
      </c>
      <c r="J8" s="12" t="s">
        <v>454</v>
      </c>
      <c r="K8" s="12" t="s">
        <v>456</v>
      </c>
      <c r="L8" s="12" t="s">
        <v>457</v>
      </c>
      <c r="M8" s="12" t="s">
        <v>458</v>
      </c>
      <c r="N8" s="12" t="s">
        <v>459</v>
      </c>
      <c r="O8" s="12" t="s">
        <v>474</v>
      </c>
      <c r="P8" s="12" t="s">
        <v>475</v>
      </c>
      <c r="Q8" s="12" t="s">
        <v>476</v>
      </c>
      <c r="R8" s="12" t="s">
        <v>477</v>
      </c>
      <c r="S8" s="12" t="s">
        <v>61</v>
      </c>
      <c r="T8" s="12" t="s">
        <v>478</v>
      </c>
    </row>
    <row r="9" spans="1:20" ht="15" customHeight="1" x14ac:dyDescent="0.25">
      <c r="A9" t="s">
        <v>184</v>
      </c>
      <c r="B9" t="s">
        <v>185</v>
      </c>
      <c r="C9" t="s">
        <v>146</v>
      </c>
      <c r="D9" s="2">
        <v>1854.27521995387</v>
      </c>
      <c r="E9" s="3">
        <v>9051.9950220840401</v>
      </c>
      <c r="F9" s="3">
        <f t="shared" ref="F9:F53" si="0">D9*E9</f>
        <v>16784890.06059622</v>
      </c>
      <c r="G9" s="3">
        <f t="shared" ref="G9:G53" si="1">F9/1.22</f>
        <v>13758106.607046083</v>
      </c>
      <c r="H9" s="3">
        <f t="shared" ref="H9:H53" si="2">F9-G9</f>
        <v>3026783.4535501376</v>
      </c>
      <c r="I9" s="3">
        <f t="shared" ref="I9:I53" si="3">G9-SUM(J9:N9)</f>
        <v>1788553.8589159902</v>
      </c>
      <c r="J9" s="3">
        <f t="shared" ref="J9:J53" si="4">G9*0.35</f>
        <v>4815337.3124661287</v>
      </c>
      <c r="K9" s="3">
        <f t="shared" ref="K9:K53" si="5">G9*0.22</f>
        <v>3026783.453550138</v>
      </c>
      <c r="L9" s="3">
        <f t="shared" ref="L9:L53" si="6">G9*0.08</f>
        <v>1100648.5285636866</v>
      </c>
      <c r="M9" s="3">
        <f t="shared" ref="M9:M53" si="7">G9*0.12</f>
        <v>1650972.7928455297</v>
      </c>
      <c r="N9" s="3">
        <f t="shared" ref="N9:N53" si="8">G9*0.1</f>
        <v>1375810.6607046083</v>
      </c>
      <c r="O9" s="3">
        <f t="shared" ref="O9:O53" si="9">G9-SUM(I9:N9)</f>
        <v>0</v>
      </c>
      <c r="P9" s="18">
        <f t="shared" ref="P9:P53" si="10">IF($F$54=0,0,F9/$F$54)</f>
        <v>0.13631353056723469</v>
      </c>
      <c r="Q9" s="3" t="s">
        <v>504</v>
      </c>
      <c r="R9" s="3">
        <f t="shared" ref="R9:R53" si="11">F9</f>
        <v>16784890.06059622</v>
      </c>
      <c r="S9" s="3">
        <v>0</v>
      </c>
      <c r="T9" t="s">
        <v>481</v>
      </c>
    </row>
    <row r="10" spans="1:20" ht="15" customHeight="1" x14ac:dyDescent="0.25">
      <c r="A10" t="s">
        <v>189</v>
      </c>
      <c r="B10" t="s">
        <v>194</v>
      </c>
      <c r="C10" t="s">
        <v>112</v>
      </c>
      <c r="D10" s="2">
        <v>568.00632100452697</v>
      </c>
      <c r="E10" s="3">
        <v>118.896960122563</v>
      </c>
      <c r="F10" s="3">
        <f t="shared" si="0"/>
        <v>67534.224897838969</v>
      </c>
      <c r="G10" s="3">
        <f t="shared" si="1"/>
        <v>55355.922047408989</v>
      </c>
      <c r="H10" s="3">
        <f t="shared" si="2"/>
        <v>12178.30285042998</v>
      </c>
      <c r="I10" s="3">
        <f t="shared" si="3"/>
        <v>7196.269866163173</v>
      </c>
      <c r="J10" s="3">
        <f t="shared" si="4"/>
        <v>19374.572716593146</v>
      </c>
      <c r="K10" s="3">
        <f t="shared" si="5"/>
        <v>12178.302850429978</v>
      </c>
      <c r="L10" s="3">
        <f t="shared" si="6"/>
        <v>4428.4737637927192</v>
      </c>
      <c r="M10" s="3">
        <f t="shared" si="7"/>
        <v>6642.7106456890788</v>
      </c>
      <c r="N10" s="3">
        <f t="shared" si="8"/>
        <v>5535.5922047408994</v>
      </c>
      <c r="O10" s="3">
        <f t="shared" si="9"/>
        <v>0</v>
      </c>
      <c r="P10" s="18">
        <f t="shared" si="10"/>
        <v>5.4845927478294559E-4</v>
      </c>
      <c r="Q10" s="3" t="s">
        <v>504</v>
      </c>
      <c r="R10" s="3">
        <f t="shared" si="11"/>
        <v>67534.224897838969</v>
      </c>
      <c r="S10" s="3">
        <v>0</v>
      </c>
      <c r="T10" t="s">
        <v>481</v>
      </c>
    </row>
    <row r="11" spans="1:20" ht="15" customHeight="1" x14ac:dyDescent="0.25">
      <c r="A11" t="s">
        <v>189</v>
      </c>
      <c r="B11" t="s">
        <v>200</v>
      </c>
      <c r="C11" t="s">
        <v>112</v>
      </c>
      <c r="D11" s="2">
        <v>18.488938242077399</v>
      </c>
      <c r="E11" s="3">
        <v>118.896960122563</v>
      </c>
      <c r="F11" s="3">
        <f t="shared" si="0"/>
        <v>2198.2785528768068</v>
      </c>
      <c r="G11" s="3">
        <f t="shared" si="1"/>
        <v>1801.8676662924647</v>
      </c>
      <c r="H11" s="3">
        <f t="shared" si="2"/>
        <v>396.41088658434205</v>
      </c>
      <c r="I11" s="3">
        <f t="shared" si="3"/>
        <v>234.24279661802052</v>
      </c>
      <c r="J11" s="3">
        <f t="shared" si="4"/>
        <v>630.65368320236257</v>
      </c>
      <c r="K11" s="3">
        <f t="shared" si="5"/>
        <v>396.41088658434222</v>
      </c>
      <c r="L11" s="3">
        <f t="shared" si="6"/>
        <v>144.14941330339718</v>
      </c>
      <c r="M11" s="3">
        <f t="shared" si="7"/>
        <v>216.22411995509574</v>
      </c>
      <c r="N11" s="3">
        <f t="shared" si="8"/>
        <v>180.18676662924648</v>
      </c>
      <c r="O11" s="3">
        <f t="shared" si="9"/>
        <v>0</v>
      </c>
      <c r="P11" s="18">
        <f t="shared" si="10"/>
        <v>1.7852670445326997E-5</v>
      </c>
      <c r="Q11" s="3" t="s">
        <v>504</v>
      </c>
      <c r="R11" s="3">
        <f t="shared" si="11"/>
        <v>2198.2785528768068</v>
      </c>
      <c r="S11" s="3">
        <v>0</v>
      </c>
      <c r="T11" t="s">
        <v>481</v>
      </c>
    </row>
    <row r="12" spans="1:20" ht="15" customHeight="1" x14ac:dyDescent="0.25">
      <c r="A12" t="s">
        <v>189</v>
      </c>
      <c r="B12" t="s">
        <v>201</v>
      </c>
      <c r="C12" t="s">
        <v>112</v>
      </c>
      <c r="D12" s="2">
        <v>15.9135559921415</v>
      </c>
      <c r="E12" s="3">
        <v>118.896960122563</v>
      </c>
      <c r="F12" s="3">
        <f t="shared" si="0"/>
        <v>1892.0734322058215</v>
      </c>
      <c r="G12" s="3">
        <f t="shared" si="1"/>
        <v>1550.8798624637882</v>
      </c>
      <c r="H12" s="3">
        <f t="shared" si="2"/>
        <v>341.19356974203333</v>
      </c>
      <c r="I12" s="3">
        <f t="shared" si="3"/>
        <v>201.61438212029248</v>
      </c>
      <c r="J12" s="3">
        <f t="shared" si="4"/>
        <v>542.80795186232581</v>
      </c>
      <c r="K12" s="3">
        <f t="shared" si="5"/>
        <v>341.19356974203339</v>
      </c>
      <c r="L12" s="3">
        <f t="shared" si="6"/>
        <v>124.07038899710305</v>
      </c>
      <c r="M12" s="3">
        <f t="shared" si="7"/>
        <v>186.10558349565457</v>
      </c>
      <c r="N12" s="3">
        <f t="shared" si="8"/>
        <v>155.08798624637882</v>
      </c>
      <c r="O12" s="3">
        <f t="shared" si="9"/>
        <v>0</v>
      </c>
      <c r="P12" s="18">
        <f t="shared" si="10"/>
        <v>1.536591593423159E-5</v>
      </c>
      <c r="Q12" s="3" t="s">
        <v>504</v>
      </c>
      <c r="R12" s="3">
        <f t="shared" si="11"/>
        <v>1892.0734322058215</v>
      </c>
      <c r="S12" s="3">
        <v>0</v>
      </c>
      <c r="T12" t="s">
        <v>481</v>
      </c>
    </row>
    <row r="13" spans="1:20" ht="15" customHeight="1" x14ac:dyDescent="0.25">
      <c r="A13" t="s">
        <v>189</v>
      </c>
      <c r="B13" t="s">
        <v>202</v>
      </c>
      <c r="C13" t="s">
        <v>112</v>
      </c>
      <c r="D13" s="2">
        <v>4.9585717946527703</v>
      </c>
      <c r="E13" s="3">
        <v>118.896960122563</v>
      </c>
      <c r="F13" s="3">
        <f t="shared" si="0"/>
        <v>589.55911293369604</v>
      </c>
      <c r="G13" s="3">
        <f t="shared" si="1"/>
        <v>483.24517453581643</v>
      </c>
      <c r="H13" s="3">
        <f t="shared" si="2"/>
        <v>106.31393839787961</v>
      </c>
      <c r="I13" s="3">
        <f t="shared" si="3"/>
        <v>62.821872689656175</v>
      </c>
      <c r="J13" s="3">
        <f t="shared" si="4"/>
        <v>169.13581108753573</v>
      </c>
      <c r="K13" s="3">
        <f t="shared" si="5"/>
        <v>106.31393839787961</v>
      </c>
      <c r="L13" s="3">
        <f t="shared" si="6"/>
        <v>38.659613962865315</v>
      </c>
      <c r="M13" s="3">
        <f t="shared" si="7"/>
        <v>57.989420944297969</v>
      </c>
      <c r="N13" s="3">
        <f t="shared" si="8"/>
        <v>48.324517453581649</v>
      </c>
      <c r="O13" s="3">
        <f t="shared" si="9"/>
        <v>0</v>
      </c>
      <c r="P13" s="18">
        <f t="shared" si="10"/>
        <v>4.787930327333016E-6</v>
      </c>
      <c r="Q13" s="3" t="s">
        <v>504</v>
      </c>
      <c r="R13" s="3">
        <f t="shared" si="11"/>
        <v>589.55911293369604</v>
      </c>
      <c r="S13" s="3">
        <v>0</v>
      </c>
      <c r="T13" t="s">
        <v>481</v>
      </c>
    </row>
    <row r="14" spans="1:20" ht="15" customHeight="1" x14ac:dyDescent="0.25">
      <c r="A14" t="s">
        <v>189</v>
      </c>
      <c r="B14" t="s">
        <v>203</v>
      </c>
      <c r="C14" t="s">
        <v>112</v>
      </c>
      <c r="D14" s="2">
        <v>30.058939096267199</v>
      </c>
      <c r="E14" s="3">
        <v>118.896960122563</v>
      </c>
      <c r="F14" s="3">
        <f t="shared" si="0"/>
        <v>3573.9164830554309</v>
      </c>
      <c r="G14" s="3">
        <f t="shared" si="1"/>
        <v>2929.4397402093696</v>
      </c>
      <c r="H14" s="3">
        <f t="shared" si="2"/>
        <v>644.47674284606137</v>
      </c>
      <c r="I14" s="3">
        <f t="shared" si="3"/>
        <v>380.82716622721819</v>
      </c>
      <c r="J14" s="3">
        <f t="shared" si="4"/>
        <v>1025.3039090732793</v>
      </c>
      <c r="K14" s="3">
        <f t="shared" si="5"/>
        <v>644.47674284606126</v>
      </c>
      <c r="L14" s="3">
        <f t="shared" si="6"/>
        <v>234.35517921674958</v>
      </c>
      <c r="M14" s="3">
        <f t="shared" si="7"/>
        <v>351.53276882512432</v>
      </c>
      <c r="N14" s="3">
        <f t="shared" si="8"/>
        <v>292.94397402093699</v>
      </c>
      <c r="O14" s="3">
        <f t="shared" si="9"/>
        <v>0</v>
      </c>
      <c r="P14" s="18">
        <f t="shared" si="10"/>
        <v>2.90245078757707E-5</v>
      </c>
      <c r="Q14" s="3" t="s">
        <v>504</v>
      </c>
      <c r="R14" s="3">
        <f t="shared" si="11"/>
        <v>3573.9164830554309</v>
      </c>
      <c r="S14" s="3">
        <v>0</v>
      </c>
      <c r="T14" t="s">
        <v>481</v>
      </c>
    </row>
    <row r="15" spans="1:20" ht="15" customHeight="1" x14ac:dyDescent="0.25">
      <c r="A15" t="s">
        <v>189</v>
      </c>
      <c r="B15" t="s">
        <v>204</v>
      </c>
      <c r="C15" t="s">
        <v>112</v>
      </c>
      <c r="D15" s="2">
        <v>24.754420432220002</v>
      </c>
      <c r="E15" s="3">
        <v>118.896960122563</v>
      </c>
      <c r="F15" s="3">
        <f t="shared" si="0"/>
        <v>2943.2253389868201</v>
      </c>
      <c r="G15" s="3">
        <f t="shared" si="1"/>
        <v>2412.4797860547706</v>
      </c>
      <c r="H15" s="3">
        <f t="shared" si="2"/>
        <v>530.74555293204958</v>
      </c>
      <c r="I15" s="3">
        <f t="shared" si="3"/>
        <v>313.62237218712016</v>
      </c>
      <c r="J15" s="3">
        <f t="shared" si="4"/>
        <v>844.36792511916963</v>
      </c>
      <c r="K15" s="3">
        <f t="shared" si="5"/>
        <v>530.74555293204958</v>
      </c>
      <c r="L15" s="3">
        <f t="shared" si="6"/>
        <v>192.99838288438164</v>
      </c>
      <c r="M15" s="3">
        <f t="shared" si="7"/>
        <v>289.49757432657248</v>
      </c>
      <c r="N15" s="3">
        <f t="shared" si="8"/>
        <v>241.24797860547707</v>
      </c>
      <c r="O15" s="3">
        <f t="shared" si="9"/>
        <v>0</v>
      </c>
      <c r="P15" s="18">
        <f t="shared" si="10"/>
        <v>2.3902535897693476E-5</v>
      </c>
      <c r="Q15" s="3" t="s">
        <v>504</v>
      </c>
      <c r="R15" s="3">
        <f t="shared" si="11"/>
        <v>2943.2253389868201</v>
      </c>
      <c r="S15" s="3">
        <v>0</v>
      </c>
      <c r="T15" t="s">
        <v>481</v>
      </c>
    </row>
    <row r="16" spans="1:20" ht="15" customHeight="1" x14ac:dyDescent="0.25">
      <c r="A16" t="s">
        <v>189</v>
      </c>
      <c r="B16" t="s">
        <v>205</v>
      </c>
      <c r="C16" t="s">
        <v>112</v>
      </c>
      <c r="D16" s="2">
        <v>13.030665413855001</v>
      </c>
      <c r="E16" s="3">
        <v>118.896960122563</v>
      </c>
      <c r="F16" s="3">
        <f t="shared" si="0"/>
        <v>1549.3065060815788</v>
      </c>
      <c r="G16" s="3">
        <f t="shared" si="1"/>
        <v>1269.9233656406384</v>
      </c>
      <c r="H16" s="3">
        <f t="shared" si="2"/>
        <v>279.38314044094045</v>
      </c>
      <c r="I16" s="3">
        <f t="shared" si="3"/>
        <v>165.09003753328307</v>
      </c>
      <c r="J16" s="3">
        <f t="shared" si="4"/>
        <v>444.4731779742234</v>
      </c>
      <c r="K16" s="3">
        <f t="shared" si="5"/>
        <v>279.38314044094045</v>
      </c>
      <c r="L16" s="3">
        <f t="shared" si="6"/>
        <v>101.59386925125108</v>
      </c>
      <c r="M16" s="3">
        <f t="shared" si="7"/>
        <v>152.39080387687659</v>
      </c>
      <c r="N16" s="3">
        <f t="shared" si="8"/>
        <v>126.99233656406385</v>
      </c>
      <c r="O16" s="3">
        <f t="shared" si="9"/>
        <v>0</v>
      </c>
      <c r="P16" s="18">
        <f t="shared" si="10"/>
        <v>1.2582235511363552E-5</v>
      </c>
      <c r="Q16" s="3" t="s">
        <v>504</v>
      </c>
      <c r="R16" s="3">
        <f t="shared" si="11"/>
        <v>1549.3065060815788</v>
      </c>
      <c r="S16" s="3">
        <v>0</v>
      </c>
      <c r="T16" t="s">
        <v>481</v>
      </c>
    </row>
    <row r="17" spans="1:20" ht="15" customHeight="1" x14ac:dyDescent="0.25">
      <c r="A17" t="s">
        <v>206</v>
      </c>
      <c r="B17" t="s">
        <v>209</v>
      </c>
      <c r="C17" t="s">
        <v>112</v>
      </c>
      <c r="D17" s="2">
        <v>63.308277099171399</v>
      </c>
      <c r="E17" s="3">
        <v>118.896960122563</v>
      </c>
      <c r="F17" s="3">
        <f t="shared" si="0"/>
        <v>7527.1616976883506</v>
      </c>
      <c r="G17" s="3">
        <f t="shared" si="1"/>
        <v>6169.8046702363526</v>
      </c>
      <c r="H17" s="3">
        <f t="shared" si="2"/>
        <v>1357.357027451998</v>
      </c>
      <c r="I17" s="3">
        <f t="shared" si="3"/>
        <v>802.07460713072578</v>
      </c>
      <c r="J17" s="3">
        <f t="shared" si="4"/>
        <v>2159.4316345827233</v>
      </c>
      <c r="K17" s="3">
        <f t="shared" si="5"/>
        <v>1357.3570274519975</v>
      </c>
      <c r="L17" s="3">
        <f t="shared" si="6"/>
        <v>493.58437361890822</v>
      </c>
      <c r="M17" s="3">
        <f t="shared" si="7"/>
        <v>740.37656042836227</v>
      </c>
      <c r="N17" s="3">
        <f t="shared" si="8"/>
        <v>616.98046702363536</v>
      </c>
      <c r="O17" s="3">
        <f t="shared" si="9"/>
        <v>0</v>
      </c>
      <c r="P17" s="18">
        <f t="shared" si="10"/>
        <v>6.1129622086181982E-5</v>
      </c>
      <c r="Q17" s="3" t="s">
        <v>504</v>
      </c>
      <c r="R17" s="3">
        <f t="shared" si="11"/>
        <v>7527.1616976883506</v>
      </c>
      <c r="S17" s="3">
        <v>0</v>
      </c>
      <c r="T17" t="s">
        <v>481</v>
      </c>
    </row>
    <row r="18" spans="1:20" ht="15" customHeight="1" x14ac:dyDescent="0.25">
      <c r="A18" t="s">
        <v>206</v>
      </c>
      <c r="B18" t="s">
        <v>213</v>
      </c>
      <c r="C18" t="s">
        <v>112</v>
      </c>
      <c r="D18" s="2">
        <v>18.565815324165001</v>
      </c>
      <c r="E18" s="3">
        <v>118.896960122563</v>
      </c>
      <c r="F18" s="3">
        <f t="shared" si="0"/>
        <v>2207.4190042401151</v>
      </c>
      <c r="G18" s="3">
        <f t="shared" si="1"/>
        <v>1809.3598395410779</v>
      </c>
      <c r="H18" s="3">
        <f t="shared" si="2"/>
        <v>398.05916469903718</v>
      </c>
      <c r="I18" s="3">
        <f t="shared" si="3"/>
        <v>235.21677914034035</v>
      </c>
      <c r="J18" s="3">
        <f t="shared" si="4"/>
        <v>633.27594383937719</v>
      </c>
      <c r="K18" s="3">
        <f t="shared" si="5"/>
        <v>398.05916469903713</v>
      </c>
      <c r="L18" s="3">
        <f t="shared" si="6"/>
        <v>144.74878716328624</v>
      </c>
      <c r="M18" s="3">
        <f t="shared" si="7"/>
        <v>217.12318074492933</v>
      </c>
      <c r="N18" s="3">
        <f t="shared" si="8"/>
        <v>180.9359839541078</v>
      </c>
      <c r="O18" s="3">
        <f t="shared" si="9"/>
        <v>0</v>
      </c>
      <c r="P18" s="18">
        <f t="shared" si="10"/>
        <v>1.7926901923270106E-5</v>
      </c>
      <c r="Q18" s="3" t="s">
        <v>504</v>
      </c>
      <c r="R18" s="3">
        <f t="shared" si="11"/>
        <v>2207.4190042401151</v>
      </c>
      <c r="S18" s="3">
        <v>0</v>
      </c>
      <c r="T18" t="s">
        <v>481</v>
      </c>
    </row>
    <row r="19" spans="1:20" ht="15" customHeight="1" x14ac:dyDescent="0.25">
      <c r="A19" t="s">
        <v>214</v>
      </c>
      <c r="B19" t="s">
        <v>215</v>
      </c>
      <c r="C19" t="s">
        <v>146</v>
      </c>
      <c r="D19" s="2">
        <v>1.9219270521909999</v>
      </c>
      <c r="E19" s="3">
        <v>9051.9950220840401</v>
      </c>
      <c r="F19" s="3">
        <f t="shared" si="0"/>
        <v>17397.274109241585</v>
      </c>
      <c r="G19" s="3">
        <f t="shared" si="1"/>
        <v>14260.060745279989</v>
      </c>
      <c r="H19" s="3">
        <f t="shared" si="2"/>
        <v>3137.2133639615968</v>
      </c>
      <c r="I19" s="3">
        <f t="shared" si="3"/>
        <v>1853.8078968863992</v>
      </c>
      <c r="J19" s="3">
        <f t="shared" si="4"/>
        <v>4991.021260847996</v>
      </c>
      <c r="K19" s="3">
        <f t="shared" si="5"/>
        <v>3137.2133639615977</v>
      </c>
      <c r="L19" s="3">
        <f t="shared" si="6"/>
        <v>1140.8048596223991</v>
      </c>
      <c r="M19" s="3">
        <f t="shared" si="7"/>
        <v>1711.2072894335986</v>
      </c>
      <c r="N19" s="3">
        <f t="shared" si="8"/>
        <v>1426.0060745279989</v>
      </c>
      <c r="O19" s="3">
        <f t="shared" si="9"/>
        <v>0</v>
      </c>
      <c r="P19" s="18">
        <f t="shared" si="10"/>
        <v>1.4128682687317081E-4</v>
      </c>
      <c r="Q19" s="3" t="s">
        <v>504</v>
      </c>
      <c r="R19" s="3">
        <f t="shared" si="11"/>
        <v>17397.274109241585</v>
      </c>
      <c r="S19" s="3">
        <v>0</v>
      </c>
      <c r="T19" t="s">
        <v>481</v>
      </c>
    </row>
    <row r="20" spans="1:20" ht="15" customHeight="1" x14ac:dyDescent="0.25">
      <c r="A20" t="s">
        <v>214</v>
      </c>
      <c r="B20" t="s">
        <v>216</v>
      </c>
      <c r="C20" t="s">
        <v>112</v>
      </c>
      <c r="D20" s="2">
        <v>136.841206115999</v>
      </c>
      <c r="E20" s="3">
        <v>118.896960122563</v>
      </c>
      <c r="F20" s="3">
        <f t="shared" si="0"/>
        <v>16270.003426697358</v>
      </c>
      <c r="G20" s="3">
        <f t="shared" si="1"/>
        <v>13336.068382538819</v>
      </c>
      <c r="H20" s="3">
        <f t="shared" si="2"/>
        <v>2933.9350441585393</v>
      </c>
      <c r="I20" s="3">
        <f t="shared" si="3"/>
        <v>1733.6888897300469</v>
      </c>
      <c r="J20" s="3">
        <f t="shared" si="4"/>
        <v>4667.6239338885862</v>
      </c>
      <c r="K20" s="3">
        <f t="shared" si="5"/>
        <v>2933.9350441585402</v>
      </c>
      <c r="L20" s="3">
        <f t="shared" si="6"/>
        <v>1066.8854706031054</v>
      </c>
      <c r="M20" s="3">
        <f t="shared" si="7"/>
        <v>1600.3282059046583</v>
      </c>
      <c r="N20" s="3">
        <f t="shared" si="8"/>
        <v>1333.606838253882</v>
      </c>
      <c r="O20" s="3">
        <f t="shared" si="9"/>
        <v>0</v>
      </c>
      <c r="P20" s="18">
        <f t="shared" si="10"/>
        <v>1.3213203073880267E-4</v>
      </c>
      <c r="Q20" s="3" t="s">
        <v>504</v>
      </c>
      <c r="R20" s="3">
        <f t="shared" si="11"/>
        <v>16270.003426697358</v>
      </c>
      <c r="S20" s="3">
        <v>0</v>
      </c>
      <c r="T20" t="s">
        <v>481</v>
      </c>
    </row>
    <row r="21" spans="1:20" ht="15" customHeight="1" x14ac:dyDescent="0.25">
      <c r="A21" t="s">
        <v>214</v>
      </c>
      <c r="B21" t="s">
        <v>219</v>
      </c>
      <c r="C21" t="s">
        <v>146</v>
      </c>
      <c r="D21" s="2">
        <v>1.30691039548988</v>
      </c>
      <c r="E21" s="3">
        <v>9051.9950220840401</v>
      </c>
      <c r="F21" s="3">
        <f t="shared" si="0"/>
        <v>11830.146394284278</v>
      </c>
      <c r="G21" s="3">
        <f t="shared" si="1"/>
        <v>9696.841306790393</v>
      </c>
      <c r="H21" s="3">
        <f t="shared" si="2"/>
        <v>2133.3050874938854</v>
      </c>
      <c r="I21" s="3">
        <f t="shared" si="3"/>
        <v>1260.5893698827513</v>
      </c>
      <c r="J21" s="3">
        <f t="shared" si="4"/>
        <v>3393.8944573766375</v>
      </c>
      <c r="K21" s="3">
        <f t="shared" si="5"/>
        <v>2133.3050874938863</v>
      </c>
      <c r="L21" s="3">
        <f t="shared" si="6"/>
        <v>775.74730454323151</v>
      </c>
      <c r="M21" s="3">
        <f t="shared" si="7"/>
        <v>1163.6209568148472</v>
      </c>
      <c r="N21" s="3">
        <f t="shared" si="8"/>
        <v>969.6841306790393</v>
      </c>
      <c r="O21" s="3">
        <f t="shared" si="9"/>
        <v>0</v>
      </c>
      <c r="P21" s="18">
        <f t="shared" si="10"/>
        <v>9.6075042273756142E-5</v>
      </c>
      <c r="Q21" s="3" t="s">
        <v>504</v>
      </c>
      <c r="R21" s="3">
        <f t="shared" si="11"/>
        <v>11830.146394284278</v>
      </c>
      <c r="S21" s="3">
        <v>0</v>
      </c>
      <c r="T21" t="s">
        <v>481</v>
      </c>
    </row>
    <row r="22" spans="1:20" ht="15" customHeight="1" x14ac:dyDescent="0.25">
      <c r="A22" t="s">
        <v>214</v>
      </c>
      <c r="B22" t="s">
        <v>220</v>
      </c>
      <c r="C22" t="s">
        <v>112</v>
      </c>
      <c r="D22" s="2">
        <v>236.16639617323</v>
      </c>
      <c r="E22" s="3">
        <v>118.896960122563</v>
      </c>
      <c r="F22" s="3">
        <f t="shared" si="0"/>
        <v>28079.466588097941</v>
      </c>
      <c r="G22" s="3">
        <f t="shared" si="1"/>
        <v>23015.95621975241</v>
      </c>
      <c r="H22" s="3">
        <f t="shared" si="2"/>
        <v>5063.5103683455309</v>
      </c>
      <c r="I22" s="3">
        <f t="shared" si="3"/>
        <v>2992.074308567815</v>
      </c>
      <c r="J22" s="3">
        <f t="shared" si="4"/>
        <v>8055.5846769133432</v>
      </c>
      <c r="K22" s="3">
        <f t="shared" si="5"/>
        <v>5063.51036834553</v>
      </c>
      <c r="L22" s="3">
        <f t="shared" si="6"/>
        <v>1841.2764975801929</v>
      </c>
      <c r="M22" s="3">
        <f t="shared" si="7"/>
        <v>2761.9147463702893</v>
      </c>
      <c r="N22" s="3">
        <f t="shared" si="8"/>
        <v>2301.5956219752411</v>
      </c>
      <c r="O22" s="3">
        <f t="shared" si="9"/>
        <v>0</v>
      </c>
      <c r="P22" s="18">
        <f t="shared" si="10"/>
        <v>2.2803910024134959E-4</v>
      </c>
      <c r="Q22" s="3" t="s">
        <v>504</v>
      </c>
      <c r="R22" s="3">
        <f t="shared" si="11"/>
        <v>28079.466588097941</v>
      </c>
      <c r="S22" s="3">
        <v>0</v>
      </c>
      <c r="T22" t="s">
        <v>481</v>
      </c>
    </row>
    <row r="23" spans="1:20" ht="15" customHeight="1" x14ac:dyDescent="0.25">
      <c r="A23" t="s">
        <v>214</v>
      </c>
      <c r="B23" t="s">
        <v>223</v>
      </c>
      <c r="C23" t="s">
        <v>112</v>
      </c>
      <c r="D23" s="2">
        <v>16.6054497309302</v>
      </c>
      <c r="E23" s="3">
        <v>118.896960122563</v>
      </c>
      <c r="F23" s="3">
        <f t="shared" si="0"/>
        <v>1974.3374944756324</v>
      </c>
      <c r="G23" s="3">
        <f t="shared" si="1"/>
        <v>1618.3094217013381</v>
      </c>
      <c r="H23" s="3">
        <f t="shared" si="2"/>
        <v>356.02807277429429</v>
      </c>
      <c r="I23" s="3">
        <f t="shared" si="3"/>
        <v>210.38022482117412</v>
      </c>
      <c r="J23" s="3">
        <f t="shared" si="4"/>
        <v>566.4082975954683</v>
      </c>
      <c r="K23" s="3">
        <f t="shared" si="5"/>
        <v>356.0280727742944</v>
      </c>
      <c r="L23" s="3">
        <f t="shared" si="6"/>
        <v>129.46475373610704</v>
      </c>
      <c r="M23" s="3">
        <f t="shared" si="7"/>
        <v>194.19713060416058</v>
      </c>
      <c r="N23" s="3">
        <f t="shared" si="8"/>
        <v>161.83094217013382</v>
      </c>
      <c r="O23" s="3">
        <f t="shared" si="9"/>
        <v>0</v>
      </c>
      <c r="P23" s="18">
        <f t="shared" si="10"/>
        <v>1.603399923571986E-5</v>
      </c>
      <c r="Q23" s="3" t="s">
        <v>504</v>
      </c>
      <c r="R23" s="3">
        <f t="shared" si="11"/>
        <v>1974.3374944756324</v>
      </c>
      <c r="S23" s="3">
        <v>0</v>
      </c>
      <c r="T23" t="s">
        <v>481</v>
      </c>
    </row>
    <row r="24" spans="1:20" ht="15" customHeight="1" x14ac:dyDescent="0.25">
      <c r="A24" t="s">
        <v>224</v>
      </c>
      <c r="B24" t="s">
        <v>226</v>
      </c>
      <c r="C24" t="s">
        <v>112</v>
      </c>
      <c r="D24" s="2">
        <v>18.4504997010336</v>
      </c>
      <c r="E24" s="3">
        <v>118.896960122563</v>
      </c>
      <c r="F24" s="3">
        <f t="shared" si="0"/>
        <v>2193.7083271951524</v>
      </c>
      <c r="G24" s="3">
        <f t="shared" si="1"/>
        <v>1798.1215796681577</v>
      </c>
      <c r="H24" s="3">
        <f t="shared" si="2"/>
        <v>395.58674752699471</v>
      </c>
      <c r="I24" s="3">
        <f t="shared" si="3"/>
        <v>233.75580535686049</v>
      </c>
      <c r="J24" s="3">
        <f t="shared" si="4"/>
        <v>629.34255288385509</v>
      </c>
      <c r="K24" s="3">
        <f t="shared" si="5"/>
        <v>395.58674752699471</v>
      </c>
      <c r="L24" s="3">
        <f t="shared" si="6"/>
        <v>143.84972637345263</v>
      </c>
      <c r="M24" s="3">
        <f t="shared" si="7"/>
        <v>215.77458956017892</v>
      </c>
      <c r="N24" s="3">
        <f t="shared" si="8"/>
        <v>179.81215796681579</v>
      </c>
      <c r="O24" s="3">
        <f t="shared" si="9"/>
        <v>0</v>
      </c>
      <c r="P24" s="18">
        <f t="shared" si="10"/>
        <v>1.7815554706355442E-5</v>
      </c>
      <c r="Q24" s="3" t="s">
        <v>504</v>
      </c>
      <c r="R24" s="3">
        <f t="shared" si="11"/>
        <v>2193.7083271951524</v>
      </c>
      <c r="S24" s="3">
        <v>0</v>
      </c>
      <c r="T24" t="s">
        <v>481</v>
      </c>
    </row>
    <row r="25" spans="1:20" ht="15" customHeight="1" x14ac:dyDescent="0.25">
      <c r="A25" t="s">
        <v>224</v>
      </c>
      <c r="B25" t="s">
        <v>227</v>
      </c>
      <c r="C25" t="s">
        <v>112</v>
      </c>
      <c r="D25" s="2">
        <v>6.9189373878875902</v>
      </c>
      <c r="E25" s="3">
        <v>118.896960122563</v>
      </c>
      <c r="F25" s="3">
        <f t="shared" si="0"/>
        <v>822.64062269818101</v>
      </c>
      <c r="G25" s="3">
        <f t="shared" si="1"/>
        <v>674.29559237555827</v>
      </c>
      <c r="H25" s="3">
        <f t="shared" si="2"/>
        <v>148.34503032262273</v>
      </c>
      <c r="I25" s="3">
        <f t="shared" si="3"/>
        <v>87.658427008822628</v>
      </c>
      <c r="J25" s="3">
        <f t="shared" si="4"/>
        <v>236.00345733144539</v>
      </c>
      <c r="K25" s="3">
        <f t="shared" si="5"/>
        <v>148.34503032262282</v>
      </c>
      <c r="L25" s="3">
        <f t="shared" si="6"/>
        <v>53.94364739004466</v>
      </c>
      <c r="M25" s="3">
        <f t="shared" si="7"/>
        <v>80.915471085066983</v>
      </c>
      <c r="N25" s="3">
        <f t="shared" si="8"/>
        <v>67.429559237555836</v>
      </c>
      <c r="O25" s="3">
        <f t="shared" si="9"/>
        <v>0</v>
      </c>
      <c r="P25" s="18">
        <f t="shared" si="10"/>
        <v>6.6808330148832819E-6</v>
      </c>
      <c r="Q25" s="3" t="s">
        <v>504</v>
      </c>
      <c r="R25" s="3">
        <f t="shared" si="11"/>
        <v>822.64062269818101</v>
      </c>
      <c r="S25" s="3">
        <v>0</v>
      </c>
      <c r="T25" t="s">
        <v>481</v>
      </c>
    </row>
    <row r="26" spans="1:20" ht="15" customHeight="1" x14ac:dyDescent="0.25">
      <c r="A26" t="s">
        <v>224</v>
      </c>
      <c r="B26" t="s">
        <v>230</v>
      </c>
      <c r="C26" t="s">
        <v>112</v>
      </c>
      <c r="D26" s="2">
        <v>36.132228581190702</v>
      </c>
      <c r="E26" s="3">
        <v>118.896960122563</v>
      </c>
      <c r="F26" s="3">
        <f t="shared" si="0"/>
        <v>4296.0121407571623</v>
      </c>
      <c r="G26" s="3">
        <f t="shared" si="1"/>
        <v>3521.3214268501333</v>
      </c>
      <c r="H26" s="3">
        <f t="shared" si="2"/>
        <v>774.69071390702902</v>
      </c>
      <c r="I26" s="3">
        <f t="shared" si="3"/>
        <v>457.77178549051769</v>
      </c>
      <c r="J26" s="3">
        <f t="shared" si="4"/>
        <v>1232.4624993975465</v>
      </c>
      <c r="K26" s="3">
        <f t="shared" si="5"/>
        <v>774.69071390702936</v>
      </c>
      <c r="L26" s="3">
        <f t="shared" si="6"/>
        <v>281.70571414801066</v>
      </c>
      <c r="M26" s="3">
        <f t="shared" si="7"/>
        <v>422.55857122201598</v>
      </c>
      <c r="N26" s="3">
        <f t="shared" si="8"/>
        <v>352.13214268501338</v>
      </c>
      <c r="O26" s="3">
        <f t="shared" si="9"/>
        <v>0</v>
      </c>
      <c r="P26" s="18">
        <f t="shared" si="10"/>
        <v>3.4888794633279318E-5</v>
      </c>
      <c r="Q26" s="3" t="s">
        <v>504</v>
      </c>
      <c r="R26" s="3">
        <f t="shared" si="11"/>
        <v>4296.0121407571623</v>
      </c>
      <c r="S26" s="3">
        <v>0</v>
      </c>
      <c r="T26" t="s">
        <v>481</v>
      </c>
    </row>
    <row r="27" spans="1:20" ht="15" customHeight="1" x14ac:dyDescent="0.25">
      <c r="A27" t="s">
        <v>224</v>
      </c>
      <c r="B27" t="s">
        <v>231</v>
      </c>
      <c r="C27" t="s">
        <v>112</v>
      </c>
      <c r="D27" s="2">
        <v>79.952165371145497</v>
      </c>
      <c r="E27" s="3">
        <v>118.896960122563</v>
      </c>
      <c r="F27" s="3">
        <f t="shared" si="0"/>
        <v>9506.0694178456488</v>
      </c>
      <c r="G27" s="3">
        <f t="shared" si="1"/>
        <v>7791.8601785620076</v>
      </c>
      <c r="H27" s="3">
        <f t="shared" si="2"/>
        <v>1714.2092392836412</v>
      </c>
      <c r="I27" s="3">
        <f t="shared" si="3"/>
        <v>1012.9418232130602</v>
      </c>
      <c r="J27" s="3">
        <f t="shared" si="4"/>
        <v>2727.1510624967027</v>
      </c>
      <c r="K27" s="3">
        <f t="shared" si="5"/>
        <v>1714.2092392836416</v>
      </c>
      <c r="L27" s="3">
        <f t="shared" si="6"/>
        <v>623.34881428496067</v>
      </c>
      <c r="M27" s="3">
        <f t="shared" si="7"/>
        <v>935.02322142744083</v>
      </c>
      <c r="N27" s="3">
        <f t="shared" si="8"/>
        <v>779.18601785620081</v>
      </c>
      <c r="O27" s="3">
        <f t="shared" si="9"/>
        <v>0</v>
      </c>
      <c r="P27" s="18">
        <f t="shared" si="10"/>
        <v>7.7200737060873495E-5</v>
      </c>
      <c r="Q27" s="3" t="s">
        <v>504</v>
      </c>
      <c r="R27" s="3">
        <f t="shared" si="11"/>
        <v>9506.0694178456488</v>
      </c>
      <c r="S27" s="3">
        <v>0</v>
      </c>
      <c r="T27" t="s">
        <v>481</v>
      </c>
    </row>
    <row r="28" spans="1:20" ht="15" customHeight="1" x14ac:dyDescent="0.25">
      <c r="A28" t="s">
        <v>224</v>
      </c>
      <c r="B28" t="s">
        <v>234</v>
      </c>
      <c r="C28" t="s">
        <v>112</v>
      </c>
      <c r="D28" s="2">
        <v>48.048176304774898</v>
      </c>
      <c r="E28" s="3">
        <v>118.896960122563</v>
      </c>
      <c r="F28" s="3">
        <f t="shared" si="0"/>
        <v>5712.7821020706979</v>
      </c>
      <c r="G28" s="3">
        <f t="shared" si="1"/>
        <v>4682.608280385818</v>
      </c>
      <c r="H28" s="3">
        <f t="shared" si="2"/>
        <v>1030.1738216848798</v>
      </c>
      <c r="I28" s="3">
        <f t="shared" si="3"/>
        <v>608.73907645015606</v>
      </c>
      <c r="J28" s="3">
        <f t="shared" si="4"/>
        <v>1638.9128981350361</v>
      </c>
      <c r="K28" s="3">
        <f t="shared" si="5"/>
        <v>1030.1738216848801</v>
      </c>
      <c r="L28" s="3">
        <f t="shared" si="6"/>
        <v>374.60866243086542</v>
      </c>
      <c r="M28" s="3">
        <f t="shared" si="7"/>
        <v>561.9129936462981</v>
      </c>
      <c r="N28" s="3">
        <f t="shared" si="8"/>
        <v>468.26082803858185</v>
      </c>
      <c r="O28" s="3">
        <f t="shared" si="9"/>
        <v>0</v>
      </c>
      <c r="P28" s="18">
        <f t="shared" si="10"/>
        <v>4.6394673714467206E-5</v>
      </c>
      <c r="Q28" s="3" t="s">
        <v>504</v>
      </c>
      <c r="R28" s="3">
        <f t="shared" si="11"/>
        <v>5712.7821020706979</v>
      </c>
      <c r="S28" s="3">
        <v>0</v>
      </c>
      <c r="T28" t="s">
        <v>481</v>
      </c>
    </row>
    <row r="29" spans="1:20" ht="15" customHeight="1" x14ac:dyDescent="0.25">
      <c r="A29" t="s">
        <v>224</v>
      </c>
      <c r="B29" t="s">
        <v>235</v>
      </c>
      <c r="C29" t="s">
        <v>112</v>
      </c>
      <c r="D29" s="2">
        <v>101.516186896729</v>
      </c>
      <c r="E29" s="3">
        <v>118.896960122563</v>
      </c>
      <c r="F29" s="3">
        <f t="shared" si="0"/>
        <v>12069.96602525504</v>
      </c>
      <c r="G29" s="3">
        <f t="shared" si="1"/>
        <v>9893.4147747992138</v>
      </c>
      <c r="H29" s="3">
        <f t="shared" si="2"/>
        <v>2176.5512504558264</v>
      </c>
      <c r="I29" s="3">
        <f t="shared" si="3"/>
        <v>1286.1439207238982</v>
      </c>
      <c r="J29" s="3">
        <f t="shared" si="4"/>
        <v>3462.6951711797246</v>
      </c>
      <c r="K29" s="3">
        <f t="shared" si="5"/>
        <v>2176.5512504558269</v>
      </c>
      <c r="L29" s="3">
        <f t="shared" si="6"/>
        <v>791.47318198393714</v>
      </c>
      <c r="M29" s="3">
        <f t="shared" si="7"/>
        <v>1187.2097729759057</v>
      </c>
      <c r="N29" s="3">
        <f t="shared" si="8"/>
        <v>989.34147747992142</v>
      </c>
      <c r="O29" s="3">
        <f t="shared" si="9"/>
        <v>0</v>
      </c>
      <c r="P29" s="18">
        <f t="shared" si="10"/>
        <v>9.8022666623926881E-5</v>
      </c>
      <c r="Q29" s="3" t="s">
        <v>504</v>
      </c>
      <c r="R29" s="3">
        <f t="shared" si="11"/>
        <v>12069.96602525504</v>
      </c>
      <c r="S29" s="3">
        <v>0</v>
      </c>
      <c r="T29" t="s">
        <v>481</v>
      </c>
    </row>
    <row r="30" spans="1:20" ht="15" customHeight="1" x14ac:dyDescent="0.25">
      <c r="A30" t="s">
        <v>236</v>
      </c>
      <c r="B30" t="s">
        <v>238</v>
      </c>
      <c r="C30" t="s">
        <v>112</v>
      </c>
      <c r="D30" s="2">
        <v>502.85299393525202</v>
      </c>
      <c r="E30" s="3">
        <v>118.896960122563</v>
      </c>
      <c r="F30" s="3">
        <f t="shared" si="0"/>
        <v>59787.692367431075</v>
      </c>
      <c r="G30" s="3">
        <f t="shared" si="1"/>
        <v>49006.305219205802</v>
      </c>
      <c r="H30" s="3">
        <f t="shared" si="2"/>
        <v>10781.387148225273</v>
      </c>
      <c r="I30" s="3">
        <f t="shared" si="3"/>
        <v>6370.8196784967513</v>
      </c>
      <c r="J30" s="3">
        <f t="shared" si="4"/>
        <v>17152.206826722031</v>
      </c>
      <c r="K30" s="3">
        <f t="shared" si="5"/>
        <v>10781.387148225276</v>
      </c>
      <c r="L30" s="3">
        <f t="shared" si="6"/>
        <v>3920.5044175364642</v>
      </c>
      <c r="M30" s="3">
        <f t="shared" si="7"/>
        <v>5880.7566263046956</v>
      </c>
      <c r="N30" s="3">
        <f t="shared" si="8"/>
        <v>4900.6305219205806</v>
      </c>
      <c r="O30" s="3">
        <f t="shared" si="9"/>
        <v>0</v>
      </c>
      <c r="P30" s="18">
        <f t="shared" si="10"/>
        <v>4.8554809722612779E-4</v>
      </c>
      <c r="Q30" s="3" t="s">
        <v>504</v>
      </c>
      <c r="R30" s="3">
        <f t="shared" si="11"/>
        <v>59787.692367431075</v>
      </c>
      <c r="S30" s="3">
        <v>0</v>
      </c>
      <c r="T30" t="s">
        <v>481</v>
      </c>
    </row>
    <row r="31" spans="1:20" ht="15" customHeight="1" x14ac:dyDescent="0.25">
      <c r="A31" t="s">
        <v>236</v>
      </c>
      <c r="B31" t="s">
        <v>239</v>
      </c>
      <c r="C31" t="s">
        <v>112</v>
      </c>
      <c r="D31" s="2">
        <v>70.573161356453397</v>
      </c>
      <c r="E31" s="3">
        <v>118.896960122563</v>
      </c>
      <c r="F31" s="3">
        <f t="shared" si="0"/>
        <v>8390.9343515214441</v>
      </c>
      <c r="G31" s="3">
        <f t="shared" si="1"/>
        <v>6877.8150422306917</v>
      </c>
      <c r="H31" s="3">
        <f t="shared" si="2"/>
        <v>1513.1193092907524</v>
      </c>
      <c r="I31" s="3">
        <f t="shared" si="3"/>
        <v>894.11595548998957</v>
      </c>
      <c r="J31" s="3">
        <f t="shared" si="4"/>
        <v>2407.235264780742</v>
      </c>
      <c r="K31" s="3">
        <f t="shared" si="5"/>
        <v>1513.1193092907522</v>
      </c>
      <c r="L31" s="3">
        <f t="shared" si="6"/>
        <v>550.22520337845538</v>
      </c>
      <c r="M31" s="3">
        <f t="shared" si="7"/>
        <v>825.33780506768301</v>
      </c>
      <c r="N31" s="3">
        <f t="shared" si="8"/>
        <v>687.78150422306919</v>
      </c>
      <c r="O31" s="3">
        <f t="shared" si="9"/>
        <v>0</v>
      </c>
      <c r="P31" s="18">
        <f t="shared" si="10"/>
        <v>6.8144496751809449E-5</v>
      </c>
      <c r="Q31" s="3" t="s">
        <v>504</v>
      </c>
      <c r="R31" s="3">
        <f t="shared" si="11"/>
        <v>8390.9343515214441</v>
      </c>
      <c r="S31" s="3">
        <v>0</v>
      </c>
      <c r="T31" t="s">
        <v>481</v>
      </c>
    </row>
    <row r="32" spans="1:20" ht="15" customHeight="1" x14ac:dyDescent="0.25">
      <c r="A32" t="s">
        <v>236</v>
      </c>
      <c r="B32" t="s">
        <v>240</v>
      </c>
      <c r="C32" t="s">
        <v>112</v>
      </c>
      <c r="D32" s="2">
        <v>67.651832237123102</v>
      </c>
      <c r="E32" s="3">
        <v>118.896960122563</v>
      </c>
      <c r="F32" s="3">
        <f t="shared" si="0"/>
        <v>8043.5971997155475</v>
      </c>
      <c r="G32" s="3">
        <f t="shared" si="1"/>
        <v>6593.1124587832355</v>
      </c>
      <c r="H32" s="3">
        <f t="shared" si="2"/>
        <v>1450.484740932312</v>
      </c>
      <c r="I32" s="3">
        <f t="shared" si="3"/>
        <v>857.10461964182014</v>
      </c>
      <c r="J32" s="3">
        <f t="shared" si="4"/>
        <v>2307.5893605741321</v>
      </c>
      <c r="K32" s="3">
        <f t="shared" si="5"/>
        <v>1450.4847409323118</v>
      </c>
      <c r="L32" s="3">
        <f t="shared" si="6"/>
        <v>527.44899670265886</v>
      </c>
      <c r="M32" s="3">
        <f t="shared" si="7"/>
        <v>791.17349505398829</v>
      </c>
      <c r="N32" s="3">
        <f t="shared" si="8"/>
        <v>659.31124587832358</v>
      </c>
      <c r="O32" s="3">
        <f t="shared" si="9"/>
        <v>0</v>
      </c>
      <c r="P32" s="18">
        <f t="shared" si="10"/>
        <v>6.5323700589969865E-5</v>
      </c>
      <c r="Q32" s="3" t="s">
        <v>504</v>
      </c>
      <c r="R32" s="3">
        <f t="shared" si="11"/>
        <v>8043.5971997155475</v>
      </c>
      <c r="S32" s="3">
        <v>0</v>
      </c>
      <c r="T32" t="s">
        <v>481</v>
      </c>
    </row>
    <row r="33" spans="1:20" ht="15" customHeight="1" x14ac:dyDescent="0.25">
      <c r="A33" t="s">
        <v>246</v>
      </c>
      <c r="B33" t="s">
        <v>249</v>
      </c>
      <c r="C33" t="s">
        <v>146</v>
      </c>
      <c r="D33" s="2">
        <v>40.360468096010898</v>
      </c>
      <c r="E33" s="3">
        <v>10687.1760848306</v>
      </c>
      <c r="F33" s="3">
        <f t="shared" si="0"/>
        <v>431339.42940825608</v>
      </c>
      <c r="G33" s="3">
        <f t="shared" si="1"/>
        <v>353556.90935102961</v>
      </c>
      <c r="H33" s="3">
        <f t="shared" si="2"/>
        <v>77782.520057226473</v>
      </c>
      <c r="I33" s="3">
        <f t="shared" si="3"/>
        <v>45962.398215633875</v>
      </c>
      <c r="J33" s="3">
        <f t="shared" si="4"/>
        <v>123744.91827286035</v>
      </c>
      <c r="K33" s="3">
        <f t="shared" si="5"/>
        <v>77782.520057226517</v>
      </c>
      <c r="L33" s="3">
        <f t="shared" si="6"/>
        <v>28284.552748082369</v>
      </c>
      <c r="M33" s="3">
        <f t="shared" si="7"/>
        <v>42426.829122123549</v>
      </c>
      <c r="N33" s="3">
        <f t="shared" si="8"/>
        <v>35355.690935102961</v>
      </c>
      <c r="O33" s="3">
        <f t="shared" si="9"/>
        <v>0</v>
      </c>
      <c r="P33" s="18">
        <f t="shared" si="10"/>
        <v>3.5029958661169404E-3</v>
      </c>
      <c r="Q33" s="3" t="s">
        <v>504</v>
      </c>
      <c r="R33" s="3">
        <f t="shared" si="11"/>
        <v>431339.42940825608</v>
      </c>
      <c r="S33" s="3">
        <v>0</v>
      </c>
      <c r="T33" t="s">
        <v>481</v>
      </c>
    </row>
    <row r="34" spans="1:20" ht="15" customHeight="1" x14ac:dyDescent="0.25">
      <c r="A34" t="s">
        <v>246</v>
      </c>
      <c r="B34" t="s">
        <v>250</v>
      </c>
      <c r="C34" t="s">
        <v>146</v>
      </c>
      <c r="D34" s="2">
        <v>97.5032032117536</v>
      </c>
      <c r="E34" s="3">
        <v>79626.931416795094</v>
      </c>
      <c r="F34" s="3">
        <f t="shared" si="0"/>
        <v>7763880.8750601392</v>
      </c>
      <c r="G34" s="3">
        <f t="shared" si="1"/>
        <v>6363836.7828361802</v>
      </c>
      <c r="H34" s="3">
        <f t="shared" si="2"/>
        <v>1400044.092223959</v>
      </c>
      <c r="I34" s="3">
        <f t="shared" si="3"/>
        <v>827298.78176870383</v>
      </c>
      <c r="J34" s="3">
        <f t="shared" si="4"/>
        <v>2227342.8739926629</v>
      </c>
      <c r="K34" s="3">
        <f t="shared" si="5"/>
        <v>1400044.0922239597</v>
      </c>
      <c r="L34" s="3">
        <f t="shared" si="6"/>
        <v>509106.94262689445</v>
      </c>
      <c r="M34" s="3">
        <f t="shared" si="7"/>
        <v>763660.41394034156</v>
      </c>
      <c r="N34" s="3">
        <f t="shared" si="8"/>
        <v>636383.67828361806</v>
      </c>
      <c r="O34" s="3">
        <f t="shared" si="9"/>
        <v>0</v>
      </c>
      <c r="P34" s="18">
        <f t="shared" si="10"/>
        <v>6.3052067017547453E-2</v>
      </c>
      <c r="Q34" s="3" t="s">
        <v>504</v>
      </c>
      <c r="R34" s="3">
        <f t="shared" si="11"/>
        <v>7763880.8750601392</v>
      </c>
      <c r="S34" s="3">
        <v>0</v>
      </c>
      <c r="T34" t="s">
        <v>481</v>
      </c>
    </row>
    <row r="35" spans="1:20" ht="15" customHeight="1" x14ac:dyDescent="0.25">
      <c r="A35" t="s">
        <v>246</v>
      </c>
      <c r="B35" t="s">
        <v>251</v>
      </c>
      <c r="C35" t="s">
        <v>145</v>
      </c>
      <c r="D35" s="2">
        <v>276.56530281028398</v>
      </c>
      <c r="E35" s="3">
        <v>2019.6228031056301</v>
      </c>
      <c r="F35" s="3">
        <f t="shared" si="0"/>
        <v>558557.59210346313</v>
      </c>
      <c r="G35" s="3">
        <f t="shared" si="1"/>
        <v>457834.09188808454</v>
      </c>
      <c r="H35" s="3">
        <f t="shared" si="2"/>
        <v>100723.50021537859</v>
      </c>
      <c r="I35" s="3">
        <f t="shared" si="3"/>
        <v>59518.431945451011</v>
      </c>
      <c r="J35" s="3">
        <f t="shared" si="4"/>
        <v>160241.93216082957</v>
      </c>
      <c r="K35" s="3">
        <f t="shared" si="5"/>
        <v>100723.5002153786</v>
      </c>
      <c r="L35" s="3">
        <f t="shared" si="6"/>
        <v>36626.727351046764</v>
      </c>
      <c r="M35" s="3">
        <f t="shared" si="7"/>
        <v>54940.091026570146</v>
      </c>
      <c r="N35" s="3">
        <f t="shared" si="8"/>
        <v>45783.409188808459</v>
      </c>
      <c r="O35" s="3">
        <f t="shared" si="9"/>
        <v>0</v>
      </c>
      <c r="P35" s="18">
        <f t="shared" si="10"/>
        <v>4.5361606260084066E-3</v>
      </c>
      <c r="Q35" s="3" t="s">
        <v>504</v>
      </c>
      <c r="R35" s="3">
        <f t="shared" si="11"/>
        <v>558557.59210346313</v>
      </c>
      <c r="S35" s="3">
        <v>0</v>
      </c>
      <c r="T35" t="s">
        <v>481</v>
      </c>
    </row>
    <row r="36" spans="1:20" ht="15" customHeight="1" x14ac:dyDescent="0.25">
      <c r="A36" t="s">
        <v>253</v>
      </c>
      <c r="B36" t="s">
        <v>255</v>
      </c>
      <c r="C36" t="s">
        <v>146</v>
      </c>
      <c r="D36" s="2">
        <v>292.15213120355298</v>
      </c>
      <c r="E36" s="3">
        <v>22034.5469494383</v>
      </c>
      <c r="F36" s="3">
        <f t="shared" si="0"/>
        <v>6437439.8513831459</v>
      </c>
      <c r="G36" s="3">
        <f t="shared" si="1"/>
        <v>5276590.042117333</v>
      </c>
      <c r="H36" s="3">
        <f t="shared" si="2"/>
        <v>1160849.8092658129</v>
      </c>
      <c r="I36" s="3">
        <f t="shared" si="3"/>
        <v>685956.70547525398</v>
      </c>
      <c r="J36" s="3">
        <f t="shared" si="4"/>
        <v>1846806.5147410664</v>
      </c>
      <c r="K36" s="3">
        <f t="shared" si="5"/>
        <v>1160849.8092658133</v>
      </c>
      <c r="L36" s="3">
        <f t="shared" si="6"/>
        <v>422127.20336938667</v>
      </c>
      <c r="M36" s="3">
        <f t="shared" si="7"/>
        <v>633190.80505407997</v>
      </c>
      <c r="N36" s="3">
        <f t="shared" si="8"/>
        <v>527659.00421173335</v>
      </c>
      <c r="O36" s="3">
        <f t="shared" si="9"/>
        <v>0</v>
      </c>
      <c r="P36" s="18">
        <f t="shared" si="10"/>
        <v>5.2279767742790979E-2</v>
      </c>
      <c r="Q36" s="3" t="s">
        <v>504</v>
      </c>
      <c r="R36" s="3">
        <f t="shared" si="11"/>
        <v>6437439.8513831459</v>
      </c>
      <c r="S36" s="3">
        <v>0</v>
      </c>
      <c r="T36" t="s">
        <v>481</v>
      </c>
    </row>
    <row r="37" spans="1:20" ht="15" customHeight="1" x14ac:dyDescent="0.25">
      <c r="A37" t="s">
        <v>253</v>
      </c>
      <c r="B37" t="s">
        <v>256</v>
      </c>
      <c r="C37" t="s">
        <v>145</v>
      </c>
      <c r="D37" s="2">
        <v>5843.0426240710703</v>
      </c>
      <c r="E37" s="3">
        <v>1856.4987226312301</v>
      </c>
      <c r="F37" s="3">
        <f t="shared" si="0"/>
        <v>10847601.167867772</v>
      </c>
      <c r="G37" s="3">
        <f t="shared" si="1"/>
        <v>8891476.3671047315</v>
      </c>
      <c r="H37" s="3">
        <f t="shared" si="2"/>
        <v>1956124.8007630408</v>
      </c>
      <c r="I37" s="3">
        <f t="shared" si="3"/>
        <v>1155891.9277236154</v>
      </c>
      <c r="J37" s="3">
        <f t="shared" si="4"/>
        <v>3112016.7284866557</v>
      </c>
      <c r="K37" s="3">
        <f t="shared" si="5"/>
        <v>1956124.800763041</v>
      </c>
      <c r="L37" s="3">
        <f t="shared" si="6"/>
        <v>711318.10936837853</v>
      </c>
      <c r="M37" s="3">
        <f t="shared" si="7"/>
        <v>1066977.1640525677</v>
      </c>
      <c r="N37" s="3">
        <f t="shared" si="8"/>
        <v>889147.63671047322</v>
      </c>
      <c r="O37" s="3">
        <f t="shared" si="9"/>
        <v>0</v>
      </c>
      <c r="P37" s="18">
        <f t="shared" si="10"/>
        <v>8.809559121561443E-2</v>
      </c>
      <c r="Q37" s="3" t="s">
        <v>504</v>
      </c>
      <c r="R37" s="3">
        <f t="shared" si="11"/>
        <v>10847601.167867772</v>
      </c>
      <c r="S37" s="3">
        <v>0</v>
      </c>
      <c r="T37" t="s">
        <v>481</v>
      </c>
    </row>
    <row r="38" spans="1:20" ht="15" customHeight="1" x14ac:dyDescent="0.25">
      <c r="A38" t="s">
        <v>253</v>
      </c>
      <c r="B38" t="s">
        <v>257</v>
      </c>
      <c r="C38" t="s">
        <v>112</v>
      </c>
      <c r="D38" s="2">
        <v>73271.162552319103</v>
      </c>
      <c r="E38" s="3">
        <v>157.97443635228001</v>
      </c>
      <c r="F38" s="3">
        <f t="shared" si="0"/>
        <v>11574970.605078897</v>
      </c>
      <c r="G38" s="3">
        <f t="shared" si="1"/>
        <v>9487680.8238351606</v>
      </c>
      <c r="H38" s="3">
        <f t="shared" si="2"/>
        <v>2087289.7812437359</v>
      </c>
      <c r="I38" s="3">
        <f t="shared" si="3"/>
        <v>1233398.5070985714</v>
      </c>
      <c r="J38" s="3">
        <f t="shared" si="4"/>
        <v>3320688.2883423059</v>
      </c>
      <c r="K38" s="3">
        <f t="shared" si="5"/>
        <v>2087289.7812437352</v>
      </c>
      <c r="L38" s="3">
        <f t="shared" si="6"/>
        <v>759014.46590681281</v>
      </c>
      <c r="M38" s="3">
        <f t="shared" si="7"/>
        <v>1138521.6988602192</v>
      </c>
      <c r="N38" s="3">
        <f t="shared" si="8"/>
        <v>948768.08238351613</v>
      </c>
      <c r="O38" s="3">
        <f t="shared" si="9"/>
        <v>0</v>
      </c>
      <c r="P38" s="18">
        <f t="shared" si="10"/>
        <v>9.4002707416852682E-2</v>
      </c>
      <c r="Q38" s="3" t="s">
        <v>504</v>
      </c>
      <c r="R38" s="3">
        <f t="shared" si="11"/>
        <v>11574970.605078897</v>
      </c>
      <c r="S38" s="3">
        <v>0</v>
      </c>
      <c r="T38" t="s">
        <v>481</v>
      </c>
    </row>
    <row r="39" spans="1:20" ht="15" customHeight="1" x14ac:dyDescent="0.25">
      <c r="A39" t="s">
        <v>253</v>
      </c>
      <c r="B39" t="s">
        <v>258</v>
      </c>
      <c r="C39" t="s">
        <v>146</v>
      </c>
      <c r="D39" s="2">
        <v>1752.9127872213201</v>
      </c>
      <c r="E39" s="3">
        <v>29014.278361835</v>
      </c>
      <c r="F39" s="3">
        <f t="shared" si="0"/>
        <v>50859499.552459426</v>
      </c>
      <c r="G39" s="3">
        <f t="shared" si="1"/>
        <v>41688114.387261823</v>
      </c>
      <c r="H39" s="3">
        <f t="shared" si="2"/>
        <v>9171385.1651976034</v>
      </c>
      <c r="I39" s="3">
        <f t="shared" si="3"/>
        <v>5419454.8703440428</v>
      </c>
      <c r="J39" s="3">
        <f t="shared" si="4"/>
        <v>14590840.035541637</v>
      </c>
      <c r="K39" s="3">
        <f t="shared" si="5"/>
        <v>9171385.1651976015</v>
      </c>
      <c r="L39" s="3">
        <f t="shared" si="6"/>
        <v>3335049.1509809457</v>
      </c>
      <c r="M39" s="3">
        <f t="shared" si="7"/>
        <v>5002573.7264714185</v>
      </c>
      <c r="N39" s="3">
        <f t="shared" si="8"/>
        <v>4168811.4387261826</v>
      </c>
      <c r="O39" s="3">
        <f t="shared" si="9"/>
        <v>0</v>
      </c>
      <c r="P39" s="18">
        <f t="shared" si="10"/>
        <v>0.4130404144352301</v>
      </c>
      <c r="Q39" s="3" t="s">
        <v>504</v>
      </c>
      <c r="R39" s="3">
        <f t="shared" si="11"/>
        <v>50859499.552459426</v>
      </c>
      <c r="S39" s="3">
        <v>0</v>
      </c>
      <c r="T39" t="s">
        <v>481</v>
      </c>
    </row>
    <row r="40" spans="1:20" ht="15" customHeight="1" x14ac:dyDescent="0.25">
      <c r="A40" t="s">
        <v>253</v>
      </c>
      <c r="B40" t="s">
        <v>259</v>
      </c>
      <c r="C40" t="s">
        <v>145</v>
      </c>
      <c r="D40" s="2">
        <v>5843.0426240710703</v>
      </c>
      <c r="E40" s="3">
        <v>2719.74032898101</v>
      </c>
      <c r="F40" s="3">
        <f t="shared" si="0"/>
        <v>15891558.668641116</v>
      </c>
      <c r="G40" s="3">
        <f t="shared" si="1"/>
        <v>13025867.761181243</v>
      </c>
      <c r="H40" s="3">
        <f t="shared" si="2"/>
        <v>2865690.9074598737</v>
      </c>
      <c r="I40" s="3">
        <f t="shared" si="3"/>
        <v>1693362.8089535609</v>
      </c>
      <c r="J40" s="3">
        <f t="shared" si="4"/>
        <v>4559053.7164134346</v>
      </c>
      <c r="K40" s="3">
        <f t="shared" si="5"/>
        <v>2865690.9074598732</v>
      </c>
      <c r="L40" s="3">
        <f t="shared" si="6"/>
        <v>1042069.4208944994</v>
      </c>
      <c r="M40" s="3">
        <f t="shared" si="7"/>
        <v>1563104.1313417491</v>
      </c>
      <c r="N40" s="3">
        <f t="shared" si="8"/>
        <v>1302586.7761181244</v>
      </c>
      <c r="O40" s="3">
        <f t="shared" si="9"/>
        <v>0</v>
      </c>
      <c r="P40" s="18">
        <f t="shared" si="10"/>
        <v>0.12905860333421015</v>
      </c>
      <c r="Q40" s="3" t="s">
        <v>504</v>
      </c>
      <c r="R40" s="3">
        <f t="shared" si="11"/>
        <v>15891558.668641116</v>
      </c>
      <c r="S40" s="3">
        <v>0</v>
      </c>
      <c r="T40" t="s">
        <v>481</v>
      </c>
    </row>
    <row r="41" spans="1:20" ht="15" customHeight="1" x14ac:dyDescent="0.25">
      <c r="A41" t="s">
        <v>260</v>
      </c>
      <c r="B41" t="s">
        <v>262</v>
      </c>
      <c r="C41" t="s">
        <v>146</v>
      </c>
      <c r="D41" s="2">
        <v>1.1531562313146</v>
      </c>
      <c r="E41" s="3">
        <v>52304.194111709803</v>
      </c>
      <c r="F41" s="3">
        <f t="shared" si="0"/>
        <v>60314.907363806567</v>
      </c>
      <c r="G41" s="3">
        <f t="shared" si="1"/>
        <v>49438.448658857844</v>
      </c>
      <c r="H41" s="3">
        <f t="shared" si="2"/>
        <v>10876.458704948724</v>
      </c>
      <c r="I41" s="3">
        <f t="shared" si="3"/>
        <v>6426.9983256515261</v>
      </c>
      <c r="J41" s="3">
        <f t="shared" si="4"/>
        <v>17303.457030600242</v>
      </c>
      <c r="K41" s="3">
        <f t="shared" si="5"/>
        <v>10876.458704948725</v>
      </c>
      <c r="L41" s="3">
        <f t="shared" si="6"/>
        <v>3955.0758927086276</v>
      </c>
      <c r="M41" s="3">
        <f t="shared" si="7"/>
        <v>5932.6138390629412</v>
      </c>
      <c r="N41" s="3">
        <f t="shared" si="8"/>
        <v>4943.8448658857851</v>
      </c>
      <c r="O41" s="3">
        <f t="shared" si="9"/>
        <v>0</v>
      </c>
      <c r="P41" s="18">
        <f t="shared" si="10"/>
        <v>4.8982971821169791E-4</v>
      </c>
      <c r="Q41" s="3" t="s">
        <v>504</v>
      </c>
      <c r="R41" s="3">
        <f t="shared" si="11"/>
        <v>60314.907363806567</v>
      </c>
      <c r="S41" s="3">
        <v>0</v>
      </c>
      <c r="T41" t="s">
        <v>481</v>
      </c>
    </row>
    <row r="42" spans="1:20" ht="15" customHeight="1" x14ac:dyDescent="0.25">
      <c r="A42" t="s">
        <v>260</v>
      </c>
      <c r="B42" t="s">
        <v>263</v>
      </c>
      <c r="C42" t="s">
        <v>191</v>
      </c>
      <c r="D42" s="2">
        <v>6.9189373878875902</v>
      </c>
      <c r="E42" s="3">
        <v>504.45705753849597</v>
      </c>
      <c r="F42" s="3">
        <f t="shared" si="0"/>
        <v>3490.3067959868613</v>
      </c>
      <c r="G42" s="3">
        <f t="shared" si="1"/>
        <v>2860.9072098252964</v>
      </c>
      <c r="H42" s="3">
        <f t="shared" si="2"/>
        <v>629.39958616156491</v>
      </c>
      <c r="I42" s="3">
        <f t="shared" si="3"/>
        <v>371.91793727728873</v>
      </c>
      <c r="J42" s="3">
        <f t="shared" si="4"/>
        <v>1001.3175234388536</v>
      </c>
      <c r="K42" s="3">
        <f t="shared" si="5"/>
        <v>629.39958616156525</v>
      </c>
      <c r="L42" s="3">
        <f t="shared" si="6"/>
        <v>228.87257678602373</v>
      </c>
      <c r="M42" s="3">
        <f t="shared" si="7"/>
        <v>343.30886517903554</v>
      </c>
      <c r="N42" s="3">
        <f t="shared" si="8"/>
        <v>286.09072098252966</v>
      </c>
      <c r="O42" s="3">
        <f t="shared" si="9"/>
        <v>0</v>
      </c>
      <c r="P42" s="18">
        <f t="shared" si="10"/>
        <v>2.834549647964044E-5</v>
      </c>
      <c r="Q42" s="3" t="s">
        <v>504</v>
      </c>
      <c r="R42" s="3">
        <f t="shared" si="11"/>
        <v>3490.3067959868613</v>
      </c>
      <c r="S42" s="3">
        <v>0</v>
      </c>
      <c r="T42" t="s">
        <v>481</v>
      </c>
    </row>
    <row r="43" spans="1:20" ht="15" customHeight="1" x14ac:dyDescent="0.25">
      <c r="A43" t="s">
        <v>264</v>
      </c>
      <c r="B43" t="s">
        <v>264</v>
      </c>
      <c r="C43" t="s">
        <v>123</v>
      </c>
      <c r="D43" s="2">
        <v>1399.8547877338301</v>
      </c>
      <c r="E43" s="3">
        <v>376.002045825636</v>
      </c>
      <c r="F43" s="3">
        <f t="shared" si="0"/>
        <v>526348.26404673152</v>
      </c>
      <c r="G43" s="3">
        <f t="shared" si="1"/>
        <v>431433.00331699307</v>
      </c>
      <c r="H43" s="3">
        <f t="shared" si="2"/>
        <v>94915.260729738453</v>
      </c>
      <c r="I43" s="3">
        <f t="shared" si="3"/>
        <v>56086.290431209083</v>
      </c>
      <c r="J43" s="3">
        <f t="shared" si="4"/>
        <v>151001.55116094757</v>
      </c>
      <c r="K43" s="3">
        <f t="shared" si="5"/>
        <v>94915.260729738482</v>
      </c>
      <c r="L43" s="3">
        <f t="shared" si="6"/>
        <v>34514.640265359449</v>
      </c>
      <c r="M43" s="3">
        <f t="shared" si="7"/>
        <v>51771.960398039169</v>
      </c>
      <c r="N43" s="3">
        <f t="shared" si="8"/>
        <v>43143.300331699313</v>
      </c>
      <c r="O43" s="3">
        <f t="shared" si="9"/>
        <v>0</v>
      </c>
      <c r="P43" s="18">
        <f t="shared" si="10"/>
        <v>4.2745820747780612E-3</v>
      </c>
      <c r="Q43" s="3" t="s">
        <v>504</v>
      </c>
      <c r="R43" s="3">
        <f t="shared" si="11"/>
        <v>526348.26404673152</v>
      </c>
      <c r="S43" s="3">
        <v>0</v>
      </c>
      <c r="T43" t="s">
        <v>481</v>
      </c>
    </row>
    <row r="44" spans="1:20" ht="15" customHeight="1" x14ac:dyDescent="0.25">
      <c r="A44" t="s">
        <v>265</v>
      </c>
      <c r="B44" t="s">
        <v>266</v>
      </c>
      <c r="C44" t="s">
        <v>146</v>
      </c>
      <c r="D44" s="2">
        <v>0.45741863842145702</v>
      </c>
      <c r="E44" s="3">
        <v>10687.1760848306</v>
      </c>
      <c r="F44" s="3">
        <f t="shared" si="0"/>
        <v>4888.5135332935715</v>
      </c>
      <c r="G44" s="3">
        <f t="shared" si="1"/>
        <v>4006.9783059783376</v>
      </c>
      <c r="H44" s="3">
        <f t="shared" si="2"/>
        <v>881.5352273152339</v>
      </c>
      <c r="I44" s="3">
        <f t="shared" si="3"/>
        <v>520.90717977718396</v>
      </c>
      <c r="J44" s="3">
        <f t="shared" si="4"/>
        <v>1402.4424070924181</v>
      </c>
      <c r="K44" s="3">
        <f t="shared" si="5"/>
        <v>881.53522731523424</v>
      </c>
      <c r="L44" s="3">
        <f t="shared" si="6"/>
        <v>320.55826447826701</v>
      </c>
      <c r="M44" s="3">
        <f t="shared" si="7"/>
        <v>480.83739671740051</v>
      </c>
      <c r="N44" s="3">
        <f t="shared" si="8"/>
        <v>400.69783059783379</v>
      </c>
      <c r="O44" s="3">
        <f t="shared" si="9"/>
        <v>0</v>
      </c>
      <c r="P44" s="18">
        <f t="shared" si="10"/>
        <v>3.9700619815992011E-5</v>
      </c>
      <c r="Q44" s="3" t="s">
        <v>504</v>
      </c>
      <c r="R44" s="3">
        <f t="shared" si="11"/>
        <v>4888.5135332935715</v>
      </c>
      <c r="S44" s="3">
        <v>0</v>
      </c>
      <c r="T44" t="s">
        <v>481</v>
      </c>
    </row>
    <row r="45" spans="1:20" ht="15" customHeight="1" x14ac:dyDescent="0.25">
      <c r="A45" t="s">
        <v>265</v>
      </c>
      <c r="B45" t="s">
        <v>267</v>
      </c>
      <c r="C45" t="s">
        <v>146</v>
      </c>
      <c r="D45" s="2">
        <v>0.45741863842145702</v>
      </c>
      <c r="E45" s="3">
        <v>26419.689990003699</v>
      </c>
      <c r="F45" s="3">
        <f t="shared" si="0"/>
        <v>12084.85862274449</v>
      </c>
      <c r="G45" s="3">
        <f t="shared" si="1"/>
        <v>9905.6218219217135</v>
      </c>
      <c r="H45" s="3">
        <f t="shared" si="2"/>
        <v>2179.2368008227768</v>
      </c>
      <c r="I45" s="3">
        <f t="shared" si="3"/>
        <v>1287.7308368498216</v>
      </c>
      <c r="J45" s="3">
        <f t="shared" si="4"/>
        <v>3466.9676376725997</v>
      </c>
      <c r="K45" s="3">
        <f t="shared" si="5"/>
        <v>2179.2368008227768</v>
      </c>
      <c r="L45" s="3">
        <f t="shared" si="6"/>
        <v>792.44974575373715</v>
      </c>
      <c r="M45" s="3">
        <f t="shared" si="7"/>
        <v>1188.6746186306057</v>
      </c>
      <c r="N45" s="3">
        <f t="shared" si="8"/>
        <v>990.56218219217135</v>
      </c>
      <c r="O45" s="3">
        <f t="shared" si="9"/>
        <v>0</v>
      </c>
      <c r="P45" s="18">
        <f t="shared" si="10"/>
        <v>9.8143612458887654E-5</v>
      </c>
      <c r="Q45" s="3" t="s">
        <v>504</v>
      </c>
      <c r="R45" s="3">
        <f t="shared" si="11"/>
        <v>12084.85862274449</v>
      </c>
      <c r="S45" s="3">
        <v>0</v>
      </c>
      <c r="T45" t="s">
        <v>481</v>
      </c>
    </row>
    <row r="46" spans="1:20" ht="15" customHeight="1" x14ac:dyDescent="0.25">
      <c r="A46" t="s">
        <v>265</v>
      </c>
      <c r="B46" t="s">
        <v>268</v>
      </c>
      <c r="C46" t="s">
        <v>145</v>
      </c>
      <c r="D46" s="2">
        <v>4.5741863842145696</v>
      </c>
      <c r="E46" s="3">
        <v>2019.6228031056301</v>
      </c>
      <c r="F46" s="3">
        <f t="shared" si="0"/>
        <v>9238.131127215036</v>
      </c>
      <c r="G46" s="3">
        <f t="shared" si="1"/>
        <v>7572.238628864784</v>
      </c>
      <c r="H46" s="3">
        <f t="shared" si="2"/>
        <v>1665.892498350252</v>
      </c>
      <c r="I46" s="3">
        <f t="shared" si="3"/>
        <v>984.39102175242169</v>
      </c>
      <c r="J46" s="3">
        <f t="shared" si="4"/>
        <v>2650.2835201026742</v>
      </c>
      <c r="K46" s="3">
        <f t="shared" si="5"/>
        <v>1665.8924983502525</v>
      </c>
      <c r="L46" s="3">
        <f t="shared" si="6"/>
        <v>605.77909030918272</v>
      </c>
      <c r="M46" s="3">
        <f t="shared" si="7"/>
        <v>908.66863546377408</v>
      </c>
      <c r="N46" s="3">
        <f t="shared" si="8"/>
        <v>757.2238628864784</v>
      </c>
      <c r="O46" s="3">
        <f t="shared" si="9"/>
        <v>0</v>
      </c>
      <c r="P46" s="18">
        <f t="shared" si="10"/>
        <v>7.5024755315497002E-5</v>
      </c>
      <c r="Q46" s="3" t="s">
        <v>504</v>
      </c>
      <c r="R46" s="3">
        <f t="shared" si="11"/>
        <v>9238.131127215036</v>
      </c>
      <c r="S46" s="3">
        <v>0</v>
      </c>
      <c r="T46" t="s">
        <v>481</v>
      </c>
    </row>
    <row r="47" spans="1:20" ht="15" customHeight="1" x14ac:dyDescent="0.25">
      <c r="A47" t="s">
        <v>265</v>
      </c>
      <c r="B47" t="s">
        <v>262</v>
      </c>
      <c r="C47" t="s">
        <v>146</v>
      </c>
      <c r="D47" s="2">
        <v>3.9591697275134501</v>
      </c>
      <c r="E47" s="3">
        <v>54731.627116001502</v>
      </c>
      <c r="F47" s="3">
        <f t="shared" si="0"/>
        <v>216691.80121522743</v>
      </c>
      <c r="G47" s="3">
        <f t="shared" si="1"/>
        <v>177616.23050428479</v>
      </c>
      <c r="H47" s="3">
        <f t="shared" si="2"/>
        <v>39075.570710942644</v>
      </c>
      <c r="I47" s="3">
        <f t="shared" si="3"/>
        <v>23090.109965557029</v>
      </c>
      <c r="J47" s="3">
        <f t="shared" si="4"/>
        <v>62165.680676499673</v>
      </c>
      <c r="K47" s="3">
        <f t="shared" si="5"/>
        <v>39075.570710942651</v>
      </c>
      <c r="L47" s="3">
        <f t="shared" si="6"/>
        <v>14209.298440342784</v>
      </c>
      <c r="M47" s="3">
        <f t="shared" si="7"/>
        <v>21313.947660514175</v>
      </c>
      <c r="N47" s="3">
        <f t="shared" si="8"/>
        <v>17761.623050428479</v>
      </c>
      <c r="O47" s="3">
        <f t="shared" si="9"/>
        <v>0</v>
      </c>
      <c r="P47" s="18">
        <f t="shared" si="10"/>
        <v>1.7597985069895549E-3</v>
      </c>
      <c r="Q47" s="3" t="s">
        <v>504</v>
      </c>
      <c r="R47" s="3">
        <f t="shared" si="11"/>
        <v>216691.80121522743</v>
      </c>
      <c r="S47" s="3">
        <v>0</v>
      </c>
      <c r="T47" t="s">
        <v>481</v>
      </c>
    </row>
    <row r="48" spans="1:20" ht="15" customHeight="1" x14ac:dyDescent="0.25">
      <c r="A48" t="s">
        <v>265</v>
      </c>
      <c r="B48" t="s">
        <v>270</v>
      </c>
      <c r="C48" t="s">
        <v>123</v>
      </c>
      <c r="D48" s="2">
        <v>5.3045186640471496</v>
      </c>
      <c r="E48" s="3">
        <v>504.45705753849597</v>
      </c>
      <c r="F48" s="3">
        <f t="shared" si="0"/>
        <v>2675.9018769232589</v>
      </c>
      <c r="G48" s="3">
        <f t="shared" si="1"/>
        <v>2193.3621941993924</v>
      </c>
      <c r="H48" s="3">
        <f t="shared" si="2"/>
        <v>482.53968272386646</v>
      </c>
      <c r="I48" s="3">
        <f t="shared" si="3"/>
        <v>285.13708524592107</v>
      </c>
      <c r="J48" s="3">
        <f t="shared" si="4"/>
        <v>767.67676796978731</v>
      </c>
      <c r="K48" s="3">
        <f t="shared" si="5"/>
        <v>482.53968272386635</v>
      </c>
      <c r="L48" s="3">
        <f t="shared" si="6"/>
        <v>175.46897553595139</v>
      </c>
      <c r="M48" s="3">
        <f t="shared" si="7"/>
        <v>263.20346330392709</v>
      </c>
      <c r="N48" s="3">
        <f t="shared" si="8"/>
        <v>219.33621941993925</v>
      </c>
      <c r="O48" s="3">
        <f t="shared" si="9"/>
        <v>0</v>
      </c>
      <c r="P48" s="18">
        <f t="shared" si="10"/>
        <v>2.173154730105766E-5</v>
      </c>
      <c r="Q48" s="3" t="s">
        <v>504</v>
      </c>
      <c r="R48" s="3">
        <f t="shared" si="11"/>
        <v>2675.9018769232589</v>
      </c>
      <c r="S48" s="3">
        <v>0</v>
      </c>
      <c r="T48" t="s">
        <v>481</v>
      </c>
    </row>
    <row r="49" spans="1:20" ht="15" customHeight="1" x14ac:dyDescent="0.25">
      <c r="A49" t="s">
        <v>271</v>
      </c>
      <c r="B49" t="s">
        <v>272</v>
      </c>
      <c r="C49" t="s">
        <v>146</v>
      </c>
      <c r="D49" s="2">
        <v>3.84385410438199</v>
      </c>
      <c r="E49" s="3">
        <v>10687.1760848306</v>
      </c>
      <c r="F49" s="3">
        <f t="shared" si="0"/>
        <v>41079.945657929151</v>
      </c>
      <c r="G49" s="3">
        <f t="shared" si="1"/>
        <v>33672.086604859964</v>
      </c>
      <c r="H49" s="3">
        <f t="shared" si="2"/>
        <v>7407.8590530691872</v>
      </c>
      <c r="I49" s="3">
        <f t="shared" si="3"/>
        <v>4377.3712586317924</v>
      </c>
      <c r="J49" s="3">
        <f t="shared" si="4"/>
        <v>11785.230311700987</v>
      </c>
      <c r="K49" s="3">
        <f t="shared" si="5"/>
        <v>7407.8590530691918</v>
      </c>
      <c r="L49" s="3">
        <f t="shared" si="6"/>
        <v>2693.7669283887972</v>
      </c>
      <c r="M49" s="3">
        <f t="shared" si="7"/>
        <v>4040.6503925831953</v>
      </c>
      <c r="N49" s="3">
        <f t="shared" si="8"/>
        <v>3367.2086604859965</v>
      </c>
      <c r="O49" s="3">
        <f t="shared" si="9"/>
        <v>0</v>
      </c>
      <c r="P49" s="18">
        <f t="shared" si="10"/>
        <v>3.3361865391589912E-4</v>
      </c>
      <c r="Q49" s="3" t="s">
        <v>504</v>
      </c>
      <c r="R49" s="3">
        <f t="shared" si="11"/>
        <v>41079.945657929151</v>
      </c>
      <c r="S49" s="3">
        <v>0</v>
      </c>
      <c r="T49" t="s">
        <v>481</v>
      </c>
    </row>
    <row r="50" spans="1:20" ht="15" customHeight="1" x14ac:dyDescent="0.25">
      <c r="A50" t="s">
        <v>271</v>
      </c>
      <c r="B50" t="s">
        <v>273</v>
      </c>
      <c r="C50" t="s">
        <v>146</v>
      </c>
      <c r="D50" s="2">
        <v>0.95327581788673399</v>
      </c>
      <c r="E50" s="3">
        <v>26419.689990003699</v>
      </c>
      <c r="F50" s="3">
        <f t="shared" si="0"/>
        <v>25185.251583534733</v>
      </c>
      <c r="G50" s="3">
        <f t="shared" si="1"/>
        <v>20643.648838962898</v>
      </c>
      <c r="H50" s="3">
        <f t="shared" si="2"/>
        <v>4541.6027445718355</v>
      </c>
      <c r="I50" s="3">
        <f t="shared" si="3"/>
        <v>2683.6743490651788</v>
      </c>
      <c r="J50" s="3">
        <f t="shared" si="4"/>
        <v>7225.2770936370134</v>
      </c>
      <c r="K50" s="3">
        <f t="shared" si="5"/>
        <v>4541.6027445718373</v>
      </c>
      <c r="L50" s="3">
        <f t="shared" si="6"/>
        <v>1651.4919071170318</v>
      </c>
      <c r="M50" s="3">
        <f t="shared" si="7"/>
        <v>2477.2378606755478</v>
      </c>
      <c r="N50" s="3">
        <f t="shared" si="8"/>
        <v>2064.3648838962899</v>
      </c>
      <c r="O50" s="3">
        <f t="shared" si="9"/>
        <v>0</v>
      </c>
      <c r="P50" s="18">
        <f t="shared" si="10"/>
        <v>2.0453458730927844E-4</v>
      </c>
      <c r="Q50" s="3" t="s">
        <v>504</v>
      </c>
      <c r="R50" s="3">
        <f t="shared" si="11"/>
        <v>25185.251583534733</v>
      </c>
      <c r="S50" s="3">
        <v>0</v>
      </c>
      <c r="T50" t="s">
        <v>481</v>
      </c>
    </row>
    <row r="51" spans="1:20" ht="15" customHeight="1" x14ac:dyDescent="0.25">
      <c r="A51" t="s">
        <v>271</v>
      </c>
      <c r="B51" t="s">
        <v>268</v>
      </c>
      <c r="C51" t="s">
        <v>145</v>
      </c>
      <c r="D51" s="2">
        <v>19.0808917741522</v>
      </c>
      <c r="E51" s="3">
        <v>2019.6228031056301</v>
      </c>
      <c r="F51" s="3">
        <f t="shared" si="0"/>
        <v>38536.204130668426</v>
      </c>
      <c r="G51" s="3">
        <f t="shared" si="1"/>
        <v>31587.05256612166</v>
      </c>
      <c r="H51" s="3">
        <f t="shared" si="2"/>
        <v>6949.1515645467662</v>
      </c>
      <c r="I51" s="3">
        <f t="shared" si="3"/>
        <v>4106.3168335958144</v>
      </c>
      <c r="J51" s="3">
        <f t="shared" si="4"/>
        <v>11055.468398142581</v>
      </c>
      <c r="K51" s="3">
        <f t="shared" si="5"/>
        <v>6949.1515645467653</v>
      </c>
      <c r="L51" s="3">
        <f t="shared" si="6"/>
        <v>2526.9642052897329</v>
      </c>
      <c r="M51" s="3">
        <f t="shared" si="7"/>
        <v>3790.4463079345992</v>
      </c>
      <c r="N51" s="3">
        <f t="shared" si="8"/>
        <v>3158.7052566121661</v>
      </c>
      <c r="O51" s="3">
        <f t="shared" si="9"/>
        <v>0</v>
      </c>
      <c r="P51" s="18">
        <f t="shared" si="10"/>
        <v>3.129604078875017E-4</v>
      </c>
      <c r="Q51" s="3" t="s">
        <v>504</v>
      </c>
      <c r="R51" s="3">
        <f t="shared" si="11"/>
        <v>38536.204130668426</v>
      </c>
      <c r="S51" s="3">
        <v>0</v>
      </c>
      <c r="T51" t="s">
        <v>481</v>
      </c>
    </row>
    <row r="52" spans="1:20" ht="15" customHeight="1" x14ac:dyDescent="0.25">
      <c r="A52" t="s">
        <v>271</v>
      </c>
      <c r="B52" t="s">
        <v>262</v>
      </c>
      <c r="C52" t="s">
        <v>146</v>
      </c>
      <c r="D52" s="2">
        <v>11.531562313146001</v>
      </c>
      <c r="E52" s="3">
        <v>49416.869278179001</v>
      </c>
      <c r="F52" s="3">
        <f t="shared" si="0"/>
        <v>569853.70740191138</v>
      </c>
      <c r="G52" s="3">
        <f t="shared" si="1"/>
        <v>467093.20278845198</v>
      </c>
      <c r="H52" s="3">
        <f t="shared" si="2"/>
        <v>102760.5046134594</v>
      </c>
      <c r="I52" s="3">
        <f t="shared" si="3"/>
        <v>60722.116362498724</v>
      </c>
      <c r="J52" s="3">
        <f t="shared" si="4"/>
        <v>163482.62097595818</v>
      </c>
      <c r="K52" s="3">
        <f t="shared" si="5"/>
        <v>102760.50461345943</v>
      </c>
      <c r="L52" s="3">
        <f t="shared" si="6"/>
        <v>37367.456223076158</v>
      </c>
      <c r="M52" s="3">
        <f t="shared" si="7"/>
        <v>56051.184334614234</v>
      </c>
      <c r="N52" s="3">
        <f t="shared" si="8"/>
        <v>46709.320278845204</v>
      </c>
      <c r="O52" s="3">
        <f t="shared" si="9"/>
        <v>0</v>
      </c>
      <c r="P52" s="18">
        <f t="shared" si="10"/>
        <v>4.6278986923565949E-3</v>
      </c>
      <c r="Q52" s="3" t="s">
        <v>504</v>
      </c>
      <c r="R52" s="3">
        <f t="shared" si="11"/>
        <v>569853.70740191138</v>
      </c>
      <c r="S52" s="3">
        <v>0</v>
      </c>
      <c r="T52" t="s">
        <v>481</v>
      </c>
    </row>
    <row r="53" spans="1:20" ht="15" customHeight="1" x14ac:dyDescent="0.25">
      <c r="A53" t="s">
        <v>271</v>
      </c>
      <c r="B53" t="s">
        <v>274</v>
      </c>
      <c r="C53" t="s">
        <v>145</v>
      </c>
      <c r="D53" s="2">
        <v>13.8378747757752</v>
      </c>
      <c r="E53" s="3">
        <v>14303.0065076676</v>
      </c>
      <c r="F53" s="3">
        <f t="shared" si="0"/>
        <v>197923.212970202</v>
      </c>
      <c r="G53" s="3">
        <f t="shared" si="1"/>
        <v>162232.1417788541</v>
      </c>
      <c r="H53" s="3">
        <f t="shared" si="2"/>
        <v>35691.071191347903</v>
      </c>
      <c r="I53" s="3">
        <f t="shared" si="3"/>
        <v>21090.178431251028</v>
      </c>
      <c r="J53" s="3">
        <f t="shared" si="4"/>
        <v>56781.249622598931</v>
      </c>
      <c r="K53" s="3">
        <f t="shared" si="5"/>
        <v>35691.071191347903</v>
      </c>
      <c r="L53" s="3">
        <f t="shared" si="6"/>
        <v>12978.571342308329</v>
      </c>
      <c r="M53" s="3">
        <f t="shared" si="7"/>
        <v>19467.85701346249</v>
      </c>
      <c r="N53" s="3">
        <f t="shared" si="8"/>
        <v>16223.214177885411</v>
      </c>
      <c r="O53" s="3">
        <f t="shared" si="9"/>
        <v>0</v>
      </c>
      <c r="P53" s="18">
        <f t="shared" si="10"/>
        <v>1.6073749571059498E-3</v>
      </c>
      <c r="Q53" s="3" t="s">
        <v>504</v>
      </c>
      <c r="R53" s="3">
        <f t="shared" si="11"/>
        <v>197923.212970202</v>
      </c>
      <c r="S53" s="3">
        <v>0</v>
      </c>
      <c r="T53" t="s">
        <v>481</v>
      </c>
    </row>
    <row r="54" spans="1:20" ht="15" customHeight="1" x14ac:dyDescent="0.25">
      <c r="A54" s="13" t="s">
        <v>54</v>
      </c>
      <c r="B54" s="13"/>
      <c r="C54" s="13"/>
      <c r="D54" s="14">
        <f>SUM(D9:D53)</f>
        <v>92824.967540787562</v>
      </c>
      <c r="E54" s="13"/>
      <c r="F54" s="10">
        <f t="shared" ref="F54:O54" si="12">SUM(F9:F53)</f>
        <v>123134438.6045178</v>
      </c>
      <c r="G54" s="10">
        <f t="shared" si="12"/>
        <v>100929867.70862119</v>
      </c>
      <c r="H54" s="10">
        <f t="shared" si="12"/>
        <v>22204570.895896651</v>
      </c>
      <c r="I54" s="10">
        <f t="shared" si="12"/>
        <v>13120882.802120756</v>
      </c>
      <c r="J54" s="10">
        <f t="shared" si="12"/>
        <v>35325453.698017389</v>
      </c>
      <c r="K54" s="10">
        <f t="shared" si="12"/>
        <v>22204570.895896647</v>
      </c>
      <c r="L54" s="10">
        <f t="shared" si="12"/>
        <v>8074389.4166896911</v>
      </c>
      <c r="M54" s="10">
        <f t="shared" si="12"/>
        <v>12111584.125034537</v>
      </c>
      <c r="N54" s="10">
        <f t="shared" si="12"/>
        <v>10092986.770862117</v>
      </c>
      <c r="O54" s="10">
        <f t="shared" si="12"/>
        <v>0</v>
      </c>
      <c r="P54" s="19">
        <f>1</f>
        <v>1</v>
      </c>
      <c r="Q54" s="10">
        <f>SUM(Q9:Q53)</f>
        <v>0</v>
      </c>
      <c r="R54" s="10">
        <f>SUM(R9:R53)</f>
        <v>123134438.6045178</v>
      </c>
      <c r="S54" s="10">
        <f>SUM(S9:S53)</f>
        <v>0</v>
      </c>
      <c r="T54" s="13" t="s">
        <v>54</v>
      </c>
    </row>
    <row r="56" spans="1:20" ht="15" customHeight="1" x14ac:dyDescent="0.25">
      <c r="A56" s="1" t="s">
        <v>488</v>
      </c>
      <c r="B56" s="3">
        <f>R54</f>
        <v>123134438.6045178</v>
      </c>
    </row>
    <row r="57" spans="1:20" ht="15" customHeight="1" x14ac:dyDescent="0.25">
      <c r="A57" s="1" t="s">
        <v>61</v>
      </c>
      <c r="B57" s="3">
        <f>S54</f>
        <v>0</v>
      </c>
    </row>
    <row r="58" spans="1:20" ht="15" customHeight="1" x14ac:dyDescent="0.25">
      <c r="A58" s="1" t="s">
        <v>489</v>
      </c>
      <c r="B58" s="3">
        <f>B56+B57</f>
        <v>123134438.6045178</v>
      </c>
    </row>
  </sheetData>
  <mergeCells count="1">
    <mergeCell ref="A1:Q1"/>
  </mergeCells>
  <pageMargins left="0.75" right="0.75" top="1" bottom="1" header="0.511811023622047" footer="0.511811023622047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T58"/>
  <sheetViews>
    <sheetView showGridLines="0" zoomScaleNormal="100" workbookViewId="0">
      <pane ySplit="7" topLeftCell="A8" activePane="bottomLeft" state="frozen"/>
      <selection pane="bottomLeft"/>
    </sheetView>
  </sheetViews>
  <sheetFormatPr defaultColWidth="8.7109375" defaultRowHeight="15" x14ac:dyDescent="0.25"/>
  <cols>
    <col min="1" max="1" width="24" customWidth="1"/>
    <col min="2" max="2" width="68" customWidth="1"/>
    <col min="3" max="3" width="10" customWidth="1"/>
    <col min="4" max="4" width="14" customWidth="1"/>
    <col min="5" max="5" width="18" customWidth="1"/>
    <col min="6" max="7" width="20" customWidth="1"/>
    <col min="8" max="14" width="18" customWidth="1"/>
    <col min="15" max="15" width="22" customWidth="1"/>
    <col min="16" max="16" width="14" customWidth="1"/>
    <col min="17" max="17" width="36" customWidth="1"/>
    <col min="18" max="19" width="24" customWidth="1"/>
    <col min="20" max="20" width="28" customWidth="1"/>
  </cols>
  <sheetData>
    <row r="1" spans="1:20" ht="17.25" customHeight="1" x14ac:dyDescent="0.25">
      <c r="A1" s="31" t="s">
        <v>506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20" ht="15" customHeight="1" x14ac:dyDescent="0.25">
      <c r="A2" s="1" t="s">
        <v>47</v>
      </c>
      <c r="B2" t="s">
        <v>21</v>
      </c>
    </row>
    <row r="3" spans="1:20" ht="15" customHeight="1" x14ac:dyDescent="0.25">
      <c r="A3" s="1" t="s">
        <v>55</v>
      </c>
      <c r="B3" t="s">
        <v>76</v>
      </c>
    </row>
    <row r="4" spans="1:20" ht="15" customHeight="1" x14ac:dyDescent="0.25">
      <c r="A4" s="1" t="s">
        <v>57</v>
      </c>
      <c r="B4" s="2">
        <v>2707</v>
      </c>
    </row>
    <row r="5" spans="1:20" ht="15" customHeight="1" x14ac:dyDescent="0.25">
      <c r="A5" s="1" t="s">
        <v>467</v>
      </c>
      <c r="B5" s="3">
        <v>74072205.622762099</v>
      </c>
    </row>
    <row r="6" spans="1:20" ht="15" customHeight="1" x14ac:dyDescent="0.25">
      <c r="A6" s="1" t="s">
        <v>468</v>
      </c>
      <c r="B6" t="s">
        <v>503</v>
      </c>
    </row>
    <row r="8" spans="1:20" ht="41.25" customHeight="1" x14ac:dyDescent="0.25">
      <c r="A8" s="12" t="s">
        <v>470</v>
      </c>
      <c r="B8" s="12" t="s">
        <v>180</v>
      </c>
      <c r="C8" s="12" t="s">
        <v>139</v>
      </c>
      <c r="D8" s="12" t="s">
        <v>140</v>
      </c>
      <c r="E8" s="12" t="s">
        <v>471</v>
      </c>
      <c r="F8" s="12" t="s">
        <v>472</v>
      </c>
      <c r="G8" s="12" t="s">
        <v>473</v>
      </c>
      <c r="H8" s="12" t="s">
        <v>181</v>
      </c>
      <c r="I8" s="12" t="s">
        <v>452</v>
      </c>
      <c r="J8" s="12" t="s">
        <v>454</v>
      </c>
      <c r="K8" s="12" t="s">
        <v>456</v>
      </c>
      <c r="L8" s="12" t="s">
        <v>457</v>
      </c>
      <c r="M8" s="12" t="s">
        <v>458</v>
      </c>
      <c r="N8" s="12" t="s">
        <v>459</v>
      </c>
      <c r="O8" s="12" t="s">
        <v>474</v>
      </c>
      <c r="P8" s="12" t="s">
        <v>475</v>
      </c>
      <c r="Q8" s="12" t="s">
        <v>476</v>
      </c>
      <c r="R8" s="12" t="s">
        <v>477</v>
      </c>
      <c r="S8" s="12" t="s">
        <v>61</v>
      </c>
      <c r="T8" s="12" t="s">
        <v>478</v>
      </c>
    </row>
    <row r="9" spans="1:20" ht="15" customHeight="1" x14ac:dyDescent="0.25">
      <c r="A9" t="s">
        <v>184</v>
      </c>
      <c r="B9" t="s">
        <v>185</v>
      </c>
      <c r="C9" t="s">
        <v>146</v>
      </c>
      <c r="D9" s="2">
        <v>1115.4495600922501</v>
      </c>
      <c r="E9" s="3">
        <v>9051.9950220840292</v>
      </c>
      <c r="F9" s="3">
        <f t="shared" ref="F9:F53" si="0">D9*E9</f>
        <v>10097043.865340868</v>
      </c>
      <c r="G9" s="3">
        <f t="shared" ref="G9:G53" si="1">F9/1.22</f>
        <v>8276265.4633941539</v>
      </c>
      <c r="H9" s="3">
        <f t="shared" ref="H9:H53" si="2">F9-G9</f>
        <v>1820778.4019467141</v>
      </c>
      <c r="I9" s="3">
        <f t="shared" ref="I9:I53" si="3">G9-SUM(J9:N9)</f>
        <v>1075914.5102412403</v>
      </c>
      <c r="J9" s="3">
        <f t="shared" ref="J9:J53" si="4">G9*0.35</f>
        <v>2896692.9121879535</v>
      </c>
      <c r="K9" s="3">
        <f t="shared" ref="K9:K53" si="5">G9*0.22</f>
        <v>1820778.4019467139</v>
      </c>
      <c r="L9" s="3">
        <f t="shared" ref="L9:L53" si="6">G9*0.08</f>
        <v>662101.23707153229</v>
      </c>
      <c r="M9" s="3">
        <f t="shared" ref="M9:M53" si="7">G9*0.12</f>
        <v>993151.85560729844</v>
      </c>
      <c r="N9" s="3">
        <f t="shared" ref="N9:N53" si="8">G9*0.1</f>
        <v>827626.54633941548</v>
      </c>
      <c r="O9" s="3">
        <f t="shared" ref="O9:O53" si="9">G9-SUM(I9:N9)</f>
        <v>0</v>
      </c>
      <c r="P9" s="18">
        <f t="shared" ref="P9:P53" si="10">IF($F$54=0,0,F9/$F$54)</f>
        <v>0.13631353056723447</v>
      </c>
      <c r="Q9" s="3" t="s">
        <v>504</v>
      </c>
      <c r="R9" s="3">
        <f t="shared" ref="R9:R53" si="11">F9</f>
        <v>10097043.865340868</v>
      </c>
      <c r="S9" s="3">
        <v>0</v>
      </c>
      <c r="T9" t="s">
        <v>481</v>
      </c>
    </row>
    <row r="10" spans="1:20" ht="15" customHeight="1" x14ac:dyDescent="0.25">
      <c r="A10" t="s">
        <v>189</v>
      </c>
      <c r="B10" t="s">
        <v>194</v>
      </c>
      <c r="C10" t="s">
        <v>112</v>
      </c>
      <c r="D10" s="2">
        <v>341.687357990946</v>
      </c>
      <c r="E10" s="3">
        <v>118.896960122563</v>
      </c>
      <c r="F10" s="3">
        <f t="shared" si="0"/>
        <v>40625.588177433412</v>
      </c>
      <c r="G10" s="3">
        <f t="shared" si="1"/>
        <v>33299.662440519191</v>
      </c>
      <c r="H10" s="3">
        <f t="shared" si="2"/>
        <v>7325.9257369142215</v>
      </c>
      <c r="I10" s="3">
        <f t="shared" si="3"/>
        <v>4328.9561172674912</v>
      </c>
      <c r="J10" s="3">
        <f t="shared" si="4"/>
        <v>11654.881854181716</v>
      </c>
      <c r="K10" s="3">
        <f t="shared" si="5"/>
        <v>7325.9257369142224</v>
      </c>
      <c r="L10" s="3">
        <f t="shared" si="6"/>
        <v>2663.9729952415355</v>
      </c>
      <c r="M10" s="3">
        <f t="shared" si="7"/>
        <v>3995.9594928623028</v>
      </c>
      <c r="N10" s="3">
        <f t="shared" si="8"/>
        <v>3329.9662440519191</v>
      </c>
      <c r="O10" s="3">
        <f t="shared" si="9"/>
        <v>0</v>
      </c>
      <c r="P10" s="18">
        <f t="shared" si="10"/>
        <v>5.4845927478294624E-4</v>
      </c>
      <c r="Q10" s="3" t="s">
        <v>504</v>
      </c>
      <c r="R10" s="3">
        <f t="shared" si="11"/>
        <v>40625.588177433412</v>
      </c>
      <c r="S10" s="3">
        <v>0</v>
      </c>
      <c r="T10" t="s">
        <v>481</v>
      </c>
    </row>
    <row r="11" spans="1:20" ht="15" customHeight="1" x14ac:dyDescent="0.25">
      <c r="A11" t="s">
        <v>189</v>
      </c>
      <c r="B11" t="s">
        <v>200</v>
      </c>
      <c r="C11" t="s">
        <v>112</v>
      </c>
      <c r="D11" s="2">
        <v>11.1221235158452</v>
      </c>
      <c r="E11" s="3">
        <v>118.896960122563</v>
      </c>
      <c r="F11" s="3">
        <f t="shared" si="0"/>
        <v>1322.3866761416668</v>
      </c>
      <c r="G11" s="3">
        <f t="shared" si="1"/>
        <v>1083.9235050341531</v>
      </c>
      <c r="H11" s="3">
        <f t="shared" si="2"/>
        <v>238.46317110751374</v>
      </c>
      <c r="I11" s="3">
        <f t="shared" si="3"/>
        <v>140.91005565444004</v>
      </c>
      <c r="J11" s="3">
        <f t="shared" si="4"/>
        <v>379.37322676195356</v>
      </c>
      <c r="K11" s="3">
        <f t="shared" si="5"/>
        <v>238.46317110751369</v>
      </c>
      <c r="L11" s="3">
        <f t="shared" si="6"/>
        <v>86.713880402732244</v>
      </c>
      <c r="M11" s="3">
        <f t="shared" si="7"/>
        <v>130.07082060409837</v>
      </c>
      <c r="N11" s="3">
        <f t="shared" si="8"/>
        <v>108.39235050341532</v>
      </c>
      <c r="O11" s="3">
        <f t="shared" si="9"/>
        <v>0</v>
      </c>
      <c r="P11" s="18">
        <f t="shared" si="10"/>
        <v>1.7852670445326949E-5</v>
      </c>
      <c r="Q11" s="3" t="s">
        <v>504</v>
      </c>
      <c r="R11" s="3">
        <f t="shared" si="11"/>
        <v>1322.3866761416668</v>
      </c>
      <c r="S11" s="3">
        <v>0</v>
      </c>
      <c r="T11" t="s">
        <v>481</v>
      </c>
    </row>
    <row r="12" spans="1:20" ht="15" customHeight="1" x14ac:dyDescent="0.25">
      <c r="A12" t="s">
        <v>189</v>
      </c>
      <c r="B12" t="s">
        <v>201</v>
      </c>
      <c r="C12" t="s">
        <v>112</v>
      </c>
      <c r="D12" s="2">
        <v>9.5728880157170906</v>
      </c>
      <c r="E12" s="3">
        <v>118.896960122563</v>
      </c>
      <c r="F12" s="3">
        <f t="shared" si="0"/>
        <v>1138.1872846624763</v>
      </c>
      <c r="G12" s="3">
        <f t="shared" si="1"/>
        <v>932.94039726432482</v>
      </c>
      <c r="H12" s="3">
        <f t="shared" si="2"/>
        <v>205.24688739815144</v>
      </c>
      <c r="I12" s="3">
        <f t="shared" si="3"/>
        <v>121.28225164436219</v>
      </c>
      <c r="J12" s="3">
        <f t="shared" si="4"/>
        <v>326.52913904251369</v>
      </c>
      <c r="K12" s="3">
        <f t="shared" si="5"/>
        <v>205.24688739815147</v>
      </c>
      <c r="L12" s="3">
        <f t="shared" si="6"/>
        <v>74.63523178114599</v>
      </c>
      <c r="M12" s="3">
        <f t="shared" si="7"/>
        <v>111.95284767171897</v>
      </c>
      <c r="N12" s="3">
        <f t="shared" si="8"/>
        <v>93.294039726432487</v>
      </c>
      <c r="O12" s="3">
        <f t="shared" si="9"/>
        <v>0</v>
      </c>
      <c r="P12" s="18">
        <f t="shared" si="10"/>
        <v>1.5365915934231539E-5</v>
      </c>
      <c r="Q12" s="3" t="s">
        <v>504</v>
      </c>
      <c r="R12" s="3">
        <f t="shared" si="11"/>
        <v>1138.1872846624763</v>
      </c>
      <c r="S12" s="3">
        <v>0</v>
      </c>
      <c r="T12" t="s">
        <v>481</v>
      </c>
    </row>
    <row r="13" spans="1:20" ht="15" customHeight="1" x14ac:dyDescent="0.25">
      <c r="A13" t="s">
        <v>189</v>
      </c>
      <c r="B13" t="s">
        <v>202</v>
      </c>
      <c r="C13" t="s">
        <v>112</v>
      </c>
      <c r="D13" s="2">
        <v>2.9828564106944602</v>
      </c>
      <c r="E13" s="3">
        <v>118.896960122563</v>
      </c>
      <c r="F13" s="3">
        <f t="shared" si="0"/>
        <v>354.65255971367066</v>
      </c>
      <c r="G13" s="3">
        <f t="shared" si="1"/>
        <v>290.69881943743496</v>
      </c>
      <c r="H13" s="3">
        <f t="shared" si="2"/>
        <v>63.953740276235692</v>
      </c>
      <c r="I13" s="3">
        <f t="shared" si="3"/>
        <v>37.790846526866545</v>
      </c>
      <c r="J13" s="3">
        <f t="shared" si="4"/>
        <v>101.74458680310224</v>
      </c>
      <c r="K13" s="3">
        <f t="shared" si="5"/>
        <v>63.953740276235692</v>
      </c>
      <c r="L13" s="3">
        <f t="shared" si="6"/>
        <v>23.255905554994797</v>
      </c>
      <c r="M13" s="3">
        <f t="shared" si="7"/>
        <v>34.883858332492196</v>
      </c>
      <c r="N13" s="3">
        <f t="shared" si="8"/>
        <v>29.069881943743496</v>
      </c>
      <c r="O13" s="3">
        <f t="shared" si="9"/>
        <v>0</v>
      </c>
      <c r="P13" s="18">
        <f t="shared" si="10"/>
        <v>4.7879303273330228E-6</v>
      </c>
      <c r="Q13" s="3" t="s">
        <v>504</v>
      </c>
      <c r="R13" s="3">
        <f t="shared" si="11"/>
        <v>354.65255971367066</v>
      </c>
      <c r="S13" s="3">
        <v>0</v>
      </c>
      <c r="T13" t="s">
        <v>481</v>
      </c>
    </row>
    <row r="14" spans="1:20" ht="15" customHeight="1" x14ac:dyDescent="0.25">
      <c r="A14" t="s">
        <v>189</v>
      </c>
      <c r="B14" t="s">
        <v>203</v>
      </c>
      <c r="C14" t="s">
        <v>112</v>
      </c>
      <c r="D14" s="2">
        <v>18.082121807465601</v>
      </c>
      <c r="E14" s="3">
        <v>118.896960122563</v>
      </c>
      <c r="F14" s="3">
        <f t="shared" si="0"/>
        <v>2149.9093154735642</v>
      </c>
      <c r="G14" s="3">
        <f t="shared" si="1"/>
        <v>1762.2207503881675</v>
      </c>
      <c r="H14" s="3">
        <f t="shared" si="2"/>
        <v>387.6885650853967</v>
      </c>
      <c r="I14" s="3">
        <f t="shared" si="3"/>
        <v>229.08869755046203</v>
      </c>
      <c r="J14" s="3">
        <f t="shared" si="4"/>
        <v>616.77726263585862</v>
      </c>
      <c r="K14" s="3">
        <f t="shared" si="5"/>
        <v>387.68856508539687</v>
      </c>
      <c r="L14" s="3">
        <f t="shared" si="6"/>
        <v>140.9776600310534</v>
      </c>
      <c r="M14" s="3">
        <f t="shared" si="7"/>
        <v>211.46649004658011</v>
      </c>
      <c r="N14" s="3">
        <f t="shared" si="8"/>
        <v>176.22207503881677</v>
      </c>
      <c r="O14" s="3">
        <f t="shared" si="9"/>
        <v>0</v>
      </c>
      <c r="P14" s="18">
        <f t="shared" si="10"/>
        <v>2.9024507875770656E-5</v>
      </c>
      <c r="Q14" s="3" t="s">
        <v>504</v>
      </c>
      <c r="R14" s="3">
        <f t="shared" si="11"/>
        <v>2149.9093154735642</v>
      </c>
      <c r="S14" s="3">
        <v>0</v>
      </c>
      <c r="T14" t="s">
        <v>481</v>
      </c>
    </row>
    <row r="15" spans="1:20" ht="15" customHeight="1" x14ac:dyDescent="0.25">
      <c r="A15" t="s">
        <v>189</v>
      </c>
      <c r="B15" t="s">
        <v>204</v>
      </c>
      <c r="C15" t="s">
        <v>112</v>
      </c>
      <c r="D15" s="2">
        <v>14.891159135559899</v>
      </c>
      <c r="E15" s="3">
        <v>118.896960122563</v>
      </c>
      <c r="F15" s="3">
        <f t="shared" si="0"/>
        <v>1770.513553919405</v>
      </c>
      <c r="G15" s="3">
        <f t="shared" si="1"/>
        <v>1451.2406179667255</v>
      </c>
      <c r="H15" s="3">
        <f t="shared" si="2"/>
        <v>319.27293595267952</v>
      </c>
      <c r="I15" s="3">
        <f t="shared" si="3"/>
        <v>188.66128033567429</v>
      </c>
      <c r="J15" s="3">
        <f t="shared" si="4"/>
        <v>507.93421628835387</v>
      </c>
      <c r="K15" s="3">
        <f t="shared" si="5"/>
        <v>319.27293595267963</v>
      </c>
      <c r="L15" s="3">
        <f t="shared" si="6"/>
        <v>116.09924943733805</v>
      </c>
      <c r="M15" s="3">
        <f t="shared" si="7"/>
        <v>174.14887415600705</v>
      </c>
      <c r="N15" s="3">
        <f t="shared" si="8"/>
        <v>145.12406179667255</v>
      </c>
      <c r="O15" s="3">
        <f t="shared" si="9"/>
        <v>0</v>
      </c>
      <c r="P15" s="18">
        <f t="shared" si="10"/>
        <v>2.3902535897693472E-5</v>
      </c>
      <c r="Q15" s="3" t="s">
        <v>504</v>
      </c>
      <c r="R15" s="3">
        <f t="shared" si="11"/>
        <v>1770.513553919405</v>
      </c>
      <c r="S15" s="3">
        <v>0</v>
      </c>
      <c r="T15" t="s">
        <v>481</v>
      </c>
    </row>
    <row r="16" spans="1:20" ht="15" customHeight="1" x14ac:dyDescent="0.25">
      <c r="A16" t="s">
        <v>189</v>
      </c>
      <c r="B16" t="s">
        <v>205</v>
      </c>
      <c r="C16" t="s">
        <v>112</v>
      </c>
      <c r="D16" s="2">
        <v>7.8386691722900803</v>
      </c>
      <c r="E16" s="3">
        <v>118.896960122563</v>
      </c>
      <c r="F16" s="3">
        <f t="shared" si="0"/>
        <v>931.99393599173766</v>
      </c>
      <c r="G16" s="3">
        <f t="shared" si="1"/>
        <v>763.92945573093255</v>
      </c>
      <c r="H16" s="3">
        <f t="shared" si="2"/>
        <v>168.06448026080511</v>
      </c>
      <c r="I16" s="3">
        <f t="shared" si="3"/>
        <v>99.310829245021296</v>
      </c>
      <c r="J16" s="3">
        <f t="shared" si="4"/>
        <v>267.37530950582635</v>
      </c>
      <c r="K16" s="3">
        <f t="shared" si="5"/>
        <v>168.06448026080517</v>
      </c>
      <c r="L16" s="3">
        <f t="shared" si="6"/>
        <v>61.114356458474603</v>
      </c>
      <c r="M16" s="3">
        <f t="shared" si="7"/>
        <v>91.671534687711898</v>
      </c>
      <c r="N16" s="3">
        <f t="shared" si="8"/>
        <v>76.392945573093257</v>
      </c>
      <c r="O16" s="3">
        <f t="shared" si="9"/>
        <v>0</v>
      </c>
      <c r="P16" s="18">
        <f t="shared" si="10"/>
        <v>1.2582235511363504E-5</v>
      </c>
      <c r="Q16" s="3" t="s">
        <v>504</v>
      </c>
      <c r="R16" s="3">
        <f t="shared" si="11"/>
        <v>931.99393599173766</v>
      </c>
      <c r="S16" s="3">
        <v>0</v>
      </c>
      <c r="T16" t="s">
        <v>481</v>
      </c>
    </row>
    <row r="17" spans="1:20" ht="15" customHeight="1" x14ac:dyDescent="0.25">
      <c r="A17" t="s">
        <v>206</v>
      </c>
      <c r="B17" t="s">
        <v>209</v>
      </c>
      <c r="C17" t="s">
        <v>112</v>
      </c>
      <c r="D17" s="2">
        <v>38.083445801657099</v>
      </c>
      <c r="E17" s="3">
        <v>118.896960122563</v>
      </c>
      <c r="F17" s="3">
        <f t="shared" si="0"/>
        <v>4528.0059368094135</v>
      </c>
      <c r="G17" s="3">
        <f t="shared" si="1"/>
        <v>3711.4802760732896</v>
      </c>
      <c r="H17" s="3">
        <f t="shared" si="2"/>
        <v>816.52566073612388</v>
      </c>
      <c r="I17" s="3">
        <f t="shared" si="3"/>
        <v>482.49243588952731</v>
      </c>
      <c r="J17" s="3">
        <f t="shared" si="4"/>
        <v>1299.0180966256512</v>
      </c>
      <c r="K17" s="3">
        <f t="shared" si="5"/>
        <v>816.52566073612377</v>
      </c>
      <c r="L17" s="3">
        <f t="shared" si="6"/>
        <v>296.9184220858632</v>
      </c>
      <c r="M17" s="3">
        <f t="shared" si="7"/>
        <v>445.37763312879474</v>
      </c>
      <c r="N17" s="3">
        <f t="shared" si="8"/>
        <v>371.14802760732897</v>
      </c>
      <c r="O17" s="3">
        <f t="shared" si="9"/>
        <v>0</v>
      </c>
      <c r="P17" s="18">
        <f t="shared" si="10"/>
        <v>6.1129622086181955E-5</v>
      </c>
      <c r="Q17" s="3" t="s">
        <v>504</v>
      </c>
      <c r="R17" s="3">
        <f t="shared" si="11"/>
        <v>4528.0059368094135</v>
      </c>
      <c r="S17" s="3">
        <v>0</v>
      </c>
      <c r="T17" t="s">
        <v>481</v>
      </c>
    </row>
    <row r="18" spans="1:20" ht="15" customHeight="1" x14ac:dyDescent="0.25">
      <c r="A18" t="s">
        <v>206</v>
      </c>
      <c r="B18" t="s">
        <v>213</v>
      </c>
      <c r="C18" t="s">
        <v>112</v>
      </c>
      <c r="D18" s="2">
        <v>11.168369351669901</v>
      </c>
      <c r="E18" s="3">
        <v>118.896960122563</v>
      </c>
      <c r="F18" s="3">
        <f t="shared" si="0"/>
        <v>1327.885165439551</v>
      </c>
      <c r="G18" s="3">
        <f t="shared" si="1"/>
        <v>1088.4304634750417</v>
      </c>
      <c r="H18" s="3">
        <f t="shared" si="2"/>
        <v>239.45470196450924</v>
      </c>
      <c r="I18" s="3">
        <f t="shared" si="3"/>
        <v>141.49596025175538</v>
      </c>
      <c r="J18" s="3">
        <f t="shared" si="4"/>
        <v>380.95066221626456</v>
      </c>
      <c r="K18" s="3">
        <f t="shared" si="5"/>
        <v>239.45470196450918</v>
      </c>
      <c r="L18" s="3">
        <f t="shared" si="6"/>
        <v>87.074437078003342</v>
      </c>
      <c r="M18" s="3">
        <f t="shared" si="7"/>
        <v>130.611655617005</v>
      </c>
      <c r="N18" s="3">
        <f t="shared" si="8"/>
        <v>108.84304634750418</v>
      </c>
      <c r="O18" s="3">
        <f t="shared" si="9"/>
        <v>0</v>
      </c>
      <c r="P18" s="18">
        <f t="shared" si="10"/>
        <v>1.7926901923270065E-5</v>
      </c>
      <c r="Q18" s="3" t="s">
        <v>504</v>
      </c>
      <c r="R18" s="3">
        <f t="shared" si="11"/>
        <v>1327.885165439551</v>
      </c>
      <c r="S18" s="3">
        <v>0</v>
      </c>
      <c r="T18" t="s">
        <v>481</v>
      </c>
    </row>
    <row r="19" spans="1:20" ht="15" customHeight="1" x14ac:dyDescent="0.25">
      <c r="A19" t="s">
        <v>214</v>
      </c>
      <c r="B19" t="s">
        <v>215</v>
      </c>
      <c r="C19" t="s">
        <v>146</v>
      </c>
      <c r="D19" s="2">
        <v>1.15614589561801</v>
      </c>
      <c r="E19" s="3">
        <v>9051.9950220840292</v>
      </c>
      <c r="F19" s="3">
        <f t="shared" si="0"/>
        <v>10465.426891937108</v>
      </c>
      <c r="G19" s="3">
        <f t="shared" si="1"/>
        <v>8578.2187638828764</v>
      </c>
      <c r="H19" s="3">
        <f t="shared" si="2"/>
        <v>1887.2081280542316</v>
      </c>
      <c r="I19" s="3">
        <f t="shared" si="3"/>
        <v>1115.1684393047735</v>
      </c>
      <c r="J19" s="3">
        <f t="shared" si="4"/>
        <v>3002.3765673590065</v>
      </c>
      <c r="K19" s="3">
        <f t="shared" si="5"/>
        <v>1887.2081280542327</v>
      </c>
      <c r="L19" s="3">
        <f t="shared" si="6"/>
        <v>686.25750111063007</v>
      </c>
      <c r="M19" s="3">
        <f t="shared" si="7"/>
        <v>1029.3862516659451</v>
      </c>
      <c r="N19" s="3">
        <f t="shared" si="8"/>
        <v>857.82187638828771</v>
      </c>
      <c r="O19" s="3">
        <f t="shared" si="9"/>
        <v>0</v>
      </c>
      <c r="P19" s="18">
        <f t="shared" si="10"/>
        <v>1.4128682687317081E-4</v>
      </c>
      <c r="Q19" s="3" t="s">
        <v>504</v>
      </c>
      <c r="R19" s="3">
        <f t="shared" si="11"/>
        <v>10465.426891937108</v>
      </c>
      <c r="S19" s="3">
        <v>0</v>
      </c>
      <c r="T19" t="s">
        <v>481</v>
      </c>
    </row>
    <row r="20" spans="1:20" ht="15" customHeight="1" x14ac:dyDescent="0.25">
      <c r="A20" t="s">
        <v>214</v>
      </c>
      <c r="B20" t="s">
        <v>216</v>
      </c>
      <c r="C20" t="s">
        <v>112</v>
      </c>
      <c r="D20" s="2">
        <v>82.317587768002099</v>
      </c>
      <c r="E20" s="3">
        <v>118.896960122563</v>
      </c>
      <c r="F20" s="3">
        <f t="shared" si="0"/>
        <v>9787.3109502377247</v>
      </c>
      <c r="G20" s="3">
        <f t="shared" si="1"/>
        <v>8022.3860247850207</v>
      </c>
      <c r="H20" s="3">
        <f t="shared" si="2"/>
        <v>1764.924925452704</v>
      </c>
      <c r="I20" s="3">
        <f t="shared" si="3"/>
        <v>1042.9101832220531</v>
      </c>
      <c r="J20" s="3">
        <f t="shared" si="4"/>
        <v>2807.8351086747571</v>
      </c>
      <c r="K20" s="3">
        <f t="shared" si="5"/>
        <v>1764.9249254527047</v>
      </c>
      <c r="L20" s="3">
        <f t="shared" si="6"/>
        <v>641.79088198280169</v>
      </c>
      <c r="M20" s="3">
        <f t="shared" si="7"/>
        <v>962.68632297420243</v>
      </c>
      <c r="N20" s="3">
        <f t="shared" si="8"/>
        <v>802.23860247850212</v>
      </c>
      <c r="O20" s="3">
        <f t="shared" si="9"/>
        <v>0</v>
      </c>
      <c r="P20" s="18">
        <f t="shared" si="10"/>
        <v>1.321320307388027E-4</v>
      </c>
      <c r="Q20" s="3" t="s">
        <v>504</v>
      </c>
      <c r="R20" s="3">
        <f t="shared" si="11"/>
        <v>9787.3109502377247</v>
      </c>
      <c r="S20" s="3">
        <v>0</v>
      </c>
      <c r="T20" t="s">
        <v>481</v>
      </c>
    </row>
    <row r="21" spans="1:20" ht="15" customHeight="1" x14ac:dyDescent="0.25">
      <c r="A21" t="s">
        <v>214</v>
      </c>
      <c r="B21" t="s">
        <v>219</v>
      </c>
      <c r="C21" t="s">
        <v>146</v>
      </c>
      <c r="D21" s="2">
        <v>0.78617920902024396</v>
      </c>
      <c r="E21" s="3">
        <v>9051.9950220840292</v>
      </c>
      <c r="F21" s="3">
        <f t="shared" si="0"/>
        <v>7116.490286517208</v>
      </c>
      <c r="G21" s="3">
        <f t="shared" si="1"/>
        <v>5833.1887594403343</v>
      </c>
      <c r="H21" s="3">
        <f t="shared" si="2"/>
        <v>1283.3015270768738</v>
      </c>
      <c r="I21" s="3">
        <f t="shared" si="3"/>
        <v>758.31453872724342</v>
      </c>
      <c r="J21" s="3">
        <f t="shared" si="4"/>
        <v>2041.6160658041169</v>
      </c>
      <c r="K21" s="3">
        <f t="shared" si="5"/>
        <v>1283.3015270768735</v>
      </c>
      <c r="L21" s="3">
        <f t="shared" si="6"/>
        <v>466.65510075522673</v>
      </c>
      <c r="M21" s="3">
        <f t="shared" si="7"/>
        <v>699.98265113284003</v>
      </c>
      <c r="N21" s="3">
        <f t="shared" si="8"/>
        <v>583.31887594403349</v>
      </c>
      <c r="O21" s="3">
        <f t="shared" si="9"/>
        <v>0</v>
      </c>
      <c r="P21" s="18">
        <f t="shared" si="10"/>
        <v>9.6075042273755803E-5</v>
      </c>
      <c r="Q21" s="3" t="s">
        <v>504</v>
      </c>
      <c r="R21" s="3">
        <f t="shared" si="11"/>
        <v>7116.490286517208</v>
      </c>
      <c r="S21" s="3">
        <v>0</v>
      </c>
      <c r="T21" t="s">
        <v>481</v>
      </c>
    </row>
    <row r="22" spans="1:20" ht="15" customHeight="1" x14ac:dyDescent="0.25">
      <c r="A22" t="s">
        <v>214</v>
      </c>
      <c r="B22" t="s">
        <v>220</v>
      </c>
      <c r="C22" t="s">
        <v>112</v>
      </c>
      <c r="D22" s="2">
        <v>142.067207653541</v>
      </c>
      <c r="E22" s="3">
        <v>118.896960122563</v>
      </c>
      <c r="F22" s="3">
        <f t="shared" si="0"/>
        <v>16891.35912310694</v>
      </c>
      <c r="G22" s="3">
        <f t="shared" si="1"/>
        <v>13845.376330415525</v>
      </c>
      <c r="H22" s="3">
        <f t="shared" si="2"/>
        <v>3045.9827926914149</v>
      </c>
      <c r="I22" s="3">
        <f t="shared" si="3"/>
        <v>1799.8989229540202</v>
      </c>
      <c r="J22" s="3">
        <f t="shared" si="4"/>
        <v>4845.8817156454334</v>
      </c>
      <c r="K22" s="3">
        <f t="shared" si="5"/>
        <v>3045.9827926914154</v>
      </c>
      <c r="L22" s="3">
        <f t="shared" si="6"/>
        <v>1107.630106433242</v>
      </c>
      <c r="M22" s="3">
        <f t="shared" si="7"/>
        <v>1661.4451596498629</v>
      </c>
      <c r="N22" s="3">
        <f t="shared" si="8"/>
        <v>1384.5376330415527</v>
      </c>
      <c r="O22" s="3">
        <f t="shared" si="9"/>
        <v>0</v>
      </c>
      <c r="P22" s="18">
        <f t="shared" si="10"/>
        <v>2.2803910024134984E-4</v>
      </c>
      <c r="Q22" s="3" t="s">
        <v>504</v>
      </c>
      <c r="R22" s="3">
        <f t="shared" si="11"/>
        <v>16891.35912310694</v>
      </c>
      <c r="S22" s="3">
        <v>0</v>
      </c>
      <c r="T22" t="s">
        <v>481</v>
      </c>
    </row>
    <row r="23" spans="1:20" ht="15" customHeight="1" x14ac:dyDescent="0.25">
      <c r="A23" t="s">
        <v>214</v>
      </c>
      <c r="B23" t="s">
        <v>223</v>
      </c>
      <c r="C23" t="s">
        <v>112</v>
      </c>
      <c r="D23" s="2">
        <v>9.9891005381395797</v>
      </c>
      <c r="E23" s="3">
        <v>118.896960122563</v>
      </c>
      <c r="F23" s="3">
        <f t="shared" si="0"/>
        <v>1187.6736883434542</v>
      </c>
      <c r="G23" s="3">
        <f t="shared" si="1"/>
        <v>973.5030232323395</v>
      </c>
      <c r="H23" s="3">
        <f t="shared" si="2"/>
        <v>214.17066511111466</v>
      </c>
      <c r="I23" s="3">
        <f t="shared" si="3"/>
        <v>126.55539302020406</v>
      </c>
      <c r="J23" s="3">
        <f t="shared" si="4"/>
        <v>340.72605813131878</v>
      </c>
      <c r="K23" s="3">
        <f t="shared" si="5"/>
        <v>214.17066511111469</v>
      </c>
      <c r="L23" s="3">
        <f t="shared" si="6"/>
        <v>77.880241858587155</v>
      </c>
      <c r="M23" s="3">
        <f t="shared" si="7"/>
        <v>116.82036278788074</v>
      </c>
      <c r="N23" s="3">
        <f t="shared" si="8"/>
        <v>97.350302323233961</v>
      </c>
      <c r="O23" s="3">
        <f t="shared" si="9"/>
        <v>0</v>
      </c>
      <c r="P23" s="18">
        <f t="shared" si="10"/>
        <v>1.6033999235719877E-5</v>
      </c>
      <c r="Q23" s="3" t="s">
        <v>504</v>
      </c>
      <c r="R23" s="3">
        <f t="shared" si="11"/>
        <v>1187.6736883434542</v>
      </c>
      <c r="S23" s="3">
        <v>0</v>
      </c>
      <c r="T23" t="s">
        <v>481</v>
      </c>
    </row>
    <row r="24" spans="1:20" ht="15" customHeight="1" x14ac:dyDescent="0.25">
      <c r="A24" t="s">
        <v>224</v>
      </c>
      <c r="B24" t="s">
        <v>226</v>
      </c>
      <c r="C24" t="s">
        <v>112</v>
      </c>
      <c r="D24" s="2">
        <v>11.0990005979329</v>
      </c>
      <c r="E24" s="3">
        <v>118.896960122563</v>
      </c>
      <c r="F24" s="3">
        <f t="shared" si="0"/>
        <v>1319.6374314927309</v>
      </c>
      <c r="G24" s="3">
        <f t="shared" si="1"/>
        <v>1081.6700258137139</v>
      </c>
      <c r="H24" s="3">
        <f t="shared" si="2"/>
        <v>237.96740567901702</v>
      </c>
      <c r="I24" s="3">
        <f t="shared" si="3"/>
        <v>140.61710335578266</v>
      </c>
      <c r="J24" s="3">
        <f t="shared" si="4"/>
        <v>378.58450903479985</v>
      </c>
      <c r="K24" s="3">
        <f t="shared" si="5"/>
        <v>237.96740567901705</v>
      </c>
      <c r="L24" s="3">
        <f t="shared" si="6"/>
        <v>86.533602065097114</v>
      </c>
      <c r="M24" s="3">
        <f t="shared" si="7"/>
        <v>129.80040309764567</v>
      </c>
      <c r="N24" s="3">
        <f t="shared" si="8"/>
        <v>108.16700258137139</v>
      </c>
      <c r="O24" s="3">
        <f t="shared" si="9"/>
        <v>0</v>
      </c>
      <c r="P24" s="18">
        <f t="shared" si="10"/>
        <v>1.7815554706355473E-5</v>
      </c>
      <c r="Q24" s="3" t="s">
        <v>504</v>
      </c>
      <c r="R24" s="3">
        <f t="shared" si="11"/>
        <v>1319.6374314927309</v>
      </c>
      <c r="S24" s="3">
        <v>0</v>
      </c>
      <c r="T24" t="s">
        <v>481</v>
      </c>
    </row>
    <row r="25" spans="1:20" ht="15" customHeight="1" x14ac:dyDescent="0.25">
      <c r="A25" t="s">
        <v>224</v>
      </c>
      <c r="B25" t="s">
        <v>227</v>
      </c>
      <c r="C25" t="s">
        <v>112</v>
      </c>
      <c r="D25" s="2">
        <v>4.1621252242248197</v>
      </c>
      <c r="E25" s="3">
        <v>118.896960122563</v>
      </c>
      <c r="F25" s="3">
        <f t="shared" si="0"/>
        <v>494.86403680977196</v>
      </c>
      <c r="G25" s="3">
        <f t="shared" si="1"/>
        <v>405.62625968014095</v>
      </c>
      <c r="H25" s="3">
        <f t="shared" si="2"/>
        <v>89.237777129631013</v>
      </c>
      <c r="I25" s="3">
        <f t="shared" si="3"/>
        <v>52.731413758418341</v>
      </c>
      <c r="J25" s="3">
        <f t="shared" si="4"/>
        <v>141.96919088804933</v>
      </c>
      <c r="K25" s="3">
        <f t="shared" si="5"/>
        <v>89.237777129631013</v>
      </c>
      <c r="L25" s="3">
        <f t="shared" si="6"/>
        <v>32.450100774411275</v>
      </c>
      <c r="M25" s="3">
        <f t="shared" si="7"/>
        <v>48.67515116161691</v>
      </c>
      <c r="N25" s="3">
        <f t="shared" si="8"/>
        <v>40.562625968014096</v>
      </c>
      <c r="O25" s="3">
        <f t="shared" si="9"/>
        <v>0</v>
      </c>
      <c r="P25" s="18">
        <f t="shared" si="10"/>
        <v>6.6808330148832734E-6</v>
      </c>
      <c r="Q25" s="3" t="s">
        <v>504</v>
      </c>
      <c r="R25" s="3">
        <f t="shared" si="11"/>
        <v>494.86403680977196</v>
      </c>
      <c r="S25" s="3">
        <v>0</v>
      </c>
      <c r="T25" t="s">
        <v>481</v>
      </c>
    </row>
    <row r="26" spans="1:20" ht="15" customHeight="1" x14ac:dyDescent="0.25">
      <c r="A26" t="s">
        <v>224</v>
      </c>
      <c r="B26" t="s">
        <v>230</v>
      </c>
      <c r="C26" t="s">
        <v>112</v>
      </c>
      <c r="D26" s="2">
        <v>21.7355428376185</v>
      </c>
      <c r="E26" s="3">
        <v>118.896960122563</v>
      </c>
      <c r="F26" s="3">
        <f t="shared" si="0"/>
        <v>2584.2899700065868</v>
      </c>
      <c r="G26" s="3">
        <f t="shared" si="1"/>
        <v>2118.2704672185137</v>
      </c>
      <c r="H26" s="3">
        <f t="shared" si="2"/>
        <v>466.01950278807317</v>
      </c>
      <c r="I26" s="3">
        <f t="shared" si="3"/>
        <v>275.37516073840698</v>
      </c>
      <c r="J26" s="3">
        <f t="shared" si="4"/>
        <v>741.39466352647969</v>
      </c>
      <c r="K26" s="3">
        <f t="shared" si="5"/>
        <v>466.019502788073</v>
      </c>
      <c r="L26" s="3">
        <f t="shared" si="6"/>
        <v>169.46163737748108</v>
      </c>
      <c r="M26" s="3">
        <f t="shared" si="7"/>
        <v>254.19245606622164</v>
      </c>
      <c r="N26" s="3">
        <f t="shared" si="8"/>
        <v>211.82704672185139</v>
      </c>
      <c r="O26" s="3">
        <f t="shared" si="9"/>
        <v>0</v>
      </c>
      <c r="P26" s="18">
        <f t="shared" si="10"/>
        <v>3.4888794633279318E-5</v>
      </c>
      <c r="Q26" s="3" t="s">
        <v>504</v>
      </c>
      <c r="R26" s="3">
        <f t="shared" si="11"/>
        <v>2584.2899700065868</v>
      </c>
      <c r="S26" s="3">
        <v>0</v>
      </c>
      <c r="T26" t="s">
        <v>481</v>
      </c>
    </row>
    <row r="27" spans="1:20" ht="15" customHeight="1" x14ac:dyDescent="0.25">
      <c r="A27" t="s">
        <v>224</v>
      </c>
      <c r="B27" t="s">
        <v>231</v>
      </c>
      <c r="C27" t="s">
        <v>112</v>
      </c>
      <c r="D27" s="2">
        <v>48.095669257709098</v>
      </c>
      <c r="E27" s="3">
        <v>118.896960122563</v>
      </c>
      <c r="F27" s="3">
        <f t="shared" si="0"/>
        <v>5718.4288698018181</v>
      </c>
      <c r="G27" s="3">
        <f t="shared" si="1"/>
        <v>4687.2367785260803</v>
      </c>
      <c r="H27" s="3">
        <f t="shared" si="2"/>
        <v>1031.1920912757378</v>
      </c>
      <c r="I27" s="3">
        <f t="shared" si="3"/>
        <v>609.34078120839013</v>
      </c>
      <c r="J27" s="3">
        <f t="shared" si="4"/>
        <v>1640.5328724841281</v>
      </c>
      <c r="K27" s="3">
        <f t="shared" si="5"/>
        <v>1031.1920912757378</v>
      </c>
      <c r="L27" s="3">
        <f t="shared" si="6"/>
        <v>374.97894228208645</v>
      </c>
      <c r="M27" s="3">
        <f t="shared" si="7"/>
        <v>562.46841342312962</v>
      </c>
      <c r="N27" s="3">
        <f t="shared" si="8"/>
        <v>468.72367785260803</v>
      </c>
      <c r="O27" s="3">
        <f t="shared" si="9"/>
        <v>0</v>
      </c>
      <c r="P27" s="18">
        <f t="shared" si="10"/>
        <v>7.7200737060873495E-5</v>
      </c>
      <c r="Q27" s="3" t="s">
        <v>504</v>
      </c>
      <c r="R27" s="3">
        <f t="shared" si="11"/>
        <v>5718.4288698018181</v>
      </c>
      <c r="S27" s="3">
        <v>0</v>
      </c>
      <c r="T27" t="s">
        <v>481</v>
      </c>
    </row>
    <row r="28" spans="1:20" ht="15" customHeight="1" x14ac:dyDescent="0.25">
      <c r="A28" t="s">
        <v>224</v>
      </c>
      <c r="B28" t="s">
        <v>234</v>
      </c>
      <c r="C28" t="s">
        <v>112</v>
      </c>
      <c r="D28" s="2">
        <v>28.9036473904502</v>
      </c>
      <c r="E28" s="3">
        <v>118.896960122563</v>
      </c>
      <c r="F28" s="3">
        <f t="shared" si="0"/>
        <v>3436.5558111789796</v>
      </c>
      <c r="G28" s="3">
        <f t="shared" si="1"/>
        <v>2816.8490255565407</v>
      </c>
      <c r="H28" s="3">
        <f t="shared" si="2"/>
        <v>619.70678562243893</v>
      </c>
      <c r="I28" s="3">
        <f t="shared" si="3"/>
        <v>366.1903733223503</v>
      </c>
      <c r="J28" s="3">
        <f t="shared" si="4"/>
        <v>985.89715894478923</v>
      </c>
      <c r="K28" s="3">
        <f t="shared" si="5"/>
        <v>619.70678562243893</v>
      </c>
      <c r="L28" s="3">
        <f t="shared" si="6"/>
        <v>225.34792204452327</v>
      </c>
      <c r="M28" s="3">
        <f t="shared" si="7"/>
        <v>338.02188306678488</v>
      </c>
      <c r="N28" s="3">
        <f t="shared" si="8"/>
        <v>281.68490255565411</v>
      </c>
      <c r="O28" s="3">
        <f t="shared" si="9"/>
        <v>0</v>
      </c>
      <c r="P28" s="18">
        <f t="shared" si="10"/>
        <v>4.6394673714467281E-5</v>
      </c>
      <c r="Q28" s="3" t="s">
        <v>504</v>
      </c>
      <c r="R28" s="3">
        <f t="shared" si="11"/>
        <v>3436.5558111789796</v>
      </c>
      <c r="S28" s="3">
        <v>0</v>
      </c>
      <c r="T28" t="s">
        <v>481</v>
      </c>
    </row>
    <row r="29" spans="1:20" ht="15" customHeight="1" x14ac:dyDescent="0.25">
      <c r="A29" t="s">
        <v>224</v>
      </c>
      <c r="B29" t="s">
        <v>235</v>
      </c>
      <c r="C29" t="s">
        <v>112</v>
      </c>
      <c r="D29" s="2">
        <v>61.067626206543103</v>
      </c>
      <c r="E29" s="3">
        <v>118.896960122563</v>
      </c>
      <c r="F29" s="3">
        <f t="shared" si="0"/>
        <v>7260.7551178589383</v>
      </c>
      <c r="G29" s="3">
        <f t="shared" si="1"/>
        <v>5951.4386211958508</v>
      </c>
      <c r="H29" s="3">
        <f t="shared" si="2"/>
        <v>1309.3164966630875</v>
      </c>
      <c r="I29" s="3">
        <f t="shared" si="3"/>
        <v>773.68702075546116</v>
      </c>
      <c r="J29" s="3">
        <f t="shared" si="4"/>
        <v>2083.0035174185477</v>
      </c>
      <c r="K29" s="3">
        <f t="shared" si="5"/>
        <v>1309.3164966630873</v>
      </c>
      <c r="L29" s="3">
        <f t="shared" si="6"/>
        <v>476.11508969566808</v>
      </c>
      <c r="M29" s="3">
        <f t="shared" si="7"/>
        <v>714.17263454350211</v>
      </c>
      <c r="N29" s="3">
        <f t="shared" si="8"/>
        <v>595.14386211958515</v>
      </c>
      <c r="O29" s="3">
        <f t="shared" si="9"/>
        <v>0</v>
      </c>
      <c r="P29" s="18">
        <f t="shared" si="10"/>
        <v>9.8022666623926339E-5</v>
      </c>
      <c r="Q29" s="3" t="s">
        <v>504</v>
      </c>
      <c r="R29" s="3">
        <f t="shared" si="11"/>
        <v>7260.7551178589383</v>
      </c>
      <c r="S29" s="3">
        <v>0</v>
      </c>
      <c r="T29" t="s">
        <v>481</v>
      </c>
    </row>
    <row r="30" spans="1:20" ht="15" customHeight="1" x14ac:dyDescent="0.25">
      <c r="A30" t="s">
        <v>236</v>
      </c>
      <c r="B30" t="s">
        <v>238</v>
      </c>
      <c r="C30" t="s">
        <v>112</v>
      </c>
      <c r="D30" s="2">
        <v>302.49401212949499</v>
      </c>
      <c r="E30" s="3">
        <v>118.896960122563</v>
      </c>
      <c r="F30" s="3">
        <f t="shared" si="0"/>
        <v>35965.618497474657</v>
      </c>
      <c r="G30" s="3">
        <f t="shared" si="1"/>
        <v>29480.015161864474</v>
      </c>
      <c r="H30" s="3">
        <f t="shared" si="2"/>
        <v>6485.6033356101834</v>
      </c>
      <c r="I30" s="3">
        <f t="shared" si="3"/>
        <v>3832.4019710423854</v>
      </c>
      <c r="J30" s="3">
        <f t="shared" si="4"/>
        <v>10318.005306652565</v>
      </c>
      <c r="K30" s="3">
        <f t="shared" si="5"/>
        <v>6485.6033356101843</v>
      </c>
      <c r="L30" s="3">
        <f t="shared" si="6"/>
        <v>2358.401212949158</v>
      </c>
      <c r="M30" s="3">
        <f t="shared" si="7"/>
        <v>3537.6018194237367</v>
      </c>
      <c r="N30" s="3">
        <f t="shared" si="8"/>
        <v>2948.0015161864476</v>
      </c>
      <c r="O30" s="3">
        <f t="shared" si="9"/>
        <v>0</v>
      </c>
      <c r="P30" s="18">
        <f t="shared" si="10"/>
        <v>4.8554809722612779E-4</v>
      </c>
      <c r="Q30" s="3" t="s">
        <v>504</v>
      </c>
      <c r="R30" s="3">
        <f t="shared" si="11"/>
        <v>35965.618497474657</v>
      </c>
      <c r="S30" s="3">
        <v>0</v>
      </c>
      <c r="T30" t="s">
        <v>481</v>
      </c>
    </row>
    <row r="31" spans="1:20" ht="15" customHeight="1" x14ac:dyDescent="0.25">
      <c r="A31" t="s">
        <v>236</v>
      </c>
      <c r="B31" t="s">
        <v>239</v>
      </c>
      <c r="C31" t="s">
        <v>112</v>
      </c>
      <c r="D31" s="2">
        <v>42.4536772870932</v>
      </c>
      <c r="E31" s="3">
        <v>118.896960122563</v>
      </c>
      <c r="F31" s="3">
        <f t="shared" si="0"/>
        <v>5047.613175459679</v>
      </c>
      <c r="G31" s="3">
        <f t="shared" si="1"/>
        <v>4137.3878487374423</v>
      </c>
      <c r="H31" s="3">
        <f t="shared" si="2"/>
        <v>910.22532672223679</v>
      </c>
      <c r="I31" s="3">
        <f t="shared" si="3"/>
        <v>537.86042033586727</v>
      </c>
      <c r="J31" s="3">
        <f t="shared" si="4"/>
        <v>1448.0857470581047</v>
      </c>
      <c r="K31" s="3">
        <f t="shared" si="5"/>
        <v>910.22532672223736</v>
      </c>
      <c r="L31" s="3">
        <f t="shared" si="6"/>
        <v>330.99102789899541</v>
      </c>
      <c r="M31" s="3">
        <f t="shared" si="7"/>
        <v>496.48654184849306</v>
      </c>
      <c r="N31" s="3">
        <f t="shared" si="8"/>
        <v>413.73878487374424</v>
      </c>
      <c r="O31" s="3">
        <f t="shared" si="9"/>
        <v>0</v>
      </c>
      <c r="P31" s="18">
        <f t="shared" si="10"/>
        <v>6.8144496751809449E-5</v>
      </c>
      <c r="Q31" s="3" t="s">
        <v>504</v>
      </c>
      <c r="R31" s="3">
        <f t="shared" si="11"/>
        <v>5047.613175459679</v>
      </c>
      <c r="S31" s="3">
        <v>0</v>
      </c>
      <c r="T31" t="s">
        <v>481</v>
      </c>
    </row>
    <row r="32" spans="1:20" ht="15" customHeight="1" x14ac:dyDescent="0.25">
      <c r="A32" t="s">
        <v>236</v>
      </c>
      <c r="B32" t="s">
        <v>240</v>
      </c>
      <c r="C32" t="s">
        <v>112</v>
      </c>
      <c r="D32" s="2">
        <v>40.696335525753803</v>
      </c>
      <c r="E32" s="3">
        <v>118.896960122563</v>
      </c>
      <c r="F32" s="3">
        <f t="shared" si="0"/>
        <v>4838.6705821399937</v>
      </c>
      <c r="G32" s="3">
        <f t="shared" si="1"/>
        <v>3966.1234279836017</v>
      </c>
      <c r="H32" s="3">
        <f t="shared" si="2"/>
        <v>872.54715415639203</v>
      </c>
      <c r="I32" s="3">
        <f t="shared" si="3"/>
        <v>515.59604563786797</v>
      </c>
      <c r="J32" s="3">
        <f t="shared" si="4"/>
        <v>1388.1431997942605</v>
      </c>
      <c r="K32" s="3">
        <f t="shared" si="5"/>
        <v>872.54715415639237</v>
      </c>
      <c r="L32" s="3">
        <f t="shared" si="6"/>
        <v>317.28987423868813</v>
      </c>
      <c r="M32" s="3">
        <f t="shared" si="7"/>
        <v>475.93481135803216</v>
      </c>
      <c r="N32" s="3">
        <f t="shared" si="8"/>
        <v>396.6123427983602</v>
      </c>
      <c r="O32" s="3">
        <f t="shared" si="9"/>
        <v>0</v>
      </c>
      <c r="P32" s="18">
        <f t="shared" si="10"/>
        <v>6.5323700589969797E-5</v>
      </c>
      <c r="Q32" s="3" t="s">
        <v>504</v>
      </c>
      <c r="R32" s="3">
        <f t="shared" si="11"/>
        <v>4838.6705821399937</v>
      </c>
      <c r="S32" s="3">
        <v>0</v>
      </c>
      <c r="T32" t="s">
        <v>481</v>
      </c>
    </row>
    <row r="33" spans="1:20" ht="15" customHeight="1" x14ac:dyDescent="0.25">
      <c r="A33" t="s">
        <v>246</v>
      </c>
      <c r="B33" t="s">
        <v>249</v>
      </c>
      <c r="C33" t="s">
        <v>146</v>
      </c>
      <c r="D33" s="2">
        <v>24.279063807978101</v>
      </c>
      <c r="E33" s="3">
        <v>10687.1760848306</v>
      </c>
      <c r="F33" s="3">
        <f t="shared" si="0"/>
        <v>259474.63009069973</v>
      </c>
      <c r="G33" s="3">
        <f t="shared" si="1"/>
        <v>212684.12302516372</v>
      </c>
      <c r="H33" s="3">
        <f t="shared" si="2"/>
        <v>46790.507065536018</v>
      </c>
      <c r="I33" s="3">
        <f t="shared" si="3"/>
        <v>27648.935993271269</v>
      </c>
      <c r="J33" s="3">
        <f t="shared" si="4"/>
        <v>74439.443058807301</v>
      </c>
      <c r="K33" s="3">
        <f t="shared" si="5"/>
        <v>46790.507065536018</v>
      </c>
      <c r="L33" s="3">
        <f t="shared" si="6"/>
        <v>17014.729842013097</v>
      </c>
      <c r="M33" s="3">
        <f t="shared" si="7"/>
        <v>25522.094763019646</v>
      </c>
      <c r="N33" s="3">
        <f t="shared" si="8"/>
        <v>21268.412302516372</v>
      </c>
      <c r="O33" s="3">
        <f t="shared" si="9"/>
        <v>0</v>
      </c>
      <c r="P33" s="18">
        <f t="shared" si="10"/>
        <v>3.5029958661169382E-3</v>
      </c>
      <c r="Q33" s="3" t="s">
        <v>504</v>
      </c>
      <c r="R33" s="3">
        <f t="shared" si="11"/>
        <v>259474.63009069973</v>
      </c>
      <c r="S33" s="3">
        <v>0</v>
      </c>
      <c r="T33" t="s">
        <v>481</v>
      </c>
    </row>
    <row r="34" spans="1:20" ht="15" customHeight="1" x14ac:dyDescent="0.25">
      <c r="A34" t="s">
        <v>246</v>
      </c>
      <c r="B34" t="s">
        <v>250</v>
      </c>
      <c r="C34" t="s">
        <v>146</v>
      </c>
      <c r="D34" s="2">
        <v>58.653593576492703</v>
      </c>
      <c r="E34" s="3">
        <v>79626.931416795094</v>
      </c>
      <c r="F34" s="3">
        <f t="shared" si="0"/>
        <v>4670405.6730639581</v>
      </c>
      <c r="G34" s="3">
        <f t="shared" si="1"/>
        <v>3828201.3713639001</v>
      </c>
      <c r="H34" s="3">
        <f t="shared" si="2"/>
        <v>842204.30170005793</v>
      </c>
      <c r="I34" s="3">
        <f t="shared" si="3"/>
        <v>497666.17827730719</v>
      </c>
      <c r="J34" s="3">
        <f t="shared" si="4"/>
        <v>1339870.4799773649</v>
      </c>
      <c r="K34" s="3">
        <f t="shared" si="5"/>
        <v>842204.30170005804</v>
      </c>
      <c r="L34" s="3">
        <f t="shared" si="6"/>
        <v>306256.10970911203</v>
      </c>
      <c r="M34" s="3">
        <f t="shared" si="7"/>
        <v>459384.16456366802</v>
      </c>
      <c r="N34" s="3">
        <f t="shared" si="8"/>
        <v>382820.13713639003</v>
      </c>
      <c r="O34" s="3">
        <f t="shared" si="9"/>
        <v>0</v>
      </c>
      <c r="P34" s="18">
        <f t="shared" si="10"/>
        <v>6.3052067017547481E-2</v>
      </c>
      <c r="Q34" s="3" t="s">
        <v>504</v>
      </c>
      <c r="R34" s="3">
        <f t="shared" si="11"/>
        <v>4670405.6730639581</v>
      </c>
      <c r="S34" s="3">
        <v>0</v>
      </c>
      <c r="T34" t="s">
        <v>481</v>
      </c>
    </row>
    <row r="35" spans="1:20" ht="15" customHeight="1" x14ac:dyDescent="0.25">
      <c r="A35" t="s">
        <v>246</v>
      </c>
      <c r="B35" t="s">
        <v>251</v>
      </c>
      <c r="C35" t="s">
        <v>145</v>
      </c>
      <c r="D35" s="2">
        <v>166.36939437943099</v>
      </c>
      <c r="E35" s="3">
        <v>2019.6228031056301</v>
      </c>
      <c r="F35" s="3">
        <f t="shared" si="0"/>
        <v>336003.42262757244</v>
      </c>
      <c r="G35" s="3">
        <f t="shared" si="1"/>
        <v>275412.6414980102</v>
      </c>
      <c r="H35" s="3">
        <f t="shared" si="2"/>
        <v>60590.781129562238</v>
      </c>
      <c r="I35" s="3">
        <f t="shared" si="3"/>
        <v>35803.643394741317</v>
      </c>
      <c r="J35" s="3">
        <f t="shared" si="4"/>
        <v>96394.424524303569</v>
      </c>
      <c r="K35" s="3">
        <f t="shared" si="5"/>
        <v>60590.781129562245</v>
      </c>
      <c r="L35" s="3">
        <f t="shared" si="6"/>
        <v>22033.011319840818</v>
      </c>
      <c r="M35" s="3">
        <f t="shared" si="7"/>
        <v>33049.516979761225</v>
      </c>
      <c r="N35" s="3">
        <f t="shared" si="8"/>
        <v>27541.26414980102</v>
      </c>
      <c r="O35" s="3">
        <f t="shared" si="9"/>
        <v>0</v>
      </c>
      <c r="P35" s="18">
        <f t="shared" si="10"/>
        <v>4.5361606260084092E-3</v>
      </c>
      <c r="Q35" s="3" t="s">
        <v>504</v>
      </c>
      <c r="R35" s="3">
        <f t="shared" si="11"/>
        <v>336003.42262757244</v>
      </c>
      <c r="S35" s="3">
        <v>0</v>
      </c>
      <c r="T35" t="s">
        <v>481</v>
      </c>
    </row>
    <row r="36" spans="1:20" ht="15" customHeight="1" x14ac:dyDescent="0.25">
      <c r="A36" t="s">
        <v>253</v>
      </c>
      <c r="B36" t="s">
        <v>255</v>
      </c>
      <c r="C36" t="s">
        <v>146</v>
      </c>
      <c r="D36" s="2">
        <v>175.74573759289299</v>
      </c>
      <c r="E36" s="3">
        <v>22034.546949438201</v>
      </c>
      <c r="F36" s="3">
        <f t="shared" si="0"/>
        <v>3872477.7061542468</v>
      </c>
      <c r="G36" s="3">
        <f t="shared" si="1"/>
        <v>3174162.0542247924</v>
      </c>
      <c r="H36" s="3">
        <f t="shared" si="2"/>
        <v>698315.65192945441</v>
      </c>
      <c r="I36" s="3">
        <f t="shared" si="3"/>
        <v>412641.06704922346</v>
      </c>
      <c r="J36" s="3">
        <f t="shared" si="4"/>
        <v>1110956.7189786772</v>
      </c>
      <c r="K36" s="3">
        <f t="shared" si="5"/>
        <v>698315.6519294543</v>
      </c>
      <c r="L36" s="3">
        <f t="shared" si="6"/>
        <v>253932.9643379834</v>
      </c>
      <c r="M36" s="3">
        <f t="shared" si="7"/>
        <v>380899.4465069751</v>
      </c>
      <c r="N36" s="3">
        <f t="shared" si="8"/>
        <v>317416.20542247925</v>
      </c>
      <c r="O36" s="3">
        <f t="shared" si="9"/>
        <v>0</v>
      </c>
      <c r="P36" s="18">
        <f t="shared" si="10"/>
        <v>5.2279767742790771E-2</v>
      </c>
      <c r="Q36" s="3" t="s">
        <v>504</v>
      </c>
      <c r="R36" s="3">
        <f t="shared" si="11"/>
        <v>3872477.7061542468</v>
      </c>
      <c r="S36" s="3">
        <v>0</v>
      </c>
      <c r="T36" t="s">
        <v>481</v>
      </c>
    </row>
    <row r="37" spans="1:20" ht="15" customHeight="1" x14ac:dyDescent="0.25">
      <c r="A37" t="s">
        <v>253</v>
      </c>
      <c r="B37" t="s">
        <v>256</v>
      </c>
      <c r="C37" t="s">
        <v>145</v>
      </c>
      <c r="D37" s="2">
        <v>3514.9147518578602</v>
      </c>
      <c r="E37" s="3">
        <v>1856.4987226312301</v>
      </c>
      <c r="F37" s="3">
        <f t="shared" si="0"/>
        <v>6525434.7469817847</v>
      </c>
      <c r="G37" s="3">
        <f t="shared" si="1"/>
        <v>5348717.0057227742</v>
      </c>
      <c r="H37" s="3">
        <f t="shared" si="2"/>
        <v>1176717.7412590105</v>
      </c>
      <c r="I37" s="3">
        <f t="shared" si="3"/>
        <v>695333.21074396092</v>
      </c>
      <c r="J37" s="3">
        <f t="shared" si="4"/>
        <v>1872050.9520029707</v>
      </c>
      <c r="K37" s="3">
        <f t="shared" si="5"/>
        <v>1176717.7412590103</v>
      </c>
      <c r="L37" s="3">
        <f t="shared" si="6"/>
        <v>427897.36045782192</v>
      </c>
      <c r="M37" s="3">
        <f t="shared" si="7"/>
        <v>641846.04068673286</v>
      </c>
      <c r="N37" s="3">
        <f t="shared" si="8"/>
        <v>534871.70057227742</v>
      </c>
      <c r="O37" s="3">
        <f t="shared" si="9"/>
        <v>0</v>
      </c>
      <c r="P37" s="18">
        <f t="shared" si="10"/>
        <v>8.8095591215614319E-2</v>
      </c>
      <c r="Q37" s="3" t="s">
        <v>504</v>
      </c>
      <c r="R37" s="3">
        <f t="shared" si="11"/>
        <v>6525434.7469817847</v>
      </c>
      <c r="S37" s="3">
        <v>0</v>
      </c>
      <c r="T37" t="s">
        <v>481</v>
      </c>
    </row>
    <row r="38" spans="1:20" ht="15" customHeight="1" x14ac:dyDescent="0.25">
      <c r="A38" t="s">
        <v>253</v>
      </c>
      <c r="B38" t="s">
        <v>257</v>
      </c>
      <c r="C38" t="s">
        <v>112</v>
      </c>
      <c r="D38" s="2">
        <v>44076.674895361801</v>
      </c>
      <c r="E38" s="3">
        <v>157.97443635228001</v>
      </c>
      <c r="F38" s="3">
        <f t="shared" si="0"/>
        <v>6962987.8728774711</v>
      </c>
      <c r="G38" s="3">
        <f t="shared" si="1"/>
        <v>5707367.1089159604</v>
      </c>
      <c r="H38" s="3">
        <f t="shared" si="2"/>
        <v>1255620.7639615107</v>
      </c>
      <c r="I38" s="3">
        <f t="shared" si="3"/>
        <v>741957.72415907495</v>
      </c>
      <c r="J38" s="3">
        <f t="shared" si="4"/>
        <v>1997578.4881205859</v>
      </c>
      <c r="K38" s="3">
        <f t="shared" si="5"/>
        <v>1255620.7639615112</v>
      </c>
      <c r="L38" s="3">
        <f t="shared" si="6"/>
        <v>456589.36871327687</v>
      </c>
      <c r="M38" s="3">
        <f t="shared" si="7"/>
        <v>684884.05306991527</v>
      </c>
      <c r="N38" s="3">
        <f t="shared" si="8"/>
        <v>570736.71089159604</v>
      </c>
      <c r="O38" s="3">
        <f t="shared" si="9"/>
        <v>0</v>
      </c>
      <c r="P38" s="18">
        <f t="shared" si="10"/>
        <v>9.4002707416852793E-2</v>
      </c>
      <c r="Q38" s="3" t="s">
        <v>504</v>
      </c>
      <c r="R38" s="3">
        <f t="shared" si="11"/>
        <v>6962987.8728774711</v>
      </c>
      <c r="S38" s="3">
        <v>0</v>
      </c>
      <c r="T38" t="s">
        <v>481</v>
      </c>
    </row>
    <row r="39" spans="1:20" ht="15" customHeight="1" x14ac:dyDescent="0.25">
      <c r="A39" t="s">
        <v>253</v>
      </c>
      <c r="B39" t="s">
        <v>258</v>
      </c>
      <c r="C39" t="s">
        <v>146</v>
      </c>
      <c r="D39" s="2">
        <v>1054.4744255573601</v>
      </c>
      <c r="E39" s="3">
        <v>29014.278361835</v>
      </c>
      <c r="F39" s="3">
        <f t="shared" si="0"/>
        <v>30594814.508557305</v>
      </c>
      <c r="G39" s="3">
        <f t="shared" si="1"/>
        <v>25077716.810292874</v>
      </c>
      <c r="H39" s="3">
        <f t="shared" si="2"/>
        <v>5517097.6982644312</v>
      </c>
      <c r="I39" s="3">
        <f t="shared" si="3"/>
        <v>3260103.1853380762</v>
      </c>
      <c r="J39" s="3">
        <f t="shared" si="4"/>
        <v>8777200.8836025055</v>
      </c>
      <c r="K39" s="3">
        <f t="shared" si="5"/>
        <v>5517097.6982644321</v>
      </c>
      <c r="L39" s="3">
        <f t="shared" si="6"/>
        <v>2006217.3448234298</v>
      </c>
      <c r="M39" s="3">
        <f t="shared" si="7"/>
        <v>3009326.0172351445</v>
      </c>
      <c r="N39" s="3">
        <f t="shared" si="8"/>
        <v>2507771.6810292876</v>
      </c>
      <c r="O39" s="3">
        <f t="shared" si="9"/>
        <v>0</v>
      </c>
      <c r="P39" s="18">
        <f t="shared" si="10"/>
        <v>0.4130404144352306</v>
      </c>
      <c r="Q39" s="3" t="s">
        <v>504</v>
      </c>
      <c r="R39" s="3">
        <f t="shared" si="11"/>
        <v>30594814.508557305</v>
      </c>
      <c r="S39" s="3">
        <v>0</v>
      </c>
      <c r="T39" t="s">
        <v>481</v>
      </c>
    </row>
    <row r="40" spans="1:20" ht="15" customHeight="1" x14ac:dyDescent="0.25">
      <c r="A40" t="s">
        <v>253</v>
      </c>
      <c r="B40" t="s">
        <v>259</v>
      </c>
      <c r="C40" t="s">
        <v>145</v>
      </c>
      <c r="D40" s="2">
        <v>3514.9147518578602</v>
      </c>
      <c r="E40" s="3">
        <v>2719.74032898101</v>
      </c>
      <c r="F40" s="3">
        <f t="shared" si="0"/>
        <v>9559655.4035581015</v>
      </c>
      <c r="G40" s="3">
        <f t="shared" si="1"/>
        <v>7835783.1176705752</v>
      </c>
      <c r="H40" s="3">
        <f t="shared" si="2"/>
        <v>1723872.2858875263</v>
      </c>
      <c r="I40" s="3">
        <f t="shared" si="3"/>
        <v>1018651.8052971745</v>
      </c>
      <c r="J40" s="3">
        <f t="shared" si="4"/>
        <v>2742524.0911847013</v>
      </c>
      <c r="K40" s="3">
        <f t="shared" si="5"/>
        <v>1723872.2858875266</v>
      </c>
      <c r="L40" s="3">
        <f t="shared" si="6"/>
        <v>626862.64941364608</v>
      </c>
      <c r="M40" s="3">
        <f t="shared" si="7"/>
        <v>940293.97412046895</v>
      </c>
      <c r="N40" s="3">
        <f t="shared" si="8"/>
        <v>783578.31176705752</v>
      </c>
      <c r="O40" s="3">
        <f t="shared" si="9"/>
        <v>0</v>
      </c>
      <c r="P40" s="18">
        <f t="shared" si="10"/>
        <v>0.12905860333420999</v>
      </c>
      <c r="Q40" s="3" t="s">
        <v>504</v>
      </c>
      <c r="R40" s="3">
        <f t="shared" si="11"/>
        <v>9559655.4035581015</v>
      </c>
      <c r="S40" s="3">
        <v>0</v>
      </c>
      <c r="T40" t="s">
        <v>481</v>
      </c>
    </row>
    <row r="41" spans="1:20" ht="15" customHeight="1" x14ac:dyDescent="0.25">
      <c r="A41" t="s">
        <v>260</v>
      </c>
      <c r="B41" t="s">
        <v>262</v>
      </c>
      <c r="C41" t="s">
        <v>146</v>
      </c>
      <c r="D41" s="2">
        <v>0.69368753737080402</v>
      </c>
      <c r="E41" s="3">
        <v>52304.194111709803</v>
      </c>
      <c r="F41" s="3">
        <f t="shared" si="0"/>
        <v>36282.767607516478</v>
      </c>
      <c r="G41" s="3">
        <f t="shared" si="1"/>
        <v>29739.973448784</v>
      </c>
      <c r="H41" s="3">
        <f t="shared" si="2"/>
        <v>6542.7941587324785</v>
      </c>
      <c r="I41" s="3">
        <f t="shared" si="3"/>
        <v>3866.1965483419226</v>
      </c>
      <c r="J41" s="3">
        <f t="shared" si="4"/>
        <v>10408.990707074399</v>
      </c>
      <c r="K41" s="3">
        <f t="shared" si="5"/>
        <v>6542.7941587324804</v>
      </c>
      <c r="L41" s="3">
        <f t="shared" si="6"/>
        <v>2379.1978759027202</v>
      </c>
      <c r="M41" s="3">
        <f t="shared" si="7"/>
        <v>3568.79681385408</v>
      </c>
      <c r="N41" s="3">
        <f t="shared" si="8"/>
        <v>2973.9973448784003</v>
      </c>
      <c r="O41" s="3">
        <f t="shared" si="9"/>
        <v>0</v>
      </c>
      <c r="P41" s="18">
        <f t="shared" si="10"/>
        <v>4.8982971821169704E-4</v>
      </c>
      <c r="Q41" s="3" t="s">
        <v>504</v>
      </c>
      <c r="R41" s="3">
        <f t="shared" si="11"/>
        <v>36282.767607516478</v>
      </c>
      <c r="S41" s="3">
        <v>0</v>
      </c>
      <c r="T41" t="s">
        <v>481</v>
      </c>
    </row>
    <row r="42" spans="1:20" ht="15" customHeight="1" x14ac:dyDescent="0.25">
      <c r="A42" t="s">
        <v>260</v>
      </c>
      <c r="B42" t="s">
        <v>263</v>
      </c>
      <c r="C42" t="s">
        <v>191</v>
      </c>
      <c r="D42" s="2">
        <v>4.1621252242248197</v>
      </c>
      <c r="E42" s="3">
        <v>504.45705753849597</v>
      </c>
      <c r="F42" s="3">
        <f t="shared" si="0"/>
        <v>2099.6134437192054</v>
      </c>
      <c r="G42" s="3">
        <f t="shared" si="1"/>
        <v>1720.9946259993487</v>
      </c>
      <c r="H42" s="3">
        <f t="shared" si="2"/>
        <v>378.61881771985668</v>
      </c>
      <c r="I42" s="3">
        <f t="shared" si="3"/>
        <v>223.72930137991534</v>
      </c>
      <c r="J42" s="3">
        <f t="shared" si="4"/>
        <v>602.34811909977202</v>
      </c>
      <c r="K42" s="3">
        <f t="shared" si="5"/>
        <v>378.61881771985674</v>
      </c>
      <c r="L42" s="3">
        <f t="shared" si="6"/>
        <v>137.67957007994789</v>
      </c>
      <c r="M42" s="3">
        <f t="shared" si="7"/>
        <v>206.51935511992184</v>
      </c>
      <c r="N42" s="3">
        <f t="shared" si="8"/>
        <v>172.0994625999349</v>
      </c>
      <c r="O42" s="3">
        <f t="shared" si="9"/>
        <v>0</v>
      </c>
      <c r="P42" s="18">
        <f t="shared" si="10"/>
        <v>2.8345496479640406E-5</v>
      </c>
      <c r="Q42" s="3" t="s">
        <v>504</v>
      </c>
      <c r="R42" s="3">
        <f t="shared" si="11"/>
        <v>2099.6134437192054</v>
      </c>
      <c r="S42" s="3">
        <v>0</v>
      </c>
      <c r="T42" t="s">
        <v>481</v>
      </c>
    </row>
    <row r="43" spans="1:20" ht="15" customHeight="1" x14ac:dyDescent="0.25">
      <c r="A43" t="s">
        <v>264</v>
      </c>
      <c r="B43" t="s">
        <v>264</v>
      </c>
      <c r="C43" t="s">
        <v>123</v>
      </c>
      <c r="D43" s="2">
        <v>842.09042453233099</v>
      </c>
      <c r="E43" s="3">
        <v>376.002045825636</v>
      </c>
      <c r="F43" s="3">
        <f t="shared" si="0"/>
        <v>316627.72239433479</v>
      </c>
      <c r="G43" s="3">
        <f t="shared" si="1"/>
        <v>259530.91999535638</v>
      </c>
      <c r="H43" s="3">
        <f t="shared" si="2"/>
        <v>57096.802398978412</v>
      </c>
      <c r="I43" s="3">
        <f t="shared" si="3"/>
        <v>33739.019599396357</v>
      </c>
      <c r="J43" s="3">
        <f t="shared" si="4"/>
        <v>90835.821998374726</v>
      </c>
      <c r="K43" s="3">
        <f t="shared" si="5"/>
        <v>57096.802398978405</v>
      </c>
      <c r="L43" s="3">
        <f t="shared" si="6"/>
        <v>20762.473599628513</v>
      </c>
      <c r="M43" s="3">
        <f t="shared" si="7"/>
        <v>31143.710399442763</v>
      </c>
      <c r="N43" s="3">
        <f t="shared" si="8"/>
        <v>25953.091999535638</v>
      </c>
      <c r="O43" s="3">
        <f t="shared" si="9"/>
        <v>0</v>
      </c>
      <c r="P43" s="18">
        <f t="shared" si="10"/>
        <v>4.2745820747780734E-3</v>
      </c>
      <c r="Q43" s="3" t="s">
        <v>504</v>
      </c>
      <c r="R43" s="3">
        <f t="shared" si="11"/>
        <v>316627.72239433479</v>
      </c>
      <c r="S43" s="3">
        <v>0</v>
      </c>
      <c r="T43" t="s">
        <v>481</v>
      </c>
    </row>
    <row r="44" spans="1:20" ht="15" customHeight="1" x14ac:dyDescent="0.25">
      <c r="A44" t="s">
        <v>265</v>
      </c>
      <c r="B44" t="s">
        <v>266</v>
      </c>
      <c r="C44" t="s">
        <v>146</v>
      </c>
      <c r="D44" s="2">
        <v>0.27516272315708601</v>
      </c>
      <c r="E44" s="3">
        <v>10687.1760848306</v>
      </c>
      <c r="F44" s="3">
        <f t="shared" si="0"/>
        <v>2940.7124743612726</v>
      </c>
      <c r="G44" s="3">
        <f t="shared" si="1"/>
        <v>2410.420060951863</v>
      </c>
      <c r="H44" s="3">
        <f t="shared" si="2"/>
        <v>530.29241340940962</v>
      </c>
      <c r="I44" s="3">
        <f t="shared" si="3"/>
        <v>313.35460792374215</v>
      </c>
      <c r="J44" s="3">
        <f t="shared" si="4"/>
        <v>843.647021333152</v>
      </c>
      <c r="K44" s="3">
        <f t="shared" si="5"/>
        <v>530.29241340940985</v>
      </c>
      <c r="L44" s="3">
        <f t="shared" si="6"/>
        <v>192.83360487614905</v>
      </c>
      <c r="M44" s="3">
        <f t="shared" si="7"/>
        <v>289.25040731422354</v>
      </c>
      <c r="N44" s="3">
        <f t="shared" si="8"/>
        <v>241.04200609518631</v>
      </c>
      <c r="O44" s="3">
        <f t="shared" si="9"/>
        <v>0</v>
      </c>
      <c r="P44" s="18">
        <f t="shared" si="10"/>
        <v>3.9700619815992086E-5</v>
      </c>
      <c r="Q44" s="3" t="s">
        <v>504</v>
      </c>
      <c r="R44" s="3">
        <f t="shared" si="11"/>
        <v>2940.7124743612726</v>
      </c>
      <c r="S44" s="3">
        <v>0</v>
      </c>
      <c r="T44" t="s">
        <v>481</v>
      </c>
    </row>
    <row r="45" spans="1:20" ht="15" customHeight="1" x14ac:dyDescent="0.25">
      <c r="A45" t="s">
        <v>265</v>
      </c>
      <c r="B45" t="s">
        <v>267</v>
      </c>
      <c r="C45" t="s">
        <v>146</v>
      </c>
      <c r="D45" s="2">
        <v>0.27516272315708601</v>
      </c>
      <c r="E45" s="3">
        <v>26419.689990003699</v>
      </c>
      <c r="F45" s="3">
        <f t="shared" si="0"/>
        <v>7269.7138426154243</v>
      </c>
      <c r="G45" s="3">
        <f t="shared" si="1"/>
        <v>5958.7818382093647</v>
      </c>
      <c r="H45" s="3">
        <f t="shared" si="2"/>
        <v>1310.9320044060596</v>
      </c>
      <c r="I45" s="3">
        <f t="shared" si="3"/>
        <v>774.64163896721766</v>
      </c>
      <c r="J45" s="3">
        <f t="shared" si="4"/>
        <v>2085.5736433732777</v>
      </c>
      <c r="K45" s="3">
        <f t="shared" si="5"/>
        <v>1310.9320044060603</v>
      </c>
      <c r="L45" s="3">
        <f t="shared" si="6"/>
        <v>476.70254705674915</v>
      </c>
      <c r="M45" s="3">
        <f t="shared" si="7"/>
        <v>715.05382058512373</v>
      </c>
      <c r="N45" s="3">
        <f t="shared" si="8"/>
        <v>595.87818382093644</v>
      </c>
      <c r="O45" s="3">
        <f t="shared" si="9"/>
        <v>0</v>
      </c>
      <c r="P45" s="18">
        <f t="shared" si="10"/>
        <v>9.8143612458887844E-5</v>
      </c>
      <c r="Q45" s="3" t="s">
        <v>504</v>
      </c>
      <c r="R45" s="3">
        <f t="shared" si="11"/>
        <v>7269.7138426154243</v>
      </c>
      <c r="S45" s="3">
        <v>0</v>
      </c>
      <c r="T45" t="s">
        <v>481</v>
      </c>
    </row>
    <row r="46" spans="1:20" ht="15" customHeight="1" x14ac:dyDescent="0.25">
      <c r="A46" t="s">
        <v>265</v>
      </c>
      <c r="B46" t="s">
        <v>268</v>
      </c>
      <c r="C46" t="s">
        <v>145</v>
      </c>
      <c r="D46" s="2">
        <v>2.7516272315708599</v>
      </c>
      <c r="E46" s="3">
        <v>2019.6228031056301</v>
      </c>
      <c r="F46" s="3">
        <f t="shared" si="0"/>
        <v>5557.2491025269246</v>
      </c>
      <c r="G46" s="3">
        <f t="shared" si="1"/>
        <v>4555.1222151860038</v>
      </c>
      <c r="H46" s="3">
        <f t="shared" si="2"/>
        <v>1002.1268873409208</v>
      </c>
      <c r="I46" s="3">
        <f t="shared" si="3"/>
        <v>592.16588797418081</v>
      </c>
      <c r="J46" s="3">
        <f t="shared" si="4"/>
        <v>1594.2927753151012</v>
      </c>
      <c r="K46" s="3">
        <f t="shared" si="5"/>
        <v>1002.1268873409208</v>
      </c>
      <c r="L46" s="3">
        <f t="shared" si="6"/>
        <v>364.40977721488031</v>
      </c>
      <c r="M46" s="3">
        <f t="shared" si="7"/>
        <v>546.61466582232049</v>
      </c>
      <c r="N46" s="3">
        <f t="shared" si="8"/>
        <v>455.51222151860043</v>
      </c>
      <c r="O46" s="3">
        <f t="shared" si="9"/>
        <v>0</v>
      </c>
      <c r="P46" s="18">
        <f t="shared" si="10"/>
        <v>7.5024755315497151E-5</v>
      </c>
      <c r="Q46" s="3" t="s">
        <v>504</v>
      </c>
      <c r="R46" s="3">
        <f t="shared" si="11"/>
        <v>5557.2491025269246</v>
      </c>
      <c r="S46" s="3">
        <v>0</v>
      </c>
      <c r="T46" t="s">
        <v>481</v>
      </c>
    </row>
    <row r="47" spans="1:20" ht="15" customHeight="1" x14ac:dyDescent="0.25">
      <c r="A47" t="s">
        <v>265</v>
      </c>
      <c r="B47" t="s">
        <v>262</v>
      </c>
      <c r="C47" t="s">
        <v>146</v>
      </c>
      <c r="D47" s="2">
        <v>2.3816605449730899</v>
      </c>
      <c r="E47" s="3">
        <v>54731.6271160014</v>
      </c>
      <c r="F47" s="3">
        <f t="shared" si="0"/>
        <v>130352.15686435984</v>
      </c>
      <c r="G47" s="3">
        <f t="shared" si="1"/>
        <v>106846.03021668839</v>
      </c>
      <c r="H47" s="3">
        <f t="shared" si="2"/>
        <v>23506.126647671452</v>
      </c>
      <c r="I47" s="3">
        <f t="shared" si="3"/>
        <v>13889.983928169502</v>
      </c>
      <c r="J47" s="3">
        <f t="shared" si="4"/>
        <v>37396.110575840932</v>
      </c>
      <c r="K47" s="3">
        <f t="shared" si="5"/>
        <v>23506.126647671448</v>
      </c>
      <c r="L47" s="3">
        <f t="shared" si="6"/>
        <v>8547.6824173350724</v>
      </c>
      <c r="M47" s="3">
        <f t="shared" si="7"/>
        <v>12821.523626002607</v>
      </c>
      <c r="N47" s="3">
        <f t="shared" si="8"/>
        <v>10684.60302166884</v>
      </c>
      <c r="O47" s="3">
        <f t="shared" si="9"/>
        <v>0</v>
      </c>
      <c r="P47" s="18">
        <f t="shared" si="10"/>
        <v>1.7597985069895503E-3</v>
      </c>
      <c r="Q47" s="3" t="s">
        <v>504</v>
      </c>
      <c r="R47" s="3">
        <f t="shared" si="11"/>
        <v>130352.15686435984</v>
      </c>
      <c r="S47" s="3">
        <v>0</v>
      </c>
      <c r="T47" t="s">
        <v>481</v>
      </c>
    </row>
    <row r="48" spans="1:20" ht="15" customHeight="1" x14ac:dyDescent="0.25">
      <c r="A48" t="s">
        <v>265</v>
      </c>
      <c r="B48" t="s">
        <v>270</v>
      </c>
      <c r="C48" t="s">
        <v>123</v>
      </c>
      <c r="D48" s="2">
        <v>3.1909626719056998</v>
      </c>
      <c r="E48" s="3">
        <v>504.45705753849597</v>
      </c>
      <c r="F48" s="3">
        <f t="shared" si="0"/>
        <v>1609.7036401847265</v>
      </c>
      <c r="G48" s="3">
        <f t="shared" si="1"/>
        <v>1319.4292132661692</v>
      </c>
      <c r="H48" s="3">
        <f t="shared" si="2"/>
        <v>290.27442691855731</v>
      </c>
      <c r="I48" s="3">
        <f t="shared" si="3"/>
        <v>171.52579772460194</v>
      </c>
      <c r="J48" s="3">
        <f t="shared" si="4"/>
        <v>461.8002246431592</v>
      </c>
      <c r="K48" s="3">
        <f t="shared" si="5"/>
        <v>290.27442691855725</v>
      </c>
      <c r="L48" s="3">
        <f t="shared" si="6"/>
        <v>105.55433706129354</v>
      </c>
      <c r="M48" s="3">
        <f t="shared" si="7"/>
        <v>158.3315055919403</v>
      </c>
      <c r="N48" s="3">
        <f t="shared" si="8"/>
        <v>131.94292132661693</v>
      </c>
      <c r="O48" s="3">
        <f t="shared" si="9"/>
        <v>0</v>
      </c>
      <c r="P48" s="18">
        <f t="shared" si="10"/>
        <v>2.1731547301057677E-5</v>
      </c>
      <c r="Q48" s="3" t="s">
        <v>504</v>
      </c>
      <c r="R48" s="3">
        <f t="shared" si="11"/>
        <v>1609.7036401847265</v>
      </c>
      <c r="S48" s="3">
        <v>0</v>
      </c>
      <c r="T48" t="s">
        <v>481</v>
      </c>
    </row>
    <row r="49" spans="1:20" ht="15" customHeight="1" x14ac:dyDescent="0.25">
      <c r="A49" t="s">
        <v>271</v>
      </c>
      <c r="B49" t="s">
        <v>272</v>
      </c>
      <c r="C49" t="s">
        <v>146</v>
      </c>
      <c r="D49" s="2">
        <v>2.3122917912360101</v>
      </c>
      <c r="E49" s="3">
        <v>10687.1760848306</v>
      </c>
      <c r="F49" s="3">
        <f t="shared" si="0"/>
        <v>24711.869532447599</v>
      </c>
      <c r="G49" s="3">
        <f t="shared" si="1"/>
        <v>20255.63076430131</v>
      </c>
      <c r="H49" s="3">
        <f t="shared" si="2"/>
        <v>4456.2387681462897</v>
      </c>
      <c r="I49" s="3">
        <f t="shared" si="3"/>
        <v>2633.2319993591736</v>
      </c>
      <c r="J49" s="3">
        <f t="shared" si="4"/>
        <v>7089.4707675054578</v>
      </c>
      <c r="K49" s="3">
        <f t="shared" si="5"/>
        <v>4456.2387681462878</v>
      </c>
      <c r="L49" s="3">
        <f t="shared" si="6"/>
        <v>1620.4504611441048</v>
      </c>
      <c r="M49" s="3">
        <f t="shared" si="7"/>
        <v>2430.675691716157</v>
      </c>
      <c r="N49" s="3">
        <f t="shared" si="8"/>
        <v>2025.5630764301311</v>
      </c>
      <c r="O49" s="3">
        <f t="shared" si="9"/>
        <v>0</v>
      </c>
      <c r="P49" s="18">
        <f t="shared" si="10"/>
        <v>3.3361865391589896E-4</v>
      </c>
      <c r="Q49" s="3" t="s">
        <v>504</v>
      </c>
      <c r="R49" s="3">
        <f t="shared" si="11"/>
        <v>24711.869532447599</v>
      </c>
      <c r="S49" s="3">
        <v>0</v>
      </c>
      <c r="T49" t="s">
        <v>481</v>
      </c>
    </row>
    <row r="50" spans="1:20" ht="15" customHeight="1" x14ac:dyDescent="0.25">
      <c r="A50" t="s">
        <v>271</v>
      </c>
      <c r="B50" t="s">
        <v>273</v>
      </c>
      <c r="C50" t="s">
        <v>146</v>
      </c>
      <c r="D50" s="2">
        <v>0.573448364226531</v>
      </c>
      <c r="E50" s="3">
        <v>26419.689990003699</v>
      </c>
      <c r="F50" s="3">
        <f t="shared" si="0"/>
        <v>15150.328008139677</v>
      </c>
      <c r="G50" s="3">
        <f t="shared" si="1"/>
        <v>12418.301646016129</v>
      </c>
      <c r="H50" s="3">
        <f t="shared" si="2"/>
        <v>2732.0263621235481</v>
      </c>
      <c r="I50" s="3">
        <f t="shared" si="3"/>
        <v>1614.3792139820962</v>
      </c>
      <c r="J50" s="3">
        <f t="shared" si="4"/>
        <v>4346.4055761056452</v>
      </c>
      <c r="K50" s="3">
        <f t="shared" si="5"/>
        <v>2732.0263621235486</v>
      </c>
      <c r="L50" s="3">
        <f t="shared" si="6"/>
        <v>993.46413168129038</v>
      </c>
      <c r="M50" s="3">
        <f t="shared" si="7"/>
        <v>1490.1961975219353</v>
      </c>
      <c r="N50" s="3">
        <f t="shared" si="8"/>
        <v>1241.830164601613</v>
      </c>
      <c r="O50" s="3">
        <f t="shared" si="9"/>
        <v>0</v>
      </c>
      <c r="P50" s="18">
        <f t="shared" si="10"/>
        <v>2.0453458730927847E-4</v>
      </c>
      <c r="Q50" s="3" t="s">
        <v>504</v>
      </c>
      <c r="R50" s="3">
        <f t="shared" si="11"/>
        <v>15150.328008139677</v>
      </c>
      <c r="S50" s="3">
        <v>0</v>
      </c>
      <c r="T50" t="s">
        <v>481</v>
      </c>
    </row>
    <row r="51" spans="1:20" ht="15" customHeight="1" x14ac:dyDescent="0.25">
      <c r="A51" t="s">
        <v>271</v>
      </c>
      <c r="B51" t="s">
        <v>268</v>
      </c>
      <c r="C51" t="s">
        <v>145</v>
      </c>
      <c r="D51" s="2">
        <v>11.4782164516956</v>
      </c>
      <c r="E51" s="3">
        <v>2019.6228031056301</v>
      </c>
      <c r="F51" s="3">
        <f t="shared" si="0"/>
        <v>23181.667684826625</v>
      </c>
      <c r="G51" s="3">
        <f t="shared" si="1"/>
        <v>19001.366954775924</v>
      </c>
      <c r="H51" s="3">
        <f t="shared" si="2"/>
        <v>4180.3007300507015</v>
      </c>
      <c r="I51" s="3">
        <f t="shared" si="3"/>
        <v>2470.1777041208697</v>
      </c>
      <c r="J51" s="3">
        <f t="shared" si="4"/>
        <v>6650.4784341715731</v>
      </c>
      <c r="K51" s="3">
        <f t="shared" si="5"/>
        <v>4180.3007300507034</v>
      </c>
      <c r="L51" s="3">
        <f t="shared" si="6"/>
        <v>1520.1093563820739</v>
      </c>
      <c r="M51" s="3">
        <f t="shared" si="7"/>
        <v>2280.1640345731107</v>
      </c>
      <c r="N51" s="3">
        <f t="shared" si="8"/>
        <v>1900.1366954775924</v>
      </c>
      <c r="O51" s="3">
        <f t="shared" si="9"/>
        <v>0</v>
      </c>
      <c r="P51" s="18">
        <f t="shared" si="10"/>
        <v>3.1296040788750278E-4</v>
      </c>
      <c r="Q51" s="3" t="s">
        <v>504</v>
      </c>
      <c r="R51" s="3">
        <f t="shared" si="11"/>
        <v>23181.667684826625</v>
      </c>
      <c r="S51" s="3">
        <v>0</v>
      </c>
      <c r="T51" t="s">
        <v>481</v>
      </c>
    </row>
    <row r="52" spans="1:20" ht="15" customHeight="1" x14ac:dyDescent="0.25">
      <c r="A52" t="s">
        <v>271</v>
      </c>
      <c r="B52" t="s">
        <v>262</v>
      </c>
      <c r="C52" t="s">
        <v>146</v>
      </c>
      <c r="D52" s="2">
        <v>6.9368753737080402</v>
      </c>
      <c r="E52" s="3">
        <v>49416.8692781789</v>
      </c>
      <c r="F52" s="3">
        <f t="shared" si="0"/>
        <v>342798.66354154865</v>
      </c>
      <c r="G52" s="3">
        <f t="shared" si="1"/>
        <v>280982.51109963004</v>
      </c>
      <c r="H52" s="3">
        <f t="shared" si="2"/>
        <v>61816.152441918617</v>
      </c>
      <c r="I52" s="3">
        <f t="shared" si="3"/>
        <v>36527.726442951884</v>
      </c>
      <c r="J52" s="3">
        <f t="shared" si="4"/>
        <v>98343.878884870501</v>
      </c>
      <c r="K52" s="3">
        <f t="shared" si="5"/>
        <v>61816.15244191861</v>
      </c>
      <c r="L52" s="3">
        <f t="shared" si="6"/>
        <v>22478.600887970402</v>
      </c>
      <c r="M52" s="3">
        <f t="shared" si="7"/>
        <v>33717.901331955603</v>
      </c>
      <c r="N52" s="3">
        <f t="shared" si="8"/>
        <v>28098.251109963006</v>
      </c>
      <c r="O52" s="3">
        <f t="shared" si="9"/>
        <v>0</v>
      </c>
      <c r="P52" s="18">
        <f t="shared" si="10"/>
        <v>4.6278986923565784E-3</v>
      </c>
      <c r="Q52" s="3" t="s">
        <v>504</v>
      </c>
      <c r="R52" s="3">
        <f t="shared" si="11"/>
        <v>342798.66354154865</v>
      </c>
      <c r="S52" s="3">
        <v>0</v>
      </c>
      <c r="T52" t="s">
        <v>481</v>
      </c>
    </row>
    <row r="53" spans="1:20" ht="15" customHeight="1" x14ac:dyDescent="0.25">
      <c r="A53" t="s">
        <v>271</v>
      </c>
      <c r="B53" t="s">
        <v>274</v>
      </c>
      <c r="C53" t="s">
        <v>145</v>
      </c>
      <c r="D53" s="2">
        <v>8.32425044844965</v>
      </c>
      <c r="E53" s="3">
        <v>14303.0065076676</v>
      </c>
      <c r="F53" s="3">
        <f t="shared" si="0"/>
        <v>119061.80833563028</v>
      </c>
      <c r="G53" s="3">
        <f t="shared" si="1"/>
        <v>97591.64617674613</v>
      </c>
      <c r="H53" s="3">
        <f t="shared" si="2"/>
        <v>21470.162158884152</v>
      </c>
      <c r="I53" s="3">
        <f t="shared" si="3"/>
        <v>12686.914002976991</v>
      </c>
      <c r="J53" s="3">
        <f t="shared" si="4"/>
        <v>34157.076161861143</v>
      </c>
      <c r="K53" s="3">
        <f t="shared" si="5"/>
        <v>21470.162158884148</v>
      </c>
      <c r="L53" s="3">
        <f t="shared" si="6"/>
        <v>7807.3316941396906</v>
      </c>
      <c r="M53" s="3">
        <f t="shared" si="7"/>
        <v>11710.997541209535</v>
      </c>
      <c r="N53" s="3">
        <f t="shared" si="8"/>
        <v>9759.1646176746126</v>
      </c>
      <c r="O53" s="3">
        <f t="shared" si="9"/>
        <v>0</v>
      </c>
      <c r="P53" s="18">
        <f t="shared" si="10"/>
        <v>1.6073749571059476E-3</v>
      </c>
      <c r="Q53" s="3" t="s">
        <v>504</v>
      </c>
      <c r="R53" s="3">
        <f t="shared" si="11"/>
        <v>119061.80833563028</v>
      </c>
      <c r="S53" s="3">
        <v>0</v>
      </c>
      <c r="T53" t="s">
        <v>481</v>
      </c>
    </row>
    <row r="54" spans="1:20" ht="15" customHeight="1" x14ac:dyDescent="0.25">
      <c r="A54" s="13" t="s">
        <v>54</v>
      </c>
      <c r="B54" s="13"/>
      <c r="C54" s="13"/>
      <c r="D54" s="14">
        <f>SUM(D9:D53)</f>
        <v>55839.374918424925</v>
      </c>
      <c r="E54" s="13"/>
      <c r="F54" s="10">
        <f t="shared" ref="F54:O54" si="12">SUM(F9:F53)</f>
        <v>74072205.622762173</v>
      </c>
      <c r="G54" s="10">
        <f t="shared" si="12"/>
        <v>60714922.641608343</v>
      </c>
      <c r="H54" s="10">
        <f t="shared" si="12"/>
        <v>13357282.981153831</v>
      </c>
      <c r="I54" s="10">
        <f t="shared" si="12"/>
        <v>7892939.9434090871</v>
      </c>
      <c r="J54" s="10">
        <f t="shared" si="12"/>
        <v>21250222.924562916</v>
      </c>
      <c r="K54" s="10">
        <f t="shared" si="12"/>
        <v>13357282.981153833</v>
      </c>
      <c r="L54" s="10">
        <f t="shared" si="12"/>
        <v>4857193.8113286663</v>
      </c>
      <c r="M54" s="10">
        <f t="shared" si="12"/>
        <v>7285790.7169929994</v>
      </c>
      <c r="N54" s="10">
        <f t="shared" si="12"/>
        <v>6071492.2641608343</v>
      </c>
      <c r="O54" s="10">
        <f t="shared" si="12"/>
        <v>0</v>
      </c>
      <c r="P54" s="19">
        <f>1</f>
        <v>1</v>
      </c>
      <c r="Q54" s="10">
        <f>SUM(Q9:Q53)</f>
        <v>0</v>
      </c>
      <c r="R54" s="10">
        <f>SUM(R9:R53)</f>
        <v>74072205.622762173</v>
      </c>
      <c r="S54" s="10">
        <f>SUM(S9:S53)</f>
        <v>0</v>
      </c>
      <c r="T54" s="13" t="s">
        <v>54</v>
      </c>
    </row>
    <row r="56" spans="1:20" ht="15" customHeight="1" x14ac:dyDescent="0.25">
      <c r="A56" s="1" t="s">
        <v>488</v>
      </c>
      <c r="B56" s="3">
        <f>R54</f>
        <v>74072205.622762173</v>
      </c>
    </row>
    <row r="57" spans="1:20" ht="15" customHeight="1" x14ac:dyDescent="0.25">
      <c r="A57" s="1" t="s">
        <v>61</v>
      </c>
      <c r="B57" s="3">
        <f>S54</f>
        <v>0</v>
      </c>
    </row>
    <row r="58" spans="1:20" ht="15" customHeight="1" x14ac:dyDescent="0.25">
      <c r="A58" s="1" t="s">
        <v>489</v>
      </c>
      <c r="B58" s="3">
        <f>B56+B57</f>
        <v>74072205.622762173</v>
      </c>
    </row>
  </sheetData>
  <mergeCells count="1">
    <mergeCell ref="A1:Q1"/>
  </mergeCells>
  <pageMargins left="0.75" right="0.75" top="1" bottom="1" header="0.511811023622047" footer="0.511811023622047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12"/>
  <sheetViews>
    <sheetView showGridLines="0" zoomScaleNormal="100" workbookViewId="0">
      <pane ySplit="7" topLeftCell="A8" activePane="bottomLeft" state="frozen"/>
      <selection pane="bottomLeft"/>
    </sheetView>
  </sheetViews>
  <sheetFormatPr defaultColWidth="8.7109375" defaultRowHeight="15" x14ac:dyDescent="0.25"/>
  <cols>
    <col min="1" max="1" width="8" customWidth="1"/>
    <col min="2" max="2" width="18" customWidth="1"/>
    <col min="3" max="3" width="50" customWidth="1"/>
    <col min="4" max="4" width="18" customWidth="1"/>
    <col min="5" max="5" width="16" customWidth="1"/>
    <col min="6" max="7" width="22" customWidth="1"/>
    <col min="8" max="8" width="18" customWidth="1"/>
    <col min="9" max="10" width="22" customWidth="1"/>
  </cols>
  <sheetData>
    <row r="1" spans="1:10" ht="15" customHeight="1" x14ac:dyDescent="0.25">
      <c r="A1" s="9" t="s">
        <v>507</v>
      </c>
      <c r="B1" s="9" t="s">
        <v>47</v>
      </c>
      <c r="C1" s="9" t="s">
        <v>508</v>
      </c>
      <c r="D1" s="9" t="s">
        <v>509</v>
      </c>
      <c r="E1" s="9" t="s">
        <v>510</v>
      </c>
      <c r="F1" s="9" t="s">
        <v>511</v>
      </c>
      <c r="G1" s="9" t="s">
        <v>512</v>
      </c>
      <c r="H1" s="9" t="s">
        <v>513</v>
      </c>
      <c r="I1" s="15" t="s">
        <v>481</v>
      </c>
      <c r="J1" s="15" t="s">
        <v>514</v>
      </c>
    </row>
    <row r="2" spans="1:10" ht="15" customHeight="1" x14ac:dyDescent="0.25">
      <c r="A2">
        <v>1</v>
      </c>
      <c r="B2" t="s">
        <v>49</v>
      </c>
      <c r="C2" t="s">
        <v>65</v>
      </c>
      <c r="D2" t="s">
        <v>515</v>
      </c>
      <c r="E2" s="2">
        <v>570</v>
      </c>
      <c r="F2" s="3">
        <f>'Вып 01'!F51</f>
        <v>13258273.47904454</v>
      </c>
      <c r="G2" s="3">
        <f>'Вып 01'!R51</f>
        <v>13258273.47904454</v>
      </c>
      <c r="H2" s="3">
        <f t="shared" ref="H2:H11" si="0">F2-G2</f>
        <v>0</v>
      </c>
      <c r="I2" s="3">
        <f>'Вып 01'!R51</f>
        <v>13258273.47904454</v>
      </c>
      <c r="J2" s="3">
        <v>0</v>
      </c>
    </row>
    <row r="3" spans="1:10" ht="15" customHeight="1" x14ac:dyDescent="0.25">
      <c r="A3">
        <v>2</v>
      </c>
      <c r="B3" t="s">
        <v>49</v>
      </c>
      <c r="C3" t="s">
        <v>67</v>
      </c>
      <c r="D3" t="s">
        <v>516</v>
      </c>
      <c r="E3" s="2">
        <v>677</v>
      </c>
      <c r="F3" s="3">
        <f>'Вып 02'!F65</f>
        <v>19021312.865799483</v>
      </c>
      <c r="G3" s="3">
        <f>'Вып 02'!R65</f>
        <v>19021312.865799483</v>
      </c>
      <c r="H3" s="3">
        <f t="shared" si="0"/>
        <v>0</v>
      </c>
      <c r="I3" s="3">
        <f>'Вып 02'!R65</f>
        <v>19021312.865799483</v>
      </c>
      <c r="J3" s="3">
        <v>0</v>
      </c>
    </row>
    <row r="4" spans="1:10" ht="15" customHeight="1" x14ac:dyDescent="0.25">
      <c r="A4">
        <v>3</v>
      </c>
      <c r="B4" t="s">
        <v>50</v>
      </c>
      <c r="C4" t="s">
        <v>68</v>
      </c>
      <c r="D4" t="s">
        <v>517</v>
      </c>
      <c r="E4" s="2">
        <v>374</v>
      </c>
      <c r="F4" s="3">
        <f>'Вып 03'!F48</f>
        <v>8773869.7930374015</v>
      </c>
      <c r="G4" s="3">
        <f>'Вып 03'!R48</f>
        <v>8773869.7930374015</v>
      </c>
      <c r="H4" s="3">
        <f t="shared" si="0"/>
        <v>0</v>
      </c>
      <c r="I4" s="3">
        <f>'Вып 03'!R48</f>
        <v>8773869.7930374015</v>
      </c>
      <c r="J4" s="3">
        <v>0</v>
      </c>
    </row>
    <row r="5" spans="1:10" ht="15" customHeight="1" x14ac:dyDescent="0.25">
      <c r="A5">
        <v>4</v>
      </c>
      <c r="B5" t="s">
        <v>50</v>
      </c>
      <c r="C5" t="s">
        <v>69</v>
      </c>
      <c r="D5" t="s">
        <v>518</v>
      </c>
      <c r="E5" s="2">
        <v>550</v>
      </c>
      <c r="F5" s="3">
        <f>'Вып 04'!F49</f>
        <v>13100086.467472199</v>
      </c>
      <c r="G5" s="3">
        <f>'Вып 04'!R49</f>
        <v>13100086.467472199</v>
      </c>
      <c r="H5" s="3">
        <f t="shared" si="0"/>
        <v>0</v>
      </c>
      <c r="I5" s="3">
        <f>'Вып 04'!R49</f>
        <v>13100086.467472199</v>
      </c>
      <c r="J5" s="3">
        <v>0</v>
      </c>
    </row>
    <row r="6" spans="1:10" ht="15" customHeight="1" x14ac:dyDescent="0.25">
      <c r="A6">
        <v>5</v>
      </c>
      <c r="B6" t="s">
        <v>51</v>
      </c>
      <c r="C6" t="s">
        <v>70</v>
      </c>
      <c r="D6" t="s">
        <v>519</v>
      </c>
      <c r="E6" s="2">
        <v>250</v>
      </c>
      <c r="F6" s="3">
        <f>'Вып 05'!F48</f>
        <v>5853059.5774476007</v>
      </c>
      <c r="G6" s="3">
        <f>'Вып 05'!R48</f>
        <v>5853059.5774476007</v>
      </c>
      <c r="H6" s="3">
        <f t="shared" si="0"/>
        <v>0</v>
      </c>
      <c r="I6" s="3">
        <f>'Вып 05'!R48</f>
        <v>5853059.5774476007</v>
      </c>
      <c r="J6" s="3">
        <v>0</v>
      </c>
    </row>
    <row r="7" spans="1:10" ht="15" customHeight="1" x14ac:dyDescent="0.25">
      <c r="A7">
        <v>6</v>
      </c>
      <c r="B7" t="s">
        <v>51</v>
      </c>
      <c r="C7" t="s">
        <v>71</v>
      </c>
      <c r="D7" t="s">
        <v>520</v>
      </c>
      <c r="E7" s="2">
        <v>140</v>
      </c>
      <c r="F7" s="3">
        <f>'Вып 06'!F48</f>
        <v>3454542.7711391998</v>
      </c>
      <c r="G7" s="3">
        <f>'Вып 06'!R48</f>
        <v>3454542.7711391998</v>
      </c>
      <c r="H7" s="3">
        <f t="shared" si="0"/>
        <v>0</v>
      </c>
      <c r="I7" s="3">
        <f>'Вып 06'!R48</f>
        <v>3454542.7711391998</v>
      </c>
      <c r="J7" s="3">
        <v>0</v>
      </c>
    </row>
    <row r="8" spans="1:10" ht="15" customHeight="1" x14ac:dyDescent="0.25">
      <c r="A8">
        <v>7</v>
      </c>
      <c r="B8" t="s">
        <v>52</v>
      </c>
      <c r="C8" t="s">
        <v>72</v>
      </c>
      <c r="D8" t="s">
        <v>521</v>
      </c>
      <c r="E8" s="2">
        <v>933</v>
      </c>
      <c r="F8" s="3">
        <f>'Вып 07'!F49</f>
        <v>22009857.550643794</v>
      </c>
      <c r="G8" s="3">
        <f>'Вып 07'!R49</f>
        <v>22009857.550643794</v>
      </c>
      <c r="H8" s="3">
        <f t="shared" si="0"/>
        <v>0</v>
      </c>
      <c r="I8" s="3">
        <f>'Вып 07'!R49</f>
        <v>22009857.550643794</v>
      </c>
      <c r="J8" s="3">
        <v>0</v>
      </c>
    </row>
    <row r="9" spans="1:10" ht="15" customHeight="1" x14ac:dyDescent="0.25">
      <c r="A9">
        <v>8</v>
      </c>
      <c r="B9" t="s">
        <v>52</v>
      </c>
      <c r="C9" t="s">
        <v>73</v>
      </c>
      <c r="D9" t="s">
        <v>522</v>
      </c>
      <c r="E9" s="2">
        <v>4500</v>
      </c>
      <c r="F9" s="3">
        <f>'Вып 08'!F54</f>
        <v>123134438.6045178</v>
      </c>
      <c r="G9" s="3">
        <f>'Вып 08'!R54</f>
        <v>123134438.6045178</v>
      </c>
      <c r="H9" s="3">
        <f t="shared" si="0"/>
        <v>0</v>
      </c>
      <c r="I9" s="3">
        <f>'Вып 08'!R54</f>
        <v>123134438.6045178</v>
      </c>
      <c r="J9" s="3">
        <v>0</v>
      </c>
    </row>
    <row r="10" spans="1:10" ht="15" customHeight="1" x14ac:dyDescent="0.25">
      <c r="A10">
        <v>9</v>
      </c>
      <c r="B10" t="s">
        <v>53</v>
      </c>
      <c r="C10" t="s">
        <v>75</v>
      </c>
      <c r="D10" t="s">
        <v>523</v>
      </c>
      <c r="E10" s="2">
        <v>4500</v>
      </c>
      <c r="F10" s="3">
        <f>'Вып 09'!F54</f>
        <v>123134438.6045178</v>
      </c>
      <c r="G10" s="3">
        <f>'Вып 09'!R54</f>
        <v>123134438.6045178</v>
      </c>
      <c r="H10" s="3">
        <f t="shared" si="0"/>
        <v>0</v>
      </c>
      <c r="I10" s="3">
        <f>'Вып 09'!R54</f>
        <v>123134438.6045178</v>
      </c>
      <c r="J10" s="3">
        <v>0</v>
      </c>
    </row>
    <row r="11" spans="1:10" ht="15" customHeight="1" x14ac:dyDescent="0.25">
      <c r="A11">
        <v>10</v>
      </c>
      <c r="B11" t="s">
        <v>21</v>
      </c>
      <c r="C11" t="s">
        <v>76</v>
      </c>
      <c r="D11" t="s">
        <v>524</v>
      </c>
      <c r="E11" s="2">
        <v>2707</v>
      </c>
      <c r="F11" s="3">
        <f>'Вып 10'!F54</f>
        <v>74072205.622762173</v>
      </c>
      <c r="G11" s="3">
        <f>'Вып 10'!R54</f>
        <v>74072205.622762173</v>
      </c>
      <c r="H11" s="3">
        <f t="shared" si="0"/>
        <v>0</v>
      </c>
      <c r="I11" s="3">
        <f>'Вып 10'!R54</f>
        <v>74072205.622762173</v>
      </c>
      <c r="J11" s="3">
        <v>0</v>
      </c>
    </row>
    <row r="12" spans="1:10" ht="15" customHeight="1" x14ac:dyDescent="0.25">
      <c r="A12" s="13" t="s">
        <v>54</v>
      </c>
      <c r="B12" s="13"/>
      <c r="C12" s="13"/>
      <c r="D12" s="13"/>
      <c r="E12" s="14">
        <f t="shared" ref="E12:J12" si="1">SUM(E2:E11)</f>
        <v>15201</v>
      </c>
      <c r="F12" s="10">
        <f t="shared" si="1"/>
        <v>405812085.33638203</v>
      </c>
      <c r="G12" s="10">
        <f t="shared" si="1"/>
        <v>405812085.33638203</v>
      </c>
      <c r="H12" s="10">
        <f t="shared" si="1"/>
        <v>0</v>
      </c>
      <c r="I12" s="10">
        <f t="shared" si="1"/>
        <v>405812085.33638203</v>
      </c>
      <c r="J12" s="10">
        <f t="shared" si="1"/>
        <v>0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55"/>
  <sheetViews>
    <sheetView showGridLines="0" topLeftCell="A31" zoomScaleNormal="100" workbookViewId="0"/>
  </sheetViews>
  <sheetFormatPr defaultColWidth="8.7109375" defaultRowHeight="15" x14ac:dyDescent="0.25"/>
  <cols>
    <col min="1" max="1" width="18" customWidth="1"/>
    <col min="2" max="2" width="80" customWidth="1"/>
    <col min="3" max="3" width="22" customWidth="1"/>
    <col min="4" max="4" width="28" customWidth="1"/>
    <col min="5" max="5" width="45" customWidth="1"/>
  </cols>
  <sheetData>
    <row r="1" spans="1:5" ht="27.75" customHeight="1" x14ac:dyDescent="0.25">
      <c r="A1" s="12" t="s">
        <v>525</v>
      </c>
      <c r="B1" s="12" t="s">
        <v>180</v>
      </c>
      <c r="C1" s="12" t="s">
        <v>526</v>
      </c>
      <c r="D1" s="12" t="s">
        <v>478</v>
      </c>
      <c r="E1" s="12" t="s">
        <v>80</v>
      </c>
    </row>
    <row r="2" spans="1:5" ht="15" customHeight="1" x14ac:dyDescent="0.25">
      <c r="A2" t="s">
        <v>515</v>
      </c>
      <c r="B2" t="s">
        <v>244</v>
      </c>
      <c r="C2" s="3">
        <f>'Вып 01'!F15</f>
        <v>5987.6969113599998</v>
      </c>
      <c r="D2" t="s">
        <v>527</v>
      </c>
      <c r="E2" t="s">
        <v>528</v>
      </c>
    </row>
    <row r="3" spans="1:5" ht="15" customHeight="1" x14ac:dyDescent="0.25">
      <c r="A3" t="s">
        <v>515</v>
      </c>
      <c r="B3" t="s">
        <v>250</v>
      </c>
      <c r="C3" s="3">
        <f>'Вып 01'!F20</f>
        <v>135585.86259899999</v>
      </c>
      <c r="D3" t="s">
        <v>527</v>
      </c>
      <c r="E3" t="s">
        <v>528</v>
      </c>
    </row>
    <row r="4" spans="1:5" ht="15" customHeight="1" x14ac:dyDescent="0.25">
      <c r="A4" t="s">
        <v>515</v>
      </c>
      <c r="B4" t="s">
        <v>251</v>
      </c>
      <c r="C4" s="3">
        <f>'Вып 01'!F21</f>
        <v>69654.181898399998</v>
      </c>
      <c r="D4" t="s">
        <v>527</v>
      </c>
      <c r="E4" t="s">
        <v>528</v>
      </c>
    </row>
    <row r="5" spans="1:5" ht="15" customHeight="1" x14ac:dyDescent="0.25">
      <c r="A5" t="s">
        <v>515</v>
      </c>
      <c r="B5" t="s">
        <v>252</v>
      </c>
      <c r="C5" s="3">
        <f>'Вып 01'!F22</f>
        <v>241505.649</v>
      </c>
      <c r="D5" t="s">
        <v>527</v>
      </c>
      <c r="E5" t="s">
        <v>528</v>
      </c>
    </row>
    <row r="6" spans="1:5" ht="15" customHeight="1" x14ac:dyDescent="0.25">
      <c r="A6" t="s">
        <v>515</v>
      </c>
      <c r="B6" t="s">
        <v>122</v>
      </c>
      <c r="C6" s="3">
        <f>'Вып 01'!F25</f>
        <v>0</v>
      </c>
      <c r="D6" t="s">
        <v>527</v>
      </c>
      <c r="E6" t="s">
        <v>528</v>
      </c>
    </row>
    <row r="7" spans="1:5" ht="15" customHeight="1" x14ac:dyDescent="0.25">
      <c r="A7" t="s">
        <v>515</v>
      </c>
      <c r="B7" t="s">
        <v>124</v>
      </c>
      <c r="C7" s="3">
        <f>'Вып 01'!F26</f>
        <v>0</v>
      </c>
      <c r="D7" t="s">
        <v>527</v>
      </c>
      <c r="E7" t="s">
        <v>528</v>
      </c>
    </row>
    <row r="8" spans="1:5" ht="15" customHeight="1" x14ac:dyDescent="0.25">
      <c r="A8" t="s">
        <v>515</v>
      </c>
      <c r="B8" t="s">
        <v>264</v>
      </c>
      <c r="C8" s="3">
        <f>'Вып 01'!F45</f>
        <v>38068.866336000006</v>
      </c>
      <c r="D8" t="s">
        <v>527</v>
      </c>
      <c r="E8" t="s">
        <v>528</v>
      </c>
    </row>
    <row r="9" spans="1:5" ht="15" customHeight="1" x14ac:dyDescent="0.25">
      <c r="A9" t="s">
        <v>516</v>
      </c>
      <c r="B9" t="s">
        <v>244</v>
      </c>
      <c r="C9" s="3">
        <f>'Вып 02'!F14</f>
        <v>36785.548823999998</v>
      </c>
      <c r="D9" t="s">
        <v>527</v>
      </c>
      <c r="E9" t="s">
        <v>528</v>
      </c>
    </row>
    <row r="10" spans="1:5" ht="15" customHeight="1" x14ac:dyDescent="0.25">
      <c r="A10" t="s">
        <v>516</v>
      </c>
      <c r="B10" t="s">
        <v>250</v>
      </c>
      <c r="C10" s="3">
        <f>'Вып 02'!F34</f>
        <v>365670.96276699996</v>
      </c>
      <c r="D10" t="s">
        <v>527</v>
      </c>
      <c r="E10" t="s">
        <v>528</v>
      </c>
    </row>
    <row r="11" spans="1:5" ht="15" customHeight="1" x14ac:dyDescent="0.25">
      <c r="A11" t="s">
        <v>516</v>
      </c>
      <c r="B11" t="s">
        <v>251</v>
      </c>
      <c r="C11" s="3">
        <f>'Вып 02'!F35</f>
        <v>187855.21784719999</v>
      </c>
      <c r="D11" t="s">
        <v>527</v>
      </c>
      <c r="E11" t="s">
        <v>528</v>
      </c>
    </row>
    <row r="12" spans="1:5" ht="15" customHeight="1" x14ac:dyDescent="0.25">
      <c r="A12" t="s">
        <v>516</v>
      </c>
      <c r="B12" t="s">
        <v>252</v>
      </c>
      <c r="C12" s="3">
        <f>'Вып 02'!F36</f>
        <v>651333.41700000002</v>
      </c>
      <c r="D12" t="s">
        <v>527</v>
      </c>
      <c r="E12" t="s">
        <v>528</v>
      </c>
    </row>
    <row r="13" spans="1:5" ht="15" customHeight="1" x14ac:dyDescent="0.25">
      <c r="A13" t="s">
        <v>516</v>
      </c>
      <c r="B13" t="s">
        <v>122</v>
      </c>
      <c r="C13" s="3">
        <f>'Вып 02'!F39</f>
        <v>0</v>
      </c>
      <c r="D13" t="s">
        <v>527</v>
      </c>
      <c r="E13" t="s">
        <v>528</v>
      </c>
    </row>
    <row r="14" spans="1:5" ht="15" customHeight="1" x14ac:dyDescent="0.25">
      <c r="A14" t="s">
        <v>516</v>
      </c>
      <c r="B14" t="s">
        <v>124</v>
      </c>
      <c r="C14" s="3">
        <f>'Вып 02'!F40</f>
        <v>0</v>
      </c>
      <c r="D14" t="s">
        <v>527</v>
      </c>
      <c r="E14" t="s">
        <v>528</v>
      </c>
    </row>
    <row r="15" spans="1:5" ht="15" customHeight="1" x14ac:dyDescent="0.25">
      <c r="A15" t="s">
        <v>516</v>
      </c>
      <c r="B15" t="s">
        <v>264</v>
      </c>
      <c r="C15" s="3">
        <f>'Вып 02'!F59</f>
        <v>58274.432160000004</v>
      </c>
      <c r="D15" t="s">
        <v>527</v>
      </c>
      <c r="E15" t="s">
        <v>528</v>
      </c>
    </row>
    <row r="16" spans="1:5" ht="15" customHeight="1" x14ac:dyDescent="0.25">
      <c r="A16" t="s">
        <v>517</v>
      </c>
      <c r="B16" t="s">
        <v>250</v>
      </c>
      <c r="C16" s="3">
        <f>'Вып 03'!F17</f>
        <v>135585.86259899999</v>
      </c>
      <c r="D16" t="s">
        <v>527</v>
      </c>
      <c r="E16" t="s">
        <v>528</v>
      </c>
    </row>
    <row r="17" spans="1:5" ht="15" customHeight="1" x14ac:dyDescent="0.25">
      <c r="A17" t="s">
        <v>517</v>
      </c>
      <c r="B17" t="s">
        <v>251</v>
      </c>
      <c r="C17" s="3">
        <f>'Вып 03'!F18</f>
        <v>69654.181898399998</v>
      </c>
      <c r="D17" t="s">
        <v>527</v>
      </c>
      <c r="E17" t="s">
        <v>528</v>
      </c>
    </row>
    <row r="18" spans="1:5" ht="15" customHeight="1" x14ac:dyDescent="0.25">
      <c r="A18" t="s">
        <v>517</v>
      </c>
      <c r="B18" t="s">
        <v>252</v>
      </c>
      <c r="C18" s="3">
        <f>'Вып 03'!F19</f>
        <v>241505.649</v>
      </c>
      <c r="D18" t="s">
        <v>527</v>
      </c>
      <c r="E18" t="s">
        <v>528</v>
      </c>
    </row>
    <row r="19" spans="1:5" ht="15" customHeight="1" x14ac:dyDescent="0.25">
      <c r="A19" t="s">
        <v>517</v>
      </c>
      <c r="B19" t="s">
        <v>122</v>
      </c>
      <c r="C19" s="3">
        <f>'Вып 03'!F22</f>
        <v>0</v>
      </c>
      <c r="D19" t="s">
        <v>527</v>
      </c>
      <c r="E19" t="s">
        <v>528</v>
      </c>
    </row>
    <row r="20" spans="1:5" ht="15" customHeight="1" x14ac:dyDescent="0.25">
      <c r="A20" t="s">
        <v>517</v>
      </c>
      <c r="B20" t="s">
        <v>124</v>
      </c>
      <c r="C20" s="3">
        <f>'Вып 03'!F23</f>
        <v>0</v>
      </c>
      <c r="D20" t="s">
        <v>527</v>
      </c>
      <c r="E20" t="s">
        <v>528</v>
      </c>
    </row>
    <row r="21" spans="1:5" ht="15" customHeight="1" x14ac:dyDescent="0.25">
      <c r="A21" t="s">
        <v>517</v>
      </c>
      <c r="B21" t="s">
        <v>264</v>
      </c>
      <c r="C21" s="3">
        <f>'Вып 03'!F42</f>
        <v>42788.672040000005</v>
      </c>
      <c r="D21" t="s">
        <v>527</v>
      </c>
      <c r="E21" t="s">
        <v>528</v>
      </c>
    </row>
    <row r="22" spans="1:5" ht="15" customHeight="1" x14ac:dyDescent="0.25">
      <c r="A22" t="s">
        <v>518</v>
      </c>
      <c r="B22" t="s">
        <v>250</v>
      </c>
      <c r="C22" s="3">
        <f>'Вып 04'!F18</f>
        <v>242411.087677</v>
      </c>
      <c r="D22" t="s">
        <v>527</v>
      </c>
      <c r="E22" t="s">
        <v>528</v>
      </c>
    </row>
    <row r="23" spans="1:5" ht="15" customHeight="1" x14ac:dyDescent="0.25">
      <c r="A23" t="s">
        <v>518</v>
      </c>
      <c r="B23" t="s">
        <v>251</v>
      </c>
      <c r="C23" s="3">
        <f>'Вып 04'!F19</f>
        <v>124533.23430319999</v>
      </c>
      <c r="D23" t="s">
        <v>527</v>
      </c>
      <c r="E23" t="s">
        <v>528</v>
      </c>
    </row>
    <row r="24" spans="1:5" ht="15" customHeight="1" x14ac:dyDescent="0.25">
      <c r="A24" t="s">
        <v>518</v>
      </c>
      <c r="B24" t="s">
        <v>252</v>
      </c>
      <c r="C24" s="3">
        <f>'Вып 04'!F20</f>
        <v>431782.82699999999</v>
      </c>
      <c r="D24" t="s">
        <v>527</v>
      </c>
      <c r="E24" t="s">
        <v>528</v>
      </c>
    </row>
    <row r="25" spans="1:5" ht="15" customHeight="1" x14ac:dyDescent="0.25">
      <c r="A25" t="s">
        <v>518</v>
      </c>
      <c r="B25" t="s">
        <v>122</v>
      </c>
      <c r="C25" s="3">
        <f>'Вып 04'!F23</f>
        <v>0</v>
      </c>
      <c r="D25" t="s">
        <v>527</v>
      </c>
      <c r="E25" t="s">
        <v>528</v>
      </c>
    </row>
    <row r="26" spans="1:5" ht="15" customHeight="1" x14ac:dyDescent="0.25">
      <c r="A26" t="s">
        <v>518</v>
      </c>
      <c r="B26" t="s">
        <v>124</v>
      </c>
      <c r="C26" s="3">
        <f>'Вып 04'!F24</f>
        <v>0</v>
      </c>
      <c r="D26" t="s">
        <v>527</v>
      </c>
      <c r="E26" t="s">
        <v>528</v>
      </c>
    </row>
    <row r="27" spans="1:5" ht="15" customHeight="1" x14ac:dyDescent="0.25">
      <c r="A27" t="s">
        <v>518</v>
      </c>
      <c r="B27" t="s">
        <v>264</v>
      </c>
      <c r="C27" s="3">
        <f>'Вып 04'!F43</f>
        <v>37391.584800000004</v>
      </c>
      <c r="D27" t="s">
        <v>527</v>
      </c>
      <c r="E27" t="s">
        <v>528</v>
      </c>
    </row>
    <row r="28" spans="1:5" ht="15" customHeight="1" x14ac:dyDescent="0.25">
      <c r="A28" t="s">
        <v>519</v>
      </c>
      <c r="B28" t="s">
        <v>250</v>
      </c>
      <c r="C28" s="3">
        <f>'Вып 05'!F17</f>
        <v>90390.57506599999</v>
      </c>
      <c r="D28" t="s">
        <v>527</v>
      </c>
      <c r="E28" t="s">
        <v>528</v>
      </c>
    </row>
    <row r="29" spans="1:5" ht="15" customHeight="1" x14ac:dyDescent="0.25">
      <c r="A29" t="s">
        <v>519</v>
      </c>
      <c r="B29" t="s">
        <v>251</v>
      </c>
      <c r="C29" s="3">
        <f>'Вып 05'!F18</f>
        <v>46436.121265599999</v>
      </c>
      <c r="D29" t="s">
        <v>527</v>
      </c>
      <c r="E29" t="s">
        <v>528</v>
      </c>
    </row>
    <row r="30" spans="1:5" ht="15" customHeight="1" x14ac:dyDescent="0.25">
      <c r="A30" t="s">
        <v>519</v>
      </c>
      <c r="B30" t="s">
        <v>252</v>
      </c>
      <c r="C30" s="3">
        <f>'Вып 05'!F19</f>
        <v>161003.766</v>
      </c>
      <c r="D30" t="s">
        <v>527</v>
      </c>
      <c r="E30" t="s">
        <v>528</v>
      </c>
    </row>
    <row r="31" spans="1:5" ht="15" customHeight="1" x14ac:dyDescent="0.25">
      <c r="A31" t="s">
        <v>519</v>
      </c>
      <c r="B31" t="s">
        <v>122</v>
      </c>
      <c r="C31" s="3">
        <f>'Вып 05'!F22</f>
        <v>0</v>
      </c>
      <c r="D31" t="s">
        <v>527</v>
      </c>
      <c r="E31" t="s">
        <v>528</v>
      </c>
    </row>
    <row r="32" spans="1:5" ht="15" customHeight="1" x14ac:dyDescent="0.25">
      <c r="A32" t="s">
        <v>519</v>
      </c>
      <c r="B32" t="s">
        <v>124</v>
      </c>
      <c r="C32" s="3">
        <f>'Вып 05'!F23</f>
        <v>0</v>
      </c>
      <c r="D32" t="s">
        <v>527</v>
      </c>
      <c r="E32" t="s">
        <v>528</v>
      </c>
    </row>
    <row r="33" spans="1:5" ht="15" customHeight="1" x14ac:dyDescent="0.25">
      <c r="A33" t="s">
        <v>519</v>
      </c>
      <c r="B33" t="s">
        <v>264</v>
      </c>
      <c r="C33" s="3">
        <f>'Вып 05'!F42</f>
        <v>17637.54</v>
      </c>
      <c r="D33" t="s">
        <v>527</v>
      </c>
      <c r="E33" t="s">
        <v>528</v>
      </c>
    </row>
    <row r="34" spans="1:5" ht="15" customHeight="1" x14ac:dyDescent="0.25">
      <c r="A34" t="s">
        <v>520</v>
      </c>
      <c r="B34" t="s">
        <v>250</v>
      </c>
      <c r="C34" s="3">
        <f>'Вып 06'!F17</f>
        <v>98607.900072000004</v>
      </c>
      <c r="D34" t="s">
        <v>527</v>
      </c>
      <c r="E34" t="s">
        <v>528</v>
      </c>
    </row>
    <row r="35" spans="1:5" ht="15" customHeight="1" x14ac:dyDescent="0.25">
      <c r="A35" t="s">
        <v>520</v>
      </c>
      <c r="B35" t="s">
        <v>251</v>
      </c>
      <c r="C35" s="3">
        <f>'Вып 06'!F18</f>
        <v>50657.586835199996</v>
      </c>
      <c r="D35" t="s">
        <v>527</v>
      </c>
      <c r="E35" t="s">
        <v>528</v>
      </c>
    </row>
    <row r="36" spans="1:5" ht="15" customHeight="1" x14ac:dyDescent="0.25">
      <c r="A36" t="s">
        <v>520</v>
      </c>
      <c r="B36" t="s">
        <v>252</v>
      </c>
      <c r="C36" s="3">
        <f>'Вып 06'!F19</f>
        <v>175640.47200000001</v>
      </c>
      <c r="D36" t="s">
        <v>527</v>
      </c>
      <c r="E36" t="s">
        <v>528</v>
      </c>
    </row>
    <row r="37" spans="1:5" ht="15" customHeight="1" x14ac:dyDescent="0.25">
      <c r="A37" t="s">
        <v>520</v>
      </c>
      <c r="B37" t="s">
        <v>122</v>
      </c>
      <c r="C37" s="3">
        <f>'Вып 06'!F22</f>
        <v>0</v>
      </c>
      <c r="D37" t="s">
        <v>527</v>
      </c>
      <c r="E37" t="s">
        <v>528</v>
      </c>
    </row>
    <row r="38" spans="1:5" ht="15" customHeight="1" x14ac:dyDescent="0.25">
      <c r="A38" t="s">
        <v>520</v>
      </c>
      <c r="B38" t="s">
        <v>124</v>
      </c>
      <c r="C38" s="3">
        <f>'Вып 06'!F23</f>
        <v>0</v>
      </c>
      <c r="D38" t="s">
        <v>527</v>
      </c>
      <c r="E38" t="s">
        <v>528</v>
      </c>
    </row>
    <row r="39" spans="1:5" ht="15" customHeight="1" x14ac:dyDescent="0.25">
      <c r="A39" t="s">
        <v>520</v>
      </c>
      <c r="B39" t="s">
        <v>264</v>
      </c>
      <c r="C39" s="3">
        <f>'Вып 06'!F42</f>
        <v>15521.035200000002</v>
      </c>
      <c r="D39" t="s">
        <v>527</v>
      </c>
      <c r="E39" t="s">
        <v>528</v>
      </c>
    </row>
    <row r="40" spans="1:5" ht="15" customHeight="1" x14ac:dyDescent="0.25">
      <c r="A40" t="s">
        <v>521</v>
      </c>
      <c r="B40" t="s">
        <v>250</v>
      </c>
      <c r="C40" s="3">
        <f>'Вып 07'!F18</f>
        <v>373888.28777299996</v>
      </c>
      <c r="D40" t="s">
        <v>527</v>
      </c>
      <c r="E40" t="s">
        <v>528</v>
      </c>
    </row>
    <row r="41" spans="1:5" ht="15" customHeight="1" x14ac:dyDescent="0.25">
      <c r="A41" t="s">
        <v>521</v>
      </c>
      <c r="B41" t="s">
        <v>251</v>
      </c>
      <c r="C41" s="3">
        <f>'Вып 07'!F19</f>
        <v>192076.68341679999</v>
      </c>
      <c r="D41" t="s">
        <v>527</v>
      </c>
      <c r="E41" t="s">
        <v>528</v>
      </c>
    </row>
    <row r="42" spans="1:5" ht="15" customHeight="1" x14ac:dyDescent="0.25">
      <c r="A42" t="s">
        <v>521</v>
      </c>
      <c r="B42" t="s">
        <v>252</v>
      </c>
      <c r="C42" s="3">
        <f>'Вып 07'!F20</f>
        <v>665970.12300000002</v>
      </c>
      <c r="D42" t="s">
        <v>527</v>
      </c>
      <c r="E42" t="s">
        <v>528</v>
      </c>
    </row>
    <row r="43" spans="1:5" ht="15" customHeight="1" x14ac:dyDescent="0.25">
      <c r="A43" t="s">
        <v>521</v>
      </c>
      <c r="B43" t="s">
        <v>122</v>
      </c>
      <c r="C43" s="3">
        <f>'Вып 07'!F23</f>
        <v>0</v>
      </c>
      <c r="D43" t="s">
        <v>527</v>
      </c>
      <c r="E43" t="s">
        <v>528</v>
      </c>
    </row>
    <row r="44" spans="1:5" ht="15" customHeight="1" x14ac:dyDescent="0.25">
      <c r="A44" t="s">
        <v>521</v>
      </c>
      <c r="B44" t="s">
        <v>124</v>
      </c>
      <c r="C44" s="3">
        <f>'Вып 07'!F24</f>
        <v>0</v>
      </c>
      <c r="D44" t="s">
        <v>527</v>
      </c>
      <c r="E44" t="s">
        <v>528</v>
      </c>
    </row>
    <row r="45" spans="1:5" ht="15" customHeight="1" x14ac:dyDescent="0.25">
      <c r="A45" t="s">
        <v>521</v>
      </c>
      <c r="B45" t="s">
        <v>264</v>
      </c>
      <c r="C45" s="3">
        <f>'Вып 07'!F43</f>
        <v>36897.733679999998</v>
      </c>
      <c r="D45" t="s">
        <v>527</v>
      </c>
      <c r="E45" t="s">
        <v>528</v>
      </c>
    </row>
    <row r="46" spans="1:5" ht="15" customHeight="1" x14ac:dyDescent="0.25">
      <c r="A46" t="s">
        <v>522</v>
      </c>
      <c r="B46" t="s">
        <v>250</v>
      </c>
      <c r="C46" s="3">
        <f>'Вып 08'!F34</f>
        <v>7763880.8750601392</v>
      </c>
      <c r="D46" t="s">
        <v>527</v>
      </c>
      <c r="E46" t="s">
        <v>528</v>
      </c>
    </row>
    <row r="47" spans="1:5" ht="15" customHeight="1" x14ac:dyDescent="0.25">
      <c r="A47" t="s">
        <v>522</v>
      </c>
      <c r="B47" t="s">
        <v>251</v>
      </c>
      <c r="C47" s="3">
        <f>'Вып 08'!F35</f>
        <v>558557.59210346313</v>
      </c>
      <c r="D47" t="s">
        <v>527</v>
      </c>
      <c r="E47" t="s">
        <v>528</v>
      </c>
    </row>
    <row r="48" spans="1:5" ht="15" customHeight="1" x14ac:dyDescent="0.25">
      <c r="A48" t="s">
        <v>522</v>
      </c>
      <c r="B48" t="s">
        <v>264</v>
      </c>
      <c r="C48" s="3">
        <f>'Вып 08'!F43</f>
        <v>526348.26404673152</v>
      </c>
      <c r="D48" t="s">
        <v>527</v>
      </c>
      <c r="E48" t="s">
        <v>528</v>
      </c>
    </row>
    <row r="49" spans="1:5" ht="15" customHeight="1" x14ac:dyDescent="0.25">
      <c r="A49" t="s">
        <v>523</v>
      </c>
      <c r="B49" t="s">
        <v>250</v>
      </c>
      <c r="C49" s="3">
        <f>'Вып 09'!F34</f>
        <v>7763880.8750601392</v>
      </c>
      <c r="D49" t="s">
        <v>527</v>
      </c>
      <c r="E49" t="s">
        <v>528</v>
      </c>
    </row>
    <row r="50" spans="1:5" ht="15" customHeight="1" x14ac:dyDescent="0.25">
      <c r="A50" t="s">
        <v>523</v>
      </c>
      <c r="B50" t="s">
        <v>251</v>
      </c>
      <c r="C50" s="3">
        <f>'Вып 09'!F35</f>
        <v>558557.59210346313</v>
      </c>
      <c r="D50" t="s">
        <v>527</v>
      </c>
      <c r="E50" t="s">
        <v>528</v>
      </c>
    </row>
    <row r="51" spans="1:5" ht="15" customHeight="1" x14ac:dyDescent="0.25">
      <c r="A51" t="s">
        <v>523</v>
      </c>
      <c r="B51" t="s">
        <v>264</v>
      </c>
      <c r="C51" s="3">
        <f>'Вып 09'!F43</f>
        <v>526348.26404673152</v>
      </c>
      <c r="D51" t="s">
        <v>527</v>
      </c>
      <c r="E51" t="s">
        <v>528</v>
      </c>
    </row>
    <row r="52" spans="1:5" ht="15" customHeight="1" x14ac:dyDescent="0.25">
      <c r="A52" t="s">
        <v>524</v>
      </c>
      <c r="B52" t="s">
        <v>250</v>
      </c>
      <c r="C52" s="3">
        <f>'Вып 10'!F34</f>
        <v>4670405.6730639581</v>
      </c>
      <c r="D52" t="s">
        <v>527</v>
      </c>
      <c r="E52" t="s">
        <v>528</v>
      </c>
    </row>
    <row r="53" spans="1:5" ht="15" customHeight="1" x14ac:dyDescent="0.25">
      <c r="A53" t="s">
        <v>524</v>
      </c>
      <c r="B53" t="s">
        <v>251</v>
      </c>
      <c r="C53" s="3">
        <f>'Вып 10'!F35</f>
        <v>336003.42262757244</v>
      </c>
      <c r="D53" t="s">
        <v>527</v>
      </c>
      <c r="E53" t="s">
        <v>528</v>
      </c>
    </row>
    <row r="54" spans="1:5" ht="15" customHeight="1" x14ac:dyDescent="0.25">
      <c r="A54" t="s">
        <v>524</v>
      </c>
      <c r="B54" t="s">
        <v>264</v>
      </c>
      <c r="C54" s="3">
        <f>'Вып 10'!F43</f>
        <v>316627.72239433479</v>
      </c>
      <c r="D54" t="s">
        <v>527</v>
      </c>
      <c r="E54" t="s">
        <v>528</v>
      </c>
    </row>
    <row r="55" spans="1:5" ht="15" customHeight="1" x14ac:dyDescent="0.25">
      <c r="A55" s="13" t="s">
        <v>529</v>
      </c>
      <c r="B55" s="13"/>
      <c r="C55" s="10">
        <f>SUM(C2:C54)</f>
        <v>28061713.039475694</v>
      </c>
      <c r="D55" s="13" t="s">
        <v>530</v>
      </c>
      <c r="E55" s="13"/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C13"/>
  <sheetViews>
    <sheetView showGridLines="0" zoomScaleNormal="100" workbookViewId="0"/>
  </sheetViews>
  <sheetFormatPr defaultColWidth="8.7109375" defaultRowHeight="15" x14ac:dyDescent="0.25"/>
  <cols>
    <col min="1" max="1" width="34" customWidth="1"/>
    <col min="2" max="2" width="28" customWidth="1"/>
    <col min="3" max="3" width="64" customWidth="1"/>
  </cols>
  <sheetData>
    <row r="1" spans="1:3" ht="15" customHeight="1" x14ac:dyDescent="0.25">
      <c r="A1" s="15" t="s">
        <v>531</v>
      </c>
      <c r="B1" s="15" t="s">
        <v>170</v>
      </c>
      <c r="C1" s="15" t="s">
        <v>80</v>
      </c>
    </row>
    <row r="2" spans="1:3" ht="15" customHeight="1" x14ac:dyDescent="0.25">
      <c r="A2" t="s">
        <v>22</v>
      </c>
      <c r="B2" t="s">
        <v>532</v>
      </c>
      <c r="C2" t="s">
        <v>533</v>
      </c>
    </row>
    <row r="3" spans="1:3" ht="15" customHeight="1" x14ac:dyDescent="0.25">
      <c r="A3" t="s">
        <v>534</v>
      </c>
      <c r="B3" t="s">
        <v>535</v>
      </c>
      <c r="C3" t="s">
        <v>536</v>
      </c>
    </row>
    <row r="4" spans="1:3" ht="15" customHeight="1" x14ac:dyDescent="0.25">
      <c r="A4" t="s">
        <v>337</v>
      </c>
      <c r="B4" t="s">
        <v>346</v>
      </c>
      <c r="C4" t="s">
        <v>537</v>
      </c>
    </row>
    <row r="5" spans="1:3" ht="15" customHeight="1" x14ac:dyDescent="0.25">
      <c r="A5" t="s">
        <v>339</v>
      </c>
      <c r="B5" s="3">
        <f>'Сводный CashFlow'!B14</f>
        <v>60871812.800457291</v>
      </c>
      <c r="C5" t="s">
        <v>538</v>
      </c>
    </row>
    <row r="6" spans="1:3" ht="15" customHeight="1" x14ac:dyDescent="0.25">
      <c r="A6" t="s">
        <v>36</v>
      </c>
      <c r="B6" t="s">
        <v>539</v>
      </c>
      <c r="C6" t="s">
        <v>540</v>
      </c>
    </row>
    <row r="7" spans="1:3" ht="15" customHeight="1" x14ac:dyDescent="0.25">
      <c r="A7" t="s">
        <v>541</v>
      </c>
      <c r="B7" t="s">
        <v>542</v>
      </c>
      <c r="C7" t="s">
        <v>543</v>
      </c>
    </row>
    <row r="8" spans="1:3" ht="15" customHeight="1" x14ac:dyDescent="0.25">
      <c r="A8" t="s">
        <v>59</v>
      </c>
      <c r="B8" t="s">
        <v>544</v>
      </c>
      <c r="C8" t="s">
        <v>545</v>
      </c>
    </row>
    <row r="10" spans="1:3" ht="15" customHeight="1" x14ac:dyDescent="0.25">
      <c r="A10" t="s">
        <v>379</v>
      </c>
      <c r="B10" t="s">
        <v>380</v>
      </c>
      <c r="C10" t="s">
        <v>543</v>
      </c>
    </row>
    <row r="11" spans="1:3" ht="15" customHeight="1" x14ac:dyDescent="0.25">
      <c r="A11" t="s">
        <v>373</v>
      </c>
      <c r="B11" t="s">
        <v>374</v>
      </c>
      <c r="C11" t="s">
        <v>546</v>
      </c>
    </row>
    <row r="12" spans="1:3" ht="15" customHeight="1" x14ac:dyDescent="0.25">
      <c r="A12" t="s">
        <v>376</v>
      </c>
      <c r="B12" t="s">
        <v>377</v>
      </c>
      <c r="C12" t="s">
        <v>547</v>
      </c>
    </row>
    <row r="13" spans="1:3" ht="15" customHeight="1" x14ac:dyDescent="0.25">
      <c r="A13" t="s">
        <v>38</v>
      </c>
      <c r="B13" t="s">
        <v>21</v>
      </c>
      <c r="C13" t="s">
        <v>548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29"/>
  <sheetViews>
    <sheetView showGridLines="0" zoomScaleNormal="100" workbookViewId="0">
      <pane ySplit="3" topLeftCell="A4" activePane="bottomLeft" state="frozen"/>
      <selection pane="bottomLeft" sqref="A1:H1"/>
    </sheetView>
  </sheetViews>
  <sheetFormatPr defaultColWidth="8.7109375" defaultRowHeight="15" x14ac:dyDescent="0.25"/>
  <cols>
    <col min="1" max="1" width="12" customWidth="1"/>
    <col min="2" max="2" width="34" customWidth="1"/>
    <col min="3" max="3" width="16" customWidth="1"/>
    <col min="4" max="4" width="18" customWidth="1"/>
    <col min="5" max="5" width="20" customWidth="1"/>
    <col min="6" max="7" width="18" customWidth="1"/>
    <col min="8" max="8" width="38" customWidth="1"/>
    <col min="9" max="14" width="18" customWidth="1"/>
  </cols>
  <sheetData>
    <row r="1" spans="1:8" ht="17.25" customHeight="1" x14ac:dyDescent="0.25">
      <c r="A1" s="31" t="s">
        <v>549</v>
      </c>
      <c r="B1" s="31"/>
      <c r="C1" s="31"/>
      <c r="D1" s="31"/>
      <c r="E1" s="31"/>
      <c r="F1" s="31"/>
      <c r="G1" s="31"/>
      <c r="H1" s="31"/>
    </row>
    <row r="3" spans="1:8" ht="27.75" customHeight="1" x14ac:dyDescent="0.25">
      <c r="A3" s="9" t="s">
        <v>550</v>
      </c>
      <c r="B3" s="9" t="s">
        <v>551</v>
      </c>
      <c r="C3" s="9" t="s">
        <v>552</v>
      </c>
      <c r="D3" s="9" t="s">
        <v>553</v>
      </c>
      <c r="E3" s="9" t="s">
        <v>554</v>
      </c>
      <c r="F3" s="9" t="s">
        <v>555</v>
      </c>
      <c r="G3" s="9" t="s">
        <v>556</v>
      </c>
      <c r="H3" s="9" t="s">
        <v>80</v>
      </c>
    </row>
    <row r="4" spans="1:8" ht="15" customHeight="1" x14ac:dyDescent="0.25">
      <c r="A4" s="20">
        <v>1</v>
      </c>
      <c r="B4" s="20" t="s">
        <v>557</v>
      </c>
      <c r="C4" s="21">
        <v>5</v>
      </c>
      <c r="D4" s="22">
        <v>160000</v>
      </c>
      <c r="E4" s="22">
        <f t="shared" ref="E4:E9" si="0">C4*D4</f>
        <v>800000</v>
      </c>
      <c r="F4" s="20" t="s">
        <v>49</v>
      </c>
      <c r="G4" s="20" t="s">
        <v>53</v>
      </c>
      <c r="H4" s="20" t="s">
        <v>558</v>
      </c>
    </row>
    <row r="5" spans="1:8" ht="15" customHeight="1" x14ac:dyDescent="0.25">
      <c r="A5" s="20">
        <v>2</v>
      </c>
      <c r="B5" s="20" t="s">
        <v>559</v>
      </c>
      <c r="C5" s="21">
        <v>5</v>
      </c>
      <c r="D5" s="22">
        <v>160000</v>
      </c>
      <c r="E5" s="22">
        <f t="shared" si="0"/>
        <v>800000</v>
      </c>
      <c r="F5" s="20" t="s">
        <v>49</v>
      </c>
      <c r="G5" s="20" t="s">
        <v>53</v>
      </c>
      <c r="H5" s="20" t="s">
        <v>558</v>
      </c>
    </row>
    <row r="6" spans="1:8" ht="15" customHeight="1" x14ac:dyDescent="0.25">
      <c r="A6" s="20">
        <v>3</v>
      </c>
      <c r="B6" s="20" t="s">
        <v>560</v>
      </c>
      <c r="C6" s="21">
        <v>5</v>
      </c>
      <c r="D6" s="22">
        <v>300000</v>
      </c>
      <c r="E6" s="22">
        <f t="shared" si="0"/>
        <v>1500000</v>
      </c>
      <c r="F6" s="20" t="s">
        <v>49</v>
      </c>
      <c r="G6" s="20" t="s">
        <v>53</v>
      </c>
      <c r="H6" s="20" t="s">
        <v>558</v>
      </c>
    </row>
    <row r="7" spans="1:8" ht="15" customHeight="1" x14ac:dyDescent="0.25">
      <c r="A7" s="20">
        <v>4</v>
      </c>
      <c r="B7" s="20" t="s">
        <v>561</v>
      </c>
      <c r="C7" s="21">
        <v>5</v>
      </c>
      <c r="D7" s="22">
        <v>81900</v>
      </c>
      <c r="E7" s="22">
        <f t="shared" si="0"/>
        <v>409500</v>
      </c>
      <c r="F7" s="20" t="s">
        <v>49</v>
      </c>
      <c r="G7" s="20" t="s">
        <v>53</v>
      </c>
      <c r="H7" s="20" t="s">
        <v>558</v>
      </c>
    </row>
    <row r="8" spans="1:8" ht="15" customHeight="1" x14ac:dyDescent="0.25">
      <c r="A8" s="1">
        <v>5</v>
      </c>
      <c r="B8" s="1" t="s">
        <v>395</v>
      </c>
      <c r="C8" s="23">
        <v>5</v>
      </c>
      <c r="D8" s="11">
        <v>150000</v>
      </c>
      <c r="E8" s="11">
        <f t="shared" si="0"/>
        <v>750000</v>
      </c>
      <c r="F8" s="1" t="s">
        <v>49</v>
      </c>
      <c r="G8" s="1" t="s">
        <v>53</v>
      </c>
      <c r="H8" s="1" t="s">
        <v>558</v>
      </c>
    </row>
    <row r="9" spans="1:8" ht="15" customHeight="1" x14ac:dyDescent="0.25">
      <c r="A9">
        <v>6</v>
      </c>
      <c r="B9" t="s">
        <v>562</v>
      </c>
      <c r="C9" s="2">
        <v>5</v>
      </c>
      <c r="D9" s="3">
        <v>500000</v>
      </c>
      <c r="E9" s="3">
        <f t="shared" si="0"/>
        <v>2500000</v>
      </c>
      <c r="F9" t="s">
        <v>49</v>
      </c>
      <c r="G9" t="s">
        <v>53</v>
      </c>
      <c r="H9" t="s">
        <v>558</v>
      </c>
    </row>
    <row r="10" spans="1:8" ht="15" customHeight="1" x14ac:dyDescent="0.25">
      <c r="A10" s="13"/>
      <c r="B10" s="13" t="s">
        <v>563</v>
      </c>
      <c r="C10" s="13"/>
      <c r="D10" s="13"/>
      <c r="E10" s="10">
        <f>SUM(E4:E9)</f>
        <v>6759500</v>
      </c>
      <c r="F10" s="13"/>
      <c r="G10" s="13"/>
      <c r="H10" s="13"/>
    </row>
    <row r="11" spans="1:8" ht="15" customHeight="1" x14ac:dyDescent="0.25">
      <c r="A11" s="24"/>
      <c r="B11" s="24"/>
      <c r="C11" s="24"/>
      <c r="D11" s="24"/>
      <c r="E11" s="24"/>
      <c r="F11" s="24"/>
    </row>
    <row r="12" spans="1:8" ht="15" customHeight="1" x14ac:dyDescent="0.25">
      <c r="B12" s="3"/>
      <c r="C12" s="3"/>
      <c r="D12" s="3"/>
      <c r="E12" s="3"/>
      <c r="F12" s="3"/>
    </row>
    <row r="13" spans="1:8" ht="41.25" customHeight="1" x14ac:dyDescent="0.25">
      <c r="A13" s="9" t="s">
        <v>47</v>
      </c>
      <c r="B13" s="25" t="s">
        <v>557</v>
      </c>
      <c r="C13" s="25" t="s">
        <v>559</v>
      </c>
      <c r="D13" s="25" t="s">
        <v>560</v>
      </c>
      <c r="E13" s="25" t="s">
        <v>561</v>
      </c>
      <c r="F13" s="25" t="s">
        <v>395</v>
      </c>
      <c r="G13" s="9" t="s">
        <v>562</v>
      </c>
      <c r="H13" s="9" t="s">
        <v>564</v>
      </c>
    </row>
    <row r="14" spans="1:8" ht="15" customHeight="1" x14ac:dyDescent="0.25">
      <c r="A14" t="s">
        <v>49</v>
      </c>
      <c r="B14" s="3">
        <f>IF(1&lt;=$C$4,$D$4,0)</f>
        <v>160000</v>
      </c>
      <c r="C14" s="3">
        <f>IF(1&lt;=$C$5,$D$5,0)</f>
        <v>160000</v>
      </c>
      <c r="D14" s="3">
        <f>IF(1&lt;=$C$6,$D$6,0)</f>
        <v>300000</v>
      </c>
      <c r="E14" s="3">
        <f>IF(1&lt;=$C$7,$D$7,0)</f>
        <v>81900</v>
      </c>
      <c r="F14" s="3">
        <f>IF(1&lt;=$C$8,$D$8,0)</f>
        <v>150000</v>
      </c>
      <c r="G14" s="3">
        <f>IF(1&lt;=$C$9,$D$9,0)</f>
        <v>500000</v>
      </c>
      <c r="H14" s="3">
        <f>SUM(B14:G14)</f>
        <v>1351900</v>
      </c>
    </row>
    <row r="15" spans="1:8" ht="15" customHeight="1" x14ac:dyDescent="0.25">
      <c r="A15" t="s">
        <v>50</v>
      </c>
      <c r="B15" s="3">
        <f>IF(2&lt;=$C$4,$D$4,0)</f>
        <v>160000</v>
      </c>
      <c r="C15" s="3">
        <f>IF(2&lt;=$C$5,$D$5,0)</f>
        <v>160000</v>
      </c>
      <c r="D15" s="3">
        <f>IF(2&lt;=$C$6,$D$6,0)</f>
        <v>300000</v>
      </c>
      <c r="E15" s="3">
        <f>IF(2&lt;=$C$7,$D$7,0)</f>
        <v>81900</v>
      </c>
      <c r="F15" s="3">
        <f>IF(2&lt;=$C$8,$D$8,0)</f>
        <v>150000</v>
      </c>
      <c r="G15" s="3">
        <f>IF(2&lt;=$C$9,$D$9,0)</f>
        <v>500000</v>
      </c>
      <c r="H15" s="3">
        <f>SUM(B15:G15)</f>
        <v>1351900</v>
      </c>
    </row>
    <row r="16" spans="1:8" ht="15" customHeight="1" x14ac:dyDescent="0.25">
      <c r="A16" t="s">
        <v>51</v>
      </c>
      <c r="B16" s="3">
        <f>IF(3&lt;=$C$4,$D$4,0)</f>
        <v>160000</v>
      </c>
      <c r="C16" s="3">
        <f>IF(3&lt;=$C$5,$D$5,0)</f>
        <v>160000</v>
      </c>
      <c r="D16" s="3">
        <f>IF(3&lt;=$C$6,$D$6,0)</f>
        <v>300000</v>
      </c>
      <c r="E16" s="3">
        <f>IF(3&lt;=$C$7,$D$7,0)</f>
        <v>81900</v>
      </c>
      <c r="F16" s="3">
        <f>IF(3&lt;=$C$8,$D$8,0)</f>
        <v>150000</v>
      </c>
      <c r="G16" s="3">
        <f>IF(3&lt;=$C$9,$D$9,0)</f>
        <v>500000</v>
      </c>
      <c r="H16" s="3">
        <f>SUM(B16:G16)</f>
        <v>1351900</v>
      </c>
    </row>
    <row r="17" spans="1:8" ht="15" customHeight="1" x14ac:dyDescent="0.25">
      <c r="A17" t="s">
        <v>52</v>
      </c>
      <c r="B17" s="11">
        <f>IF(4&lt;=$C$4,$D$4,0)</f>
        <v>160000</v>
      </c>
      <c r="C17" s="11">
        <f>IF(4&lt;=$C$5,$D$5,0)</f>
        <v>160000</v>
      </c>
      <c r="D17" s="11">
        <f>IF(4&lt;=$C$6,$D$6,0)</f>
        <v>300000</v>
      </c>
      <c r="E17" s="11">
        <f>IF(4&lt;=$C$7,$D$7,0)</f>
        <v>81900</v>
      </c>
      <c r="F17" s="11">
        <f>IF(4&lt;=$C$8,$D$8,0)</f>
        <v>150000</v>
      </c>
      <c r="G17" s="3">
        <f>IF(4&lt;=$C$9,$D$9,0)</f>
        <v>500000</v>
      </c>
      <c r="H17" s="3">
        <f>SUM(B17:G17)</f>
        <v>1351900</v>
      </c>
    </row>
    <row r="18" spans="1:8" ht="15" customHeight="1" x14ac:dyDescent="0.25">
      <c r="A18" t="s">
        <v>53</v>
      </c>
      <c r="B18" s="3">
        <f>IF(5&lt;=$C$4,$D$4,0)</f>
        <v>160000</v>
      </c>
      <c r="C18" s="3">
        <f>IF(5&lt;=$C$5,$D$5,0)</f>
        <v>160000</v>
      </c>
      <c r="D18" s="3">
        <f>IF(5&lt;=$C$6,$D$6,0)</f>
        <v>300000</v>
      </c>
      <c r="E18" s="3">
        <f>IF(5&lt;=$C$7,$D$7,0)</f>
        <v>81900</v>
      </c>
      <c r="F18" s="3">
        <f>IF(5&lt;=$C$8,$D$8,0)</f>
        <v>150000</v>
      </c>
      <c r="G18" s="3">
        <f>IF(5&lt;=$C$9,$D$9,0)</f>
        <v>500000</v>
      </c>
      <c r="H18" s="3">
        <f>SUM(B18:G18)</f>
        <v>1351900</v>
      </c>
    </row>
    <row r="19" spans="1:8" ht="15" customHeight="1" x14ac:dyDescent="0.25">
      <c r="A19" s="1" t="s">
        <v>54</v>
      </c>
      <c r="B19" s="10">
        <f t="shared" ref="B19:H19" si="1">SUM(B14:B18)</f>
        <v>800000</v>
      </c>
      <c r="C19" s="10">
        <f t="shared" si="1"/>
        <v>800000</v>
      </c>
      <c r="D19" s="10">
        <f t="shared" si="1"/>
        <v>1500000</v>
      </c>
      <c r="E19" s="10">
        <f t="shared" si="1"/>
        <v>409500</v>
      </c>
      <c r="F19" s="10">
        <f t="shared" si="1"/>
        <v>750000</v>
      </c>
      <c r="G19" s="10">
        <f t="shared" si="1"/>
        <v>2500000</v>
      </c>
      <c r="H19" s="10">
        <f t="shared" si="1"/>
        <v>6759500</v>
      </c>
    </row>
    <row r="20" spans="1:8" ht="15" customHeight="1" x14ac:dyDescent="0.25">
      <c r="B20" s="3"/>
      <c r="C20" s="3"/>
      <c r="D20" s="3"/>
      <c r="E20" s="3"/>
      <c r="F20" s="3"/>
    </row>
    <row r="21" spans="1:8" ht="15" customHeight="1" x14ac:dyDescent="0.25">
      <c r="B21" s="3"/>
      <c r="C21" s="3"/>
      <c r="D21" s="3"/>
      <c r="E21" s="3"/>
      <c r="F21" s="3"/>
    </row>
    <row r="22" spans="1:8" ht="15" customHeight="1" x14ac:dyDescent="0.25">
      <c r="B22" s="3"/>
      <c r="C22" s="3"/>
      <c r="D22" s="3"/>
      <c r="E22" s="3"/>
      <c r="F22" s="3"/>
    </row>
    <row r="23" spans="1:8" ht="15" customHeight="1" x14ac:dyDescent="0.25">
      <c r="B23" s="3"/>
      <c r="C23" s="3"/>
      <c r="D23" s="3"/>
      <c r="E23" s="3"/>
      <c r="F23" s="3"/>
    </row>
    <row r="24" spans="1:8" ht="15" customHeight="1" x14ac:dyDescent="0.25">
      <c r="B24" s="3"/>
      <c r="C24" s="3"/>
      <c r="D24" s="3"/>
      <c r="E24" s="3"/>
      <c r="F24" s="3"/>
    </row>
    <row r="25" spans="1:8" ht="15" customHeight="1" x14ac:dyDescent="0.25">
      <c r="B25" s="3"/>
      <c r="C25" s="3"/>
      <c r="D25" s="3"/>
      <c r="E25" s="3"/>
      <c r="F25" s="3"/>
    </row>
    <row r="26" spans="1:8" ht="15" customHeight="1" x14ac:dyDescent="0.25">
      <c r="B26" s="3"/>
      <c r="C26" s="3"/>
      <c r="D26" s="3"/>
      <c r="E26" s="3"/>
      <c r="F26" s="3"/>
    </row>
    <row r="27" spans="1:8" ht="15" customHeight="1" x14ac:dyDescent="0.25">
      <c r="B27" s="11"/>
      <c r="C27" s="11"/>
      <c r="D27" s="11"/>
      <c r="E27" s="11"/>
      <c r="F27" s="11"/>
    </row>
    <row r="29" spans="1:8" ht="15" customHeight="1" x14ac:dyDescent="0.25">
      <c r="A29" s="1"/>
      <c r="B29" s="1"/>
      <c r="C29" s="11"/>
      <c r="D29" s="1"/>
      <c r="E29" s="11"/>
      <c r="F29" s="1"/>
      <c r="G29" s="11"/>
    </row>
  </sheetData>
  <mergeCells count="1">
    <mergeCell ref="A1:H1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9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18" customWidth="1"/>
    <col min="3" max="3" width="16" customWidth="1"/>
    <col min="4" max="4" width="20" customWidth="1"/>
    <col min="5" max="5" width="60" customWidth="1"/>
    <col min="6" max="6" width="22" customWidth="1"/>
  </cols>
  <sheetData>
    <row r="1" spans="1:6" ht="41.25" customHeight="1" x14ac:dyDescent="0.25">
      <c r="A1" s="9" t="s">
        <v>77</v>
      </c>
      <c r="B1" s="9" t="s">
        <v>78</v>
      </c>
      <c r="C1" s="9" t="s">
        <v>57</v>
      </c>
      <c r="D1" s="9" t="s">
        <v>79</v>
      </c>
      <c r="E1" s="9" t="s">
        <v>80</v>
      </c>
      <c r="F1" s="9" t="s">
        <v>81</v>
      </c>
    </row>
    <row r="2" spans="1:6" ht="15" customHeight="1" x14ac:dyDescent="0.25">
      <c r="A2">
        <v>1</v>
      </c>
      <c r="B2" t="s">
        <v>82</v>
      </c>
      <c r="C2" s="2">
        <v>570</v>
      </c>
      <c r="D2" s="2">
        <v>171</v>
      </c>
      <c r="E2" t="s">
        <v>83</v>
      </c>
      <c r="F2" s="3">
        <v>13258273.479044501</v>
      </c>
    </row>
    <row r="3" spans="1:6" ht="15" customHeight="1" x14ac:dyDescent="0.25">
      <c r="A3">
        <v>2</v>
      </c>
      <c r="B3" t="s">
        <v>84</v>
      </c>
      <c r="C3" s="2">
        <v>677</v>
      </c>
      <c r="D3" s="2">
        <v>203.1</v>
      </c>
      <c r="E3" t="s">
        <v>85</v>
      </c>
      <c r="F3" s="3">
        <v>19021312.865799502</v>
      </c>
    </row>
    <row r="4" spans="1:6" ht="15" customHeight="1" x14ac:dyDescent="0.25">
      <c r="A4">
        <v>3</v>
      </c>
      <c r="B4" t="s">
        <v>86</v>
      </c>
      <c r="C4" s="2">
        <v>374</v>
      </c>
      <c r="D4" s="2">
        <v>112.2</v>
      </c>
      <c r="E4" t="s">
        <v>87</v>
      </c>
      <c r="F4" s="3">
        <v>8773869.7930373996</v>
      </c>
    </row>
    <row r="5" spans="1:6" ht="15" customHeight="1" x14ac:dyDescent="0.25">
      <c r="A5">
        <v>4</v>
      </c>
      <c r="B5" t="s">
        <v>88</v>
      </c>
      <c r="C5" s="2">
        <v>550</v>
      </c>
      <c r="D5" s="2">
        <v>165</v>
      </c>
      <c r="E5" t="s">
        <v>89</v>
      </c>
      <c r="F5" s="3">
        <v>13100086.467472199</v>
      </c>
    </row>
    <row r="6" spans="1:6" ht="15" customHeight="1" x14ac:dyDescent="0.25">
      <c r="A6">
        <v>5</v>
      </c>
      <c r="B6" t="s">
        <v>90</v>
      </c>
      <c r="C6" s="2">
        <v>250</v>
      </c>
      <c r="D6" s="2">
        <v>75</v>
      </c>
      <c r="E6" t="s">
        <v>91</v>
      </c>
      <c r="F6" s="3">
        <v>5853059.5774475997</v>
      </c>
    </row>
    <row r="7" spans="1:6" ht="15" customHeight="1" x14ac:dyDescent="0.25">
      <c r="A7">
        <v>6</v>
      </c>
      <c r="B7" t="s">
        <v>92</v>
      </c>
      <c r="C7" s="2">
        <v>140</v>
      </c>
      <c r="D7" s="2">
        <v>42</v>
      </c>
      <c r="E7" t="s">
        <v>93</v>
      </c>
      <c r="F7" s="3">
        <v>3454542.7711391998</v>
      </c>
    </row>
    <row r="8" spans="1:6" ht="15" customHeight="1" x14ac:dyDescent="0.25">
      <c r="A8">
        <v>7</v>
      </c>
      <c r="B8" t="s">
        <v>94</v>
      </c>
      <c r="C8" s="2">
        <v>933</v>
      </c>
      <c r="D8" s="2">
        <v>279.89999999999998</v>
      </c>
      <c r="E8" t="s">
        <v>95</v>
      </c>
      <c r="F8" s="3">
        <v>22009857.550643802</v>
      </c>
    </row>
    <row r="9" spans="1:6" ht="15" customHeight="1" x14ac:dyDescent="0.25">
      <c r="A9" s="13" t="s">
        <v>54</v>
      </c>
      <c r="B9" s="13"/>
      <c r="C9" s="14">
        <f>SUM(C2:C8)</f>
        <v>3494</v>
      </c>
      <c r="D9" s="14">
        <f>SUM(D2:D8)</f>
        <v>1048.1999999999998</v>
      </c>
      <c r="E9" s="13"/>
      <c r="F9" s="10">
        <f>SUM(F2:F8)</f>
        <v>85471002.504584193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G15"/>
  <sheetViews>
    <sheetView showGridLines="0" zoomScaleNormal="100" workbookViewId="0">
      <selection sqref="A1:G1"/>
    </sheetView>
  </sheetViews>
  <sheetFormatPr defaultColWidth="8.7109375" defaultRowHeight="15" x14ac:dyDescent="0.25"/>
  <cols>
    <col min="1" max="1" width="8" customWidth="1"/>
    <col min="2" max="2" width="48" customWidth="1"/>
    <col min="3" max="3" width="14" customWidth="1"/>
    <col min="4" max="5" width="20" customWidth="1"/>
    <col min="6" max="6" width="18" customWidth="1"/>
    <col min="7" max="7" width="36" customWidth="1"/>
  </cols>
  <sheetData>
    <row r="1" spans="1:7" ht="17.25" customHeight="1" x14ac:dyDescent="0.25">
      <c r="A1" s="31" t="s">
        <v>565</v>
      </c>
      <c r="B1" s="31"/>
      <c r="C1" s="31"/>
      <c r="D1" s="31"/>
      <c r="E1" s="31"/>
      <c r="F1" s="31"/>
      <c r="G1" s="31"/>
    </row>
    <row r="3" spans="1:7" ht="27.75" customHeight="1" x14ac:dyDescent="0.25">
      <c r="A3" s="12" t="s">
        <v>507</v>
      </c>
      <c r="B3" s="12" t="s">
        <v>551</v>
      </c>
      <c r="C3" s="12" t="s">
        <v>566</v>
      </c>
      <c r="D3" s="12" t="s">
        <v>567</v>
      </c>
      <c r="E3" s="12" t="s">
        <v>568</v>
      </c>
      <c r="F3" s="12" t="s">
        <v>569</v>
      </c>
      <c r="G3" s="12" t="s">
        <v>80</v>
      </c>
    </row>
    <row r="4" spans="1:7" ht="15" customHeight="1" x14ac:dyDescent="0.25">
      <c r="A4" s="20">
        <v>1</v>
      </c>
      <c r="B4" s="20" t="s">
        <v>570</v>
      </c>
      <c r="C4" s="21">
        <v>3</v>
      </c>
      <c r="D4" s="22">
        <v>150000</v>
      </c>
      <c r="E4" s="22">
        <f>C4*D4</f>
        <v>450000</v>
      </c>
      <c r="F4" s="20" t="s">
        <v>49</v>
      </c>
      <c r="G4" s="20" t="s">
        <v>571</v>
      </c>
    </row>
    <row r="5" spans="1:7" ht="15" customHeight="1" x14ac:dyDescent="0.25">
      <c r="A5" s="20">
        <v>2</v>
      </c>
      <c r="B5" s="20" t="s">
        <v>572</v>
      </c>
      <c r="C5" s="21">
        <v>1</v>
      </c>
      <c r="D5" s="22">
        <v>4600000</v>
      </c>
      <c r="E5" s="22">
        <f>C5*D5</f>
        <v>4600000</v>
      </c>
      <c r="F5" s="20" t="s">
        <v>49</v>
      </c>
      <c r="G5" s="20" t="s">
        <v>571</v>
      </c>
    </row>
    <row r="6" spans="1:7" ht="15" customHeight="1" x14ac:dyDescent="0.25">
      <c r="A6" s="20">
        <v>3</v>
      </c>
      <c r="B6" s="20" t="s">
        <v>573</v>
      </c>
      <c r="C6" s="21">
        <v>30</v>
      </c>
      <c r="D6" s="22">
        <v>27000</v>
      </c>
      <c r="E6" s="22">
        <f>C6*D6</f>
        <v>810000</v>
      </c>
      <c r="F6" s="20" t="s">
        <v>49</v>
      </c>
      <c r="G6" s="20" t="s">
        <v>571</v>
      </c>
    </row>
    <row r="7" spans="1:7" ht="15" customHeight="1" x14ac:dyDescent="0.25">
      <c r="A7" s="20">
        <v>4</v>
      </c>
      <c r="B7" s="20" t="s">
        <v>574</v>
      </c>
      <c r="C7" s="21">
        <v>1</v>
      </c>
      <c r="D7" s="22">
        <v>460000</v>
      </c>
      <c r="E7" s="22">
        <f>C7*D7</f>
        <v>460000</v>
      </c>
      <c r="F7" s="20" t="s">
        <v>49</v>
      </c>
      <c r="G7" s="20" t="s">
        <v>571</v>
      </c>
    </row>
    <row r="8" spans="1:7" ht="15" customHeight="1" x14ac:dyDescent="0.25">
      <c r="A8" s="20">
        <v>5</v>
      </c>
      <c r="B8" s="20" t="s">
        <v>575</v>
      </c>
      <c r="C8" s="20"/>
      <c r="D8" s="20"/>
      <c r="E8" s="20"/>
      <c r="F8" s="20" t="s">
        <v>49</v>
      </c>
      <c r="G8" s="20" t="s">
        <v>576</v>
      </c>
    </row>
    <row r="9" spans="1:7" ht="15" customHeight="1" x14ac:dyDescent="0.25">
      <c r="A9" s="20">
        <v>6</v>
      </c>
      <c r="B9" s="20" t="s">
        <v>577</v>
      </c>
      <c r="C9" s="21">
        <v>1</v>
      </c>
      <c r="D9" s="22">
        <v>40000</v>
      </c>
      <c r="E9" s="22">
        <f t="shared" ref="E9:E14" si="0">C9*D9</f>
        <v>40000</v>
      </c>
      <c r="F9" s="20" t="s">
        <v>49</v>
      </c>
      <c r="G9" s="20" t="s">
        <v>571</v>
      </c>
    </row>
    <row r="10" spans="1:7" ht="15" customHeight="1" x14ac:dyDescent="0.25">
      <c r="A10" s="20">
        <v>7</v>
      </c>
      <c r="B10" s="20" t="s">
        <v>578</v>
      </c>
      <c r="C10" s="21">
        <v>1</v>
      </c>
      <c r="D10" s="22">
        <v>130000</v>
      </c>
      <c r="E10" s="22">
        <f t="shared" si="0"/>
        <v>130000</v>
      </c>
      <c r="F10" s="20" t="s">
        <v>49</v>
      </c>
      <c r="G10" s="20" t="s">
        <v>571</v>
      </c>
    </row>
    <row r="11" spans="1:7" ht="15" customHeight="1" x14ac:dyDescent="0.25">
      <c r="A11" s="20">
        <v>8</v>
      </c>
      <c r="B11" s="20" t="s">
        <v>579</v>
      </c>
      <c r="C11" s="21">
        <v>2</v>
      </c>
      <c r="D11" s="22">
        <v>45000</v>
      </c>
      <c r="E11" s="22">
        <f t="shared" si="0"/>
        <v>90000</v>
      </c>
      <c r="F11" s="20" t="s">
        <v>49</v>
      </c>
      <c r="G11" s="20" t="s">
        <v>571</v>
      </c>
    </row>
    <row r="12" spans="1:7" ht="15" customHeight="1" x14ac:dyDescent="0.25">
      <c r="A12" s="20">
        <v>9</v>
      </c>
      <c r="B12" s="20" t="s">
        <v>580</v>
      </c>
      <c r="C12" s="21">
        <v>1</v>
      </c>
      <c r="D12" s="22">
        <v>100000</v>
      </c>
      <c r="E12" s="22">
        <f t="shared" si="0"/>
        <v>100000</v>
      </c>
      <c r="F12" s="20" t="s">
        <v>49</v>
      </c>
      <c r="G12" s="20" t="s">
        <v>571</v>
      </c>
    </row>
    <row r="13" spans="1:7" ht="15" customHeight="1" x14ac:dyDescent="0.25">
      <c r="A13" s="20">
        <v>10</v>
      </c>
      <c r="B13" s="20" t="s">
        <v>581</v>
      </c>
      <c r="C13" s="21">
        <v>6</v>
      </c>
      <c r="D13" s="22">
        <v>25000</v>
      </c>
      <c r="E13" s="22">
        <f t="shared" si="0"/>
        <v>150000</v>
      </c>
      <c r="F13" s="20" t="s">
        <v>49</v>
      </c>
      <c r="G13" s="20" t="s">
        <v>571</v>
      </c>
    </row>
    <row r="14" spans="1:7" ht="15" customHeight="1" x14ac:dyDescent="0.25">
      <c r="A14" s="20">
        <v>11</v>
      </c>
      <c r="B14" s="20" t="s">
        <v>582</v>
      </c>
      <c r="C14" s="21">
        <v>18</v>
      </c>
      <c r="D14" s="22">
        <v>20000</v>
      </c>
      <c r="E14" s="22">
        <f t="shared" si="0"/>
        <v>360000</v>
      </c>
      <c r="F14" s="20" t="s">
        <v>49</v>
      </c>
      <c r="G14" s="20" t="s">
        <v>571</v>
      </c>
    </row>
    <row r="15" spans="1:7" ht="15" customHeight="1" x14ac:dyDescent="0.25">
      <c r="A15" s="13"/>
      <c r="B15" s="13" t="s">
        <v>583</v>
      </c>
      <c r="C15" s="13"/>
      <c r="D15" s="13"/>
      <c r="E15" s="10">
        <f>SUM(E4:E14)</f>
        <v>7190000</v>
      </c>
      <c r="F15" s="13"/>
      <c r="G15" s="13"/>
    </row>
  </sheetData>
  <mergeCells count="1">
    <mergeCell ref="A1:G1"/>
  </mergeCells>
  <pageMargins left="0.75" right="0.75" top="1" bottom="1" header="0.511811023622047" footer="0.511811023622047"/>
  <pageSetup paperSize="9" orientation="portrait" horizontalDpi="300" verticalDpi="30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B12"/>
  <sheetViews>
    <sheetView showGridLines="0" zoomScaleNormal="100" workbookViewId="0"/>
  </sheetViews>
  <sheetFormatPr defaultColWidth="8.7109375" defaultRowHeight="15" x14ac:dyDescent="0.25"/>
  <cols>
    <col min="1" max="1" width="87" bestFit="1" customWidth="1"/>
    <col min="2" max="2" width="24" customWidth="1"/>
  </cols>
  <sheetData>
    <row r="1" spans="1:2" ht="18" customHeight="1" x14ac:dyDescent="0.25">
      <c r="A1" s="26" t="s">
        <v>584</v>
      </c>
    </row>
    <row r="3" spans="1:2" ht="15" customHeight="1" x14ac:dyDescent="0.25">
      <c r="A3" t="s">
        <v>585</v>
      </c>
      <c r="B3" s="3">
        <f>'Сводный CashFlow'!B8</f>
        <v>405812085.33638197</v>
      </c>
    </row>
    <row r="4" spans="1:2" ht="15" customHeight="1" x14ac:dyDescent="0.25">
      <c r="A4" t="s">
        <v>22</v>
      </c>
      <c r="B4" s="3">
        <f>'Сводный CashFlow'!B11</f>
        <v>121743625.60091458</v>
      </c>
    </row>
    <row r="5" spans="1:2" ht="15" customHeight="1" x14ac:dyDescent="0.25">
      <c r="A5" t="s">
        <v>337</v>
      </c>
      <c r="B5" s="3">
        <f>'Сводный CashFlow'!B13</f>
        <v>60871812.800457291</v>
      </c>
    </row>
    <row r="6" spans="1:2" ht="15" customHeight="1" x14ac:dyDescent="0.25">
      <c r="A6" t="s">
        <v>339</v>
      </c>
      <c r="B6" s="3">
        <f>'Сводный CashFlow'!B14</f>
        <v>60871812.800457291</v>
      </c>
    </row>
    <row r="7" spans="1:2" ht="15" customHeight="1" x14ac:dyDescent="0.25">
      <c r="A7" t="s">
        <v>351</v>
      </c>
      <c r="B7" s="3">
        <f>'Ежемесячные расходы'!E10</f>
        <v>6759500</v>
      </c>
    </row>
    <row r="8" spans="1:2" ht="15" customHeight="1" x14ac:dyDescent="0.25">
      <c r="A8" t="s">
        <v>44</v>
      </c>
      <c r="B8" s="3">
        <f>'Разовые затраты'!E15</f>
        <v>7190000</v>
      </c>
    </row>
    <row r="9" spans="1:2" ht="15" customHeight="1" x14ac:dyDescent="0.25">
      <c r="A9" t="s">
        <v>586</v>
      </c>
      <c r="B9" s="3">
        <f>'Сводный CashFlow'!AA27</f>
        <v>97650828.636333644</v>
      </c>
    </row>
    <row r="10" spans="1:2" ht="15" customHeight="1" x14ac:dyDescent="0.25">
      <c r="A10" t="s">
        <v>363</v>
      </c>
      <c r="B10" t="s">
        <v>365</v>
      </c>
    </row>
    <row r="11" spans="1:2" ht="15" customHeight="1" x14ac:dyDescent="0.25">
      <c r="A11" t="s">
        <v>20</v>
      </c>
      <c r="B11" t="s">
        <v>21</v>
      </c>
    </row>
    <row r="12" spans="1:2" ht="15" customHeight="1" x14ac:dyDescent="0.25">
      <c r="A12" t="s">
        <v>587</v>
      </c>
      <c r="B12" s="3">
        <f>ДДС!H20</f>
        <v>97650828.636333644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H9"/>
  <sheetViews>
    <sheetView showGridLines="0" zoomScaleNormal="100" workbookViewId="0">
      <selection sqref="A1:H1"/>
    </sheetView>
  </sheetViews>
  <sheetFormatPr defaultColWidth="8.7109375" defaultRowHeight="15" x14ac:dyDescent="0.25"/>
  <cols>
    <col min="1" max="1" width="18" customWidth="1"/>
    <col min="2" max="2" width="20" customWidth="1"/>
    <col min="3" max="3" width="24" customWidth="1"/>
    <col min="4" max="4" width="16" customWidth="1"/>
    <col min="5" max="6" width="22" customWidth="1"/>
    <col min="7" max="7" width="48" customWidth="1"/>
    <col min="8" max="8" width="16" customWidth="1"/>
  </cols>
  <sheetData>
    <row r="1" spans="1:8" ht="17.25" customHeight="1" x14ac:dyDescent="0.25">
      <c r="A1" s="31" t="s">
        <v>588</v>
      </c>
      <c r="B1" s="31"/>
      <c r="C1" s="31"/>
      <c r="D1" s="31"/>
      <c r="E1" s="31"/>
      <c r="F1" s="31"/>
      <c r="G1" s="31"/>
      <c r="H1" s="31"/>
    </row>
    <row r="3" spans="1:8" ht="27.75" customHeight="1" x14ac:dyDescent="0.25">
      <c r="A3" s="9" t="s">
        <v>47</v>
      </c>
      <c r="B3" s="9" t="s">
        <v>589</v>
      </c>
      <c r="C3" s="9" t="s">
        <v>590</v>
      </c>
      <c r="D3" s="9" t="s">
        <v>591</v>
      </c>
      <c r="E3" s="9" t="s">
        <v>48</v>
      </c>
      <c r="F3" s="9" t="s">
        <v>454</v>
      </c>
      <c r="G3" s="9" t="s">
        <v>80</v>
      </c>
      <c r="H3" s="9" t="s">
        <v>592</v>
      </c>
    </row>
    <row r="4" spans="1:8" ht="15" customHeight="1" x14ac:dyDescent="0.25">
      <c r="A4" t="s">
        <v>49</v>
      </c>
      <c r="B4" s="2">
        <v>1500</v>
      </c>
      <c r="C4" s="2">
        <v>3500</v>
      </c>
      <c r="D4" s="18">
        <f>B4/'Сводный CashFlow'!$B$3</f>
        <v>9.8677718571146641E-2</v>
      </c>
      <c r="E4" s="3">
        <f>'Этапы и участки'!$E$13*D4</f>
        <v>40044610.749593653</v>
      </c>
      <c r="F4" s="3">
        <f>'Материалы по месяцам'!C35</f>
        <v>18348275.562237624</v>
      </c>
      <c r="G4" t="s">
        <v>593</v>
      </c>
      <c r="H4" t="str">
        <f>IF(B4&lt;=1500,"OK","Проверить")</f>
        <v>OK</v>
      </c>
    </row>
    <row r="5" spans="1:8" ht="15" customHeight="1" x14ac:dyDescent="0.25">
      <c r="A5" t="s">
        <v>50</v>
      </c>
      <c r="B5" s="2">
        <v>2800</v>
      </c>
      <c r="C5" s="2">
        <v>3500</v>
      </c>
      <c r="D5" s="18">
        <f>B5/'Сводный CashFlow'!$B$3</f>
        <v>0.18419840799947371</v>
      </c>
      <c r="E5" s="3">
        <f>'Этапы и участки'!$E$13*D5</f>
        <v>74749940.065908134</v>
      </c>
      <c r="F5" s="3">
        <f>'Материалы по месяцам'!C36</f>
        <v>34250114.382843569</v>
      </c>
      <c r="G5" t="s">
        <v>594</v>
      </c>
      <c r="H5" t="str">
        <f>IF(B5&lt;=2800,"OK","Проверить")</f>
        <v>OK</v>
      </c>
    </row>
    <row r="6" spans="1:8" ht="15" customHeight="1" x14ac:dyDescent="0.25">
      <c r="A6" t="s">
        <v>51</v>
      </c>
      <c r="B6" s="2">
        <v>3600</v>
      </c>
      <c r="C6" s="2">
        <v>3500</v>
      </c>
      <c r="D6" s="18">
        <f>B6/'Сводный CashFlow'!$B$3</f>
        <v>0.23682652457075193</v>
      </c>
      <c r="E6" s="3">
        <f>'Этапы и участки'!$E$13*D6</f>
        <v>96107065.799024761</v>
      </c>
      <c r="F6" s="3">
        <f>'Материалы по месяцам'!C37</f>
        <v>44035861.349370293</v>
      </c>
      <c r="G6" t="s">
        <v>594</v>
      </c>
      <c r="H6" t="str">
        <f>IF(B6&lt;=3600,"OK","Проверить")</f>
        <v>OK</v>
      </c>
    </row>
    <row r="7" spans="1:8" ht="15" customHeight="1" x14ac:dyDescent="0.25">
      <c r="A7" t="s">
        <v>52</v>
      </c>
      <c r="B7" s="2">
        <v>3500</v>
      </c>
      <c r="C7" s="2">
        <v>3500</v>
      </c>
      <c r="D7" s="18">
        <f>B7/'Сводный CashFlow'!$B$3</f>
        <v>0.23024800999934214</v>
      </c>
      <c r="E7" s="3">
        <f>'Этапы и участки'!$E$13*D7</f>
        <v>93437425.082385182</v>
      </c>
      <c r="F7" s="3">
        <f>'Материалы по месяцам'!C38</f>
        <v>42812642.97855445</v>
      </c>
      <c r="G7" t="s">
        <v>594</v>
      </c>
      <c r="H7" t="str">
        <f>IF(B7&lt;=3500,"OK","Проверить")</f>
        <v>OK</v>
      </c>
    </row>
    <row r="8" spans="1:8" ht="15" customHeight="1" x14ac:dyDescent="0.25">
      <c r="A8" t="s">
        <v>53</v>
      </c>
      <c r="B8" s="2">
        <v>3801</v>
      </c>
      <c r="C8" s="2">
        <v>3500</v>
      </c>
      <c r="D8" s="18">
        <f>B8/'Сводный CashFlow'!$B$3</f>
        <v>0.2500493388592856</v>
      </c>
      <c r="E8" s="3">
        <f>'Этапы и участки'!$E$13*D8</f>
        <v>101473043.63947031</v>
      </c>
      <c r="F8" s="3">
        <f>'Материалы по месяцам'!C39</f>
        <v>46494530.274710134</v>
      </c>
      <c r="G8" t="s">
        <v>595</v>
      </c>
      <c r="H8" t="str">
        <f>IF(B8&lt;=3801,"OK","Проверить")</f>
        <v>OK</v>
      </c>
    </row>
    <row r="9" spans="1:8" ht="15" customHeight="1" x14ac:dyDescent="0.25">
      <c r="A9" s="13" t="s">
        <v>54</v>
      </c>
      <c r="B9" s="14">
        <f>SUM(B4:B8)</f>
        <v>15201</v>
      </c>
      <c r="C9" s="14"/>
      <c r="D9" s="19">
        <f>SUM(D4:D8)</f>
        <v>1</v>
      </c>
      <c r="E9" s="10">
        <f>SUM(E4:E8)</f>
        <v>405812085.33638203</v>
      </c>
      <c r="F9" s="10">
        <f>SUM(F4:F8)</f>
        <v>185941424.54771608</v>
      </c>
      <c r="G9" s="13"/>
      <c r="H9" s="13" t="str">
        <f>IF(ABS(B9-'Сводный CashFlow'!$B$3)&lt;1,"OK","Проверить")</f>
        <v>OK</v>
      </c>
    </row>
  </sheetData>
  <mergeCells count="1">
    <mergeCell ref="A1:H1"/>
  </mergeCells>
  <pageMargins left="0.75" right="0.75" top="1" bottom="1" header="0.511811023622047" footer="0.511811023622047"/>
  <pageSetup paperSize="9" orientation="portrait" horizontalDpi="300" verticalDpi="30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23"/>
  <sheetViews>
    <sheetView showGridLines="0" zoomScaleNormal="100" workbookViewId="0">
      <selection sqref="A1:D1"/>
    </sheetView>
  </sheetViews>
  <sheetFormatPr defaultColWidth="8.7109375" defaultRowHeight="15" x14ac:dyDescent="0.25"/>
  <cols>
    <col min="1" max="1" width="28" customWidth="1"/>
    <col min="2" max="2" width="18" customWidth="1"/>
    <col min="3" max="3" width="80" customWidth="1"/>
    <col min="4" max="4" width="24" customWidth="1"/>
  </cols>
  <sheetData>
    <row r="1" spans="1:4" ht="17.25" customHeight="1" x14ac:dyDescent="0.25">
      <c r="A1" s="31" t="s">
        <v>596</v>
      </c>
      <c r="B1" s="31"/>
      <c r="C1" s="31"/>
      <c r="D1" s="31"/>
    </row>
    <row r="3" spans="1:4" ht="15" customHeight="1" x14ac:dyDescent="0.25">
      <c r="A3" s="12" t="s">
        <v>178</v>
      </c>
      <c r="B3" s="12" t="s">
        <v>597</v>
      </c>
      <c r="C3" s="12" t="s">
        <v>598</v>
      </c>
      <c r="D3" s="12" t="s">
        <v>478</v>
      </c>
    </row>
    <row r="4" spans="1:4" ht="15" customHeight="1" x14ac:dyDescent="0.25">
      <c r="A4" t="s">
        <v>599</v>
      </c>
      <c r="B4" t="s">
        <v>600</v>
      </c>
      <c r="C4" t="s">
        <v>601</v>
      </c>
      <c r="D4" t="s">
        <v>602</v>
      </c>
    </row>
    <row r="5" spans="1:4" ht="15" customHeight="1" x14ac:dyDescent="0.25">
      <c r="A5" t="s">
        <v>603</v>
      </c>
      <c r="B5" t="s">
        <v>604</v>
      </c>
      <c r="C5" t="s">
        <v>605</v>
      </c>
      <c r="D5" t="s">
        <v>602</v>
      </c>
    </row>
    <row r="6" spans="1:4" ht="15" customHeight="1" x14ac:dyDescent="0.25">
      <c r="A6" t="s">
        <v>606</v>
      </c>
      <c r="B6" t="s">
        <v>607</v>
      </c>
      <c r="C6" t="s">
        <v>608</v>
      </c>
      <c r="D6" t="s">
        <v>602</v>
      </c>
    </row>
    <row r="7" spans="1:4" ht="15" customHeight="1" x14ac:dyDescent="0.25">
      <c r="A7" t="s">
        <v>609</v>
      </c>
      <c r="B7" t="s">
        <v>610</v>
      </c>
      <c r="C7" t="s">
        <v>611</v>
      </c>
      <c r="D7" t="s">
        <v>602</v>
      </c>
    </row>
    <row r="8" spans="1:4" ht="15" customHeight="1" x14ac:dyDescent="0.25">
      <c r="A8" s="13" t="s">
        <v>612</v>
      </c>
      <c r="B8" s="13"/>
      <c r="C8" s="13" t="s">
        <v>613</v>
      </c>
      <c r="D8" s="13" t="s">
        <v>614</v>
      </c>
    </row>
    <row r="10" spans="1:4" ht="15" customHeight="1" x14ac:dyDescent="0.25">
      <c r="A10" t="s">
        <v>454</v>
      </c>
      <c r="B10" t="s">
        <v>615</v>
      </c>
      <c r="C10" t="s">
        <v>616</v>
      </c>
      <c r="D10" t="s">
        <v>614</v>
      </c>
    </row>
    <row r="11" spans="1:4" ht="15" customHeight="1" x14ac:dyDescent="0.25">
      <c r="A11" s="27" t="s">
        <v>609</v>
      </c>
      <c r="B11" s="27" t="s">
        <v>617</v>
      </c>
      <c r="C11" s="27" t="s">
        <v>318</v>
      </c>
      <c r="D11" s="27" t="s">
        <v>614</v>
      </c>
    </row>
    <row r="13" spans="1:4" ht="15" customHeight="1" x14ac:dyDescent="0.25">
      <c r="A13" t="s">
        <v>618</v>
      </c>
      <c r="B13" t="s">
        <v>619</v>
      </c>
      <c r="C13" t="s">
        <v>620</v>
      </c>
      <c r="D13" t="s">
        <v>614</v>
      </c>
    </row>
    <row r="14" spans="1:4" ht="15" customHeight="1" x14ac:dyDescent="0.25">
      <c r="A14" s="27" t="s">
        <v>609</v>
      </c>
      <c r="B14" s="27" t="s">
        <v>617</v>
      </c>
      <c r="C14" s="27" t="s">
        <v>318</v>
      </c>
      <c r="D14" s="27" t="s">
        <v>614</v>
      </c>
    </row>
    <row r="16" spans="1:4" ht="15" customHeight="1" x14ac:dyDescent="0.25">
      <c r="A16" t="s">
        <v>621</v>
      </c>
      <c r="B16" t="s">
        <v>622</v>
      </c>
      <c r="C16" t="s">
        <v>623</v>
      </c>
      <c r="D16" t="s">
        <v>614</v>
      </c>
    </row>
    <row r="18" spans="1:4" x14ac:dyDescent="0.25">
      <c r="A18" t="s">
        <v>599</v>
      </c>
      <c r="B18" t="s">
        <v>624</v>
      </c>
      <c r="C18" t="s">
        <v>625</v>
      </c>
      <c r="D18" t="s">
        <v>626</v>
      </c>
    </row>
    <row r="19" spans="1:4" x14ac:dyDescent="0.25">
      <c r="A19" t="s">
        <v>599</v>
      </c>
      <c r="B19" t="s">
        <v>627</v>
      </c>
      <c r="C19" t="s">
        <v>628</v>
      </c>
      <c r="D19" t="s">
        <v>626</v>
      </c>
    </row>
    <row r="20" spans="1:4" x14ac:dyDescent="0.25">
      <c r="A20" t="s">
        <v>629</v>
      </c>
      <c r="B20" t="s">
        <v>630</v>
      </c>
      <c r="C20" t="s">
        <v>631</v>
      </c>
      <c r="D20" t="s">
        <v>626</v>
      </c>
    </row>
    <row r="21" spans="1:4" x14ac:dyDescent="0.25">
      <c r="A21" t="s">
        <v>632</v>
      </c>
      <c r="B21" t="s">
        <v>633</v>
      </c>
      <c r="C21" t="s">
        <v>634</v>
      </c>
      <c r="D21" t="s">
        <v>626</v>
      </c>
    </row>
    <row r="22" spans="1:4" x14ac:dyDescent="0.25">
      <c r="A22" t="s">
        <v>635</v>
      </c>
      <c r="B22" t="s">
        <v>636</v>
      </c>
      <c r="C22" t="s">
        <v>637</v>
      </c>
      <c r="D22" t="s">
        <v>626</v>
      </c>
    </row>
    <row r="23" spans="1:4" x14ac:dyDescent="0.25">
      <c r="A23" t="s">
        <v>635</v>
      </c>
      <c r="B23" t="s">
        <v>638</v>
      </c>
      <c r="C23" t="s">
        <v>639</v>
      </c>
      <c r="D23" t="s">
        <v>626</v>
      </c>
    </row>
  </sheetData>
  <mergeCells count="1">
    <mergeCell ref="A1:D1"/>
  </mergeCells>
  <pageMargins left="0.75" right="0.75" top="1" bottom="1" header="0.511811023622047" footer="0.511811023622047"/>
  <pageSetup paperSize="9" orientation="portrait" horizontalDpi="300" verticalDpi="30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J31"/>
  <sheetViews>
    <sheetView showGridLines="0" topLeftCell="A8" zoomScaleNormal="100" workbookViewId="0">
      <selection activeCell="F4" sqref="F4"/>
    </sheetView>
  </sheetViews>
  <sheetFormatPr defaultColWidth="8.7109375" defaultRowHeight="15" x14ac:dyDescent="0.25"/>
  <cols>
    <col min="1" max="1" width="10" customWidth="1"/>
    <col min="2" max="2" width="55" customWidth="1"/>
    <col min="3" max="3" width="12" customWidth="1"/>
    <col min="4" max="6" width="18" customWidth="1"/>
    <col min="7" max="7" width="22" customWidth="1"/>
    <col min="8" max="8" width="40" customWidth="1"/>
    <col min="9" max="9" width="22" customWidth="1"/>
  </cols>
  <sheetData>
    <row r="1" spans="1:10" ht="17.25" customHeight="1" x14ac:dyDescent="0.25">
      <c r="A1" s="31" t="s">
        <v>640</v>
      </c>
      <c r="B1" s="31"/>
      <c r="C1" s="31"/>
      <c r="D1" s="31"/>
      <c r="E1" s="31"/>
      <c r="F1" s="31"/>
      <c r="G1" s="31"/>
      <c r="H1" s="31"/>
      <c r="I1" s="31"/>
      <c r="J1" s="31"/>
    </row>
    <row r="3" spans="1:10" ht="15" customHeight="1" x14ac:dyDescent="0.25">
      <c r="A3" s="12" t="s">
        <v>507</v>
      </c>
      <c r="B3" s="12" t="s">
        <v>641</v>
      </c>
      <c r="C3" s="12" t="s">
        <v>642</v>
      </c>
      <c r="D3" s="12" t="s">
        <v>643</v>
      </c>
      <c r="E3" s="12" t="s">
        <v>644</v>
      </c>
      <c r="F3" s="12" t="s">
        <v>645</v>
      </c>
      <c r="G3" s="12" t="s">
        <v>646</v>
      </c>
      <c r="H3" s="12" t="s">
        <v>476</v>
      </c>
      <c r="I3" s="12" t="s">
        <v>647</v>
      </c>
    </row>
    <row r="4" spans="1:10" ht="15" customHeight="1" x14ac:dyDescent="0.25">
      <c r="A4">
        <v>1</v>
      </c>
      <c r="B4" t="s">
        <v>106</v>
      </c>
      <c r="C4" t="s">
        <v>107</v>
      </c>
      <c r="D4" s="3">
        <v>1604.0816326530601</v>
      </c>
      <c r="E4" s="3">
        <v>1100</v>
      </c>
      <c r="F4" s="3">
        <v>1400</v>
      </c>
      <c r="G4" s="3">
        <v>1764489.7959183699</v>
      </c>
      <c r="I4" s="3">
        <v>2245714.2857142901</v>
      </c>
    </row>
    <row r="5" spans="1:10" ht="15" customHeight="1" x14ac:dyDescent="0.25">
      <c r="A5">
        <v>2</v>
      </c>
      <c r="B5" t="s">
        <v>108</v>
      </c>
      <c r="C5" t="s">
        <v>107</v>
      </c>
      <c r="D5" s="3">
        <v>118.561224489796</v>
      </c>
      <c r="E5" s="3">
        <v>2000</v>
      </c>
      <c r="F5" s="3">
        <v>4600</v>
      </c>
      <c r="G5" s="3">
        <v>237122.44897959201</v>
      </c>
      <c r="I5" s="3">
        <v>545381.63265306095</v>
      </c>
    </row>
    <row r="6" spans="1:10" ht="15" customHeight="1" x14ac:dyDescent="0.25">
      <c r="A6">
        <v>3</v>
      </c>
      <c r="B6" t="s">
        <v>109</v>
      </c>
      <c r="C6" t="s">
        <v>107</v>
      </c>
      <c r="D6" s="3">
        <v>855.91578947368396</v>
      </c>
      <c r="E6" s="3">
        <v>6200</v>
      </c>
      <c r="F6" s="3">
        <v>5600</v>
      </c>
      <c r="G6" s="3">
        <v>5306677.8947368404</v>
      </c>
      <c r="I6" s="3">
        <v>4793128.4210526301</v>
      </c>
    </row>
    <row r="7" spans="1:10" ht="15" customHeight="1" x14ac:dyDescent="0.25">
      <c r="A7">
        <v>4</v>
      </c>
      <c r="B7" t="s">
        <v>110</v>
      </c>
      <c r="C7" t="s">
        <v>107</v>
      </c>
      <c r="D7" s="3">
        <v>5002.7631578947403</v>
      </c>
      <c r="E7" s="3">
        <v>7300</v>
      </c>
      <c r="F7" s="3">
        <v>6515.3</v>
      </c>
      <c r="G7" s="3">
        <v>36520171.052631602</v>
      </c>
      <c r="I7" s="3">
        <v>32594502.802631602</v>
      </c>
    </row>
    <row r="8" spans="1:10" ht="15" customHeight="1" x14ac:dyDescent="0.25">
      <c r="A8">
        <v>5</v>
      </c>
      <c r="B8" t="s">
        <v>111</v>
      </c>
      <c r="C8" t="s">
        <v>112</v>
      </c>
      <c r="D8" s="3">
        <v>15982</v>
      </c>
      <c r="E8" s="3">
        <v>181.79</v>
      </c>
      <c r="F8" s="3">
        <v>213.333333333333</v>
      </c>
      <c r="G8" s="3">
        <v>2905367.78</v>
      </c>
      <c r="H8" t="s">
        <v>648</v>
      </c>
      <c r="I8" s="3">
        <v>3409493.3333333302</v>
      </c>
    </row>
    <row r="9" spans="1:10" ht="15" customHeight="1" x14ac:dyDescent="0.25">
      <c r="A9">
        <v>6</v>
      </c>
      <c r="B9" t="s">
        <v>113</v>
      </c>
      <c r="C9" t="s">
        <v>112</v>
      </c>
      <c r="D9" s="3">
        <v>194509.183673469</v>
      </c>
      <c r="E9" s="3">
        <v>55.62</v>
      </c>
      <c r="F9" s="3">
        <v>40.200000000000003</v>
      </c>
      <c r="G9" s="3">
        <v>10818600.795918399</v>
      </c>
      <c r="H9">
        <v>45.590163934426201</v>
      </c>
      <c r="I9" s="3">
        <v>7819269.1836734703</v>
      </c>
    </row>
    <row r="10" spans="1:10" ht="15" customHeight="1" x14ac:dyDescent="0.25">
      <c r="A10">
        <v>7</v>
      </c>
      <c r="B10" t="s">
        <v>114</v>
      </c>
      <c r="C10" t="s">
        <v>112</v>
      </c>
      <c r="D10" s="3">
        <v>3366.7346938775499</v>
      </c>
      <c r="E10" s="3">
        <v>61.8</v>
      </c>
      <c r="F10" s="3">
        <v>40.200000000000003</v>
      </c>
      <c r="G10" s="3">
        <v>208064.20408163301</v>
      </c>
      <c r="H10">
        <v>50.655737704918003</v>
      </c>
      <c r="I10" s="3">
        <v>135342.73469387801</v>
      </c>
    </row>
    <row r="11" spans="1:10" ht="15" customHeight="1" x14ac:dyDescent="0.25">
      <c r="A11">
        <v>8</v>
      </c>
      <c r="B11" t="s">
        <v>115</v>
      </c>
      <c r="C11" t="s">
        <v>112</v>
      </c>
      <c r="D11" s="3">
        <v>1603.7689969604901</v>
      </c>
      <c r="E11" s="3">
        <v>53.55</v>
      </c>
      <c r="F11" s="3">
        <v>40.200000000000003</v>
      </c>
      <c r="G11" s="3">
        <v>85881.829787234106</v>
      </c>
      <c r="H11">
        <v>43.893442622950801</v>
      </c>
      <c r="I11" s="3">
        <v>64471.513677811599</v>
      </c>
    </row>
    <row r="12" spans="1:10" ht="15" customHeight="1" x14ac:dyDescent="0.25">
      <c r="A12">
        <v>9</v>
      </c>
      <c r="B12" t="s">
        <v>116</v>
      </c>
      <c r="C12" t="s">
        <v>112</v>
      </c>
      <c r="D12" s="3">
        <v>3463.9591836734699</v>
      </c>
      <c r="E12" s="3">
        <v>53.04</v>
      </c>
      <c r="F12" s="3">
        <v>40.200000000000003</v>
      </c>
      <c r="G12" s="3">
        <v>183728.39510204099</v>
      </c>
      <c r="H12">
        <v>43.475409836065602</v>
      </c>
      <c r="I12" s="3">
        <v>139251.159183674</v>
      </c>
    </row>
    <row r="13" spans="1:10" ht="15" customHeight="1" x14ac:dyDescent="0.25">
      <c r="A13">
        <v>10</v>
      </c>
      <c r="B13" t="s">
        <v>117</v>
      </c>
      <c r="C13" t="s">
        <v>112</v>
      </c>
      <c r="D13" s="3">
        <v>93.673469387755105</v>
      </c>
      <c r="E13" s="3">
        <v>58.9</v>
      </c>
      <c r="F13" s="3">
        <v>40.200000000000003</v>
      </c>
      <c r="G13" s="3">
        <v>5517.3673469387804</v>
      </c>
      <c r="H13">
        <v>48.278688524590201</v>
      </c>
      <c r="I13" s="3">
        <v>3765.6734693877602</v>
      </c>
    </row>
    <row r="14" spans="1:10" ht="15" customHeight="1" x14ac:dyDescent="0.25">
      <c r="A14">
        <v>11</v>
      </c>
      <c r="B14" t="s">
        <v>118</v>
      </c>
      <c r="C14" t="s">
        <v>112</v>
      </c>
      <c r="D14" s="3">
        <v>5.5102040816326499</v>
      </c>
      <c r="E14" s="3">
        <v>57.87</v>
      </c>
      <c r="F14" s="3">
        <v>40.200000000000003</v>
      </c>
      <c r="G14" s="3">
        <v>318.87551020408199</v>
      </c>
      <c r="H14">
        <v>47.434426229508198</v>
      </c>
      <c r="I14" s="3">
        <v>221.51020408163299</v>
      </c>
    </row>
    <row r="15" spans="1:10" ht="15" customHeight="1" x14ac:dyDescent="0.25">
      <c r="A15">
        <v>12</v>
      </c>
      <c r="B15" t="s">
        <v>119</v>
      </c>
      <c r="C15" t="s">
        <v>112</v>
      </c>
      <c r="D15" s="3">
        <v>97.255102040816297</v>
      </c>
      <c r="E15" s="3">
        <v>55.6</v>
      </c>
      <c r="F15" s="3">
        <v>40.200000000000003</v>
      </c>
      <c r="G15" s="3">
        <v>5407.3836734693896</v>
      </c>
      <c r="H15">
        <v>45.573770491803302</v>
      </c>
      <c r="I15" s="3">
        <v>3909.6551020408201</v>
      </c>
    </row>
    <row r="16" spans="1:10" ht="15" customHeight="1" x14ac:dyDescent="0.25">
      <c r="A16">
        <v>13</v>
      </c>
      <c r="B16" t="s">
        <v>120</v>
      </c>
      <c r="C16" t="s">
        <v>112</v>
      </c>
      <c r="D16" s="3">
        <v>17.149999999999999</v>
      </c>
      <c r="E16" s="3">
        <v>2950</v>
      </c>
      <c r="F16" s="3">
        <v>40.200000000000003</v>
      </c>
      <c r="G16" s="3">
        <v>50592.5</v>
      </c>
      <c r="I16" s="3">
        <v>689.43</v>
      </c>
    </row>
    <row r="17" spans="1:9" ht="15" customHeight="1" x14ac:dyDescent="0.25">
      <c r="A17">
        <v>14</v>
      </c>
      <c r="B17" t="s">
        <v>121</v>
      </c>
      <c r="C17" t="s">
        <v>112</v>
      </c>
      <c r="D17" s="3">
        <v>8.9285714285714306</v>
      </c>
      <c r="E17" s="3">
        <v>62.61</v>
      </c>
      <c r="F17" s="3">
        <v>55.02</v>
      </c>
      <c r="G17" s="3">
        <v>559.017857142857</v>
      </c>
      <c r="I17" s="3">
        <v>491.25</v>
      </c>
    </row>
    <row r="18" spans="1:9" ht="15" customHeight="1" x14ac:dyDescent="0.25">
      <c r="A18">
        <v>15</v>
      </c>
      <c r="B18" t="s">
        <v>122</v>
      </c>
      <c r="C18" t="s">
        <v>123</v>
      </c>
      <c r="D18" s="3">
        <v>1750.6</v>
      </c>
      <c r="E18" s="3">
        <v>5874.07</v>
      </c>
      <c r="F18" s="3">
        <v>4814.8114754098397</v>
      </c>
      <c r="G18" s="3">
        <v>10283146.942</v>
      </c>
      <c r="I18" s="3">
        <v>8428808.9688524604</v>
      </c>
    </row>
    <row r="19" spans="1:9" ht="15" customHeight="1" x14ac:dyDescent="0.25">
      <c r="A19">
        <v>16</v>
      </c>
      <c r="B19" t="s">
        <v>124</v>
      </c>
      <c r="C19" t="s">
        <v>112</v>
      </c>
      <c r="D19" s="3">
        <v>52518</v>
      </c>
      <c r="E19" s="3">
        <v>373.16</v>
      </c>
      <c r="F19" s="3">
        <v>305.87</v>
      </c>
      <c r="G19" s="3">
        <v>19597616.879999999</v>
      </c>
      <c r="H19" t="s">
        <v>649</v>
      </c>
      <c r="I19" s="3">
        <v>16063680.66</v>
      </c>
    </row>
    <row r="20" spans="1:9" ht="27.75" customHeight="1" x14ac:dyDescent="0.25">
      <c r="A20">
        <v>17</v>
      </c>
      <c r="B20" t="s">
        <v>125</v>
      </c>
      <c r="C20" t="s">
        <v>126</v>
      </c>
      <c r="D20" s="3">
        <v>15726</v>
      </c>
      <c r="E20" s="3">
        <v>240.5153</v>
      </c>
      <c r="F20" s="3">
        <v>302.93</v>
      </c>
      <c r="G20" s="3">
        <v>3782343.6077999999</v>
      </c>
      <c r="H20" s="28" t="s">
        <v>650</v>
      </c>
      <c r="I20" s="3">
        <v>4763877.18</v>
      </c>
    </row>
    <row r="21" spans="1:9" ht="15" customHeight="1" x14ac:dyDescent="0.25">
      <c r="A21">
        <v>18</v>
      </c>
      <c r="B21" t="s">
        <v>127</v>
      </c>
      <c r="C21" t="s">
        <v>126</v>
      </c>
      <c r="D21" s="3">
        <v>1350.5</v>
      </c>
      <c r="E21" s="3">
        <v>88</v>
      </c>
      <c r="F21" s="3">
        <v>0</v>
      </c>
      <c r="G21" s="3">
        <v>118844</v>
      </c>
      <c r="H21" t="s">
        <v>145</v>
      </c>
      <c r="I21" s="3">
        <v>0</v>
      </c>
    </row>
    <row r="22" spans="1:9" ht="15" customHeight="1" x14ac:dyDescent="0.25">
      <c r="A22">
        <v>19</v>
      </c>
      <c r="B22" t="s">
        <v>128</v>
      </c>
      <c r="C22" t="s">
        <v>123</v>
      </c>
      <c r="D22" s="3">
        <v>4826.8</v>
      </c>
      <c r="E22" s="3">
        <v>2.2999999999999998</v>
      </c>
      <c r="F22" s="3">
        <v>0</v>
      </c>
      <c r="G22" s="3">
        <v>11101.64</v>
      </c>
      <c r="I22" s="3">
        <v>0</v>
      </c>
    </row>
    <row r="23" spans="1:9" ht="15" customHeight="1" x14ac:dyDescent="0.25">
      <c r="A23">
        <v>20</v>
      </c>
      <c r="B23" t="s">
        <v>129</v>
      </c>
      <c r="C23" t="s">
        <v>126</v>
      </c>
      <c r="D23" s="3">
        <v>54</v>
      </c>
      <c r="E23" s="3">
        <v>9600</v>
      </c>
      <c r="F23" s="3">
        <v>9580</v>
      </c>
      <c r="G23" s="3">
        <v>518400</v>
      </c>
      <c r="I23" s="3">
        <v>517320</v>
      </c>
    </row>
    <row r="24" spans="1:9" ht="41.25" customHeight="1" x14ac:dyDescent="0.25">
      <c r="A24">
        <v>21</v>
      </c>
      <c r="B24" t="s">
        <v>130</v>
      </c>
      <c r="C24" t="s">
        <v>107</v>
      </c>
      <c r="D24" s="3">
        <v>2.2842105263157899</v>
      </c>
      <c r="E24" s="3">
        <v>44350</v>
      </c>
      <c r="F24" s="3">
        <v>0</v>
      </c>
      <c r="G24" s="3">
        <v>101304.73684210501</v>
      </c>
      <c r="H24" s="28" t="s">
        <v>651</v>
      </c>
      <c r="I24" s="3">
        <v>0</v>
      </c>
    </row>
    <row r="25" spans="1:9" ht="27.75" customHeight="1" x14ac:dyDescent="0.25">
      <c r="A25">
        <v>22</v>
      </c>
      <c r="B25" t="s">
        <v>131</v>
      </c>
      <c r="C25" t="s">
        <v>132</v>
      </c>
      <c r="D25" s="3">
        <v>152.42105263157899</v>
      </c>
      <c r="E25" s="3">
        <v>1430.46</v>
      </c>
      <c r="F25" s="3">
        <v>0</v>
      </c>
      <c r="G25" s="3">
        <v>218032.218947368</v>
      </c>
      <c r="H25" s="28" t="s">
        <v>652</v>
      </c>
      <c r="I25" s="3">
        <v>0</v>
      </c>
    </row>
    <row r="26" spans="1:9" ht="15" customHeight="1" x14ac:dyDescent="0.25">
      <c r="A26">
        <v>23</v>
      </c>
      <c r="B26" t="s">
        <v>133</v>
      </c>
      <c r="C26" t="s">
        <v>107</v>
      </c>
      <c r="D26" s="3">
        <v>1.68888888888889</v>
      </c>
      <c r="E26" s="3">
        <v>11000</v>
      </c>
      <c r="F26" s="3">
        <v>0</v>
      </c>
      <c r="G26" s="3">
        <v>18577.777777777799</v>
      </c>
      <c r="I26" s="3">
        <v>0</v>
      </c>
    </row>
    <row r="27" spans="1:9" ht="15" customHeight="1" x14ac:dyDescent="0.25">
      <c r="A27">
        <v>24</v>
      </c>
      <c r="B27" t="s">
        <v>134</v>
      </c>
      <c r="C27" t="s">
        <v>132</v>
      </c>
      <c r="D27" s="3">
        <v>4.4000000000000004</v>
      </c>
      <c r="E27" s="3">
        <v>5214</v>
      </c>
      <c r="F27" s="3">
        <v>0</v>
      </c>
      <c r="G27" s="3">
        <v>22941.599999999999</v>
      </c>
      <c r="H27" t="s">
        <v>653</v>
      </c>
      <c r="I27" s="3">
        <v>0</v>
      </c>
    </row>
    <row r="28" spans="1:9" ht="27.75" customHeight="1" x14ac:dyDescent="0.25">
      <c r="A28">
        <v>25</v>
      </c>
      <c r="B28" t="s">
        <v>135</v>
      </c>
      <c r="C28" t="s">
        <v>132</v>
      </c>
      <c r="D28" s="3">
        <v>110.578947368421</v>
      </c>
      <c r="E28" s="3">
        <v>1862.05</v>
      </c>
      <c r="F28" s="3">
        <v>0</v>
      </c>
      <c r="G28" s="3">
        <v>205903.528947368</v>
      </c>
      <c r="H28" s="28" t="s">
        <v>654</v>
      </c>
      <c r="I28" s="3">
        <v>0</v>
      </c>
    </row>
    <row r="29" spans="1:9" ht="15" customHeight="1" x14ac:dyDescent="0.25">
      <c r="A29">
        <v>26</v>
      </c>
      <c r="B29" t="s">
        <v>147</v>
      </c>
      <c r="C29" t="s">
        <v>148</v>
      </c>
      <c r="D29" s="3">
        <v>0</v>
      </c>
      <c r="E29" s="3">
        <v>0</v>
      </c>
      <c r="F29" s="3">
        <v>0</v>
      </c>
      <c r="G29" s="3">
        <v>0</v>
      </c>
      <c r="H29" t="s">
        <v>655</v>
      </c>
      <c r="I29" s="3">
        <v>0</v>
      </c>
    </row>
    <row r="30" spans="1:9" ht="15" customHeight="1" x14ac:dyDescent="0.25">
      <c r="B30" t="s">
        <v>656</v>
      </c>
      <c r="D30" s="3">
        <v>0</v>
      </c>
      <c r="E30" s="3">
        <v>0</v>
      </c>
      <c r="F30" s="3">
        <v>0</v>
      </c>
      <c r="G30" s="3">
        <v>92970712.273857996</v>
      </c>
      <c r="I30" s="3">
        <v>81529319.394241706</v>
      </c>
    </row>
    <row r="31" spans="1:9" ht="15" customHeight="1" x14ac:dyDescent="0.25">
      <c r="A31" s="13"/>
      <c r="B31" s="13" t="s">
        <v>54</v>
      </c>
      <c r="C31" s="13"/>
      <c r="D31" s="13"/>
      <c r="E31" s="13"/>
      <c r="F31" s="13"/>
      <c r="G31" s="10">
        <f>SUM(G4:G30)</f>
        <v>185941424.54771608</v>
      </c>
      <c r="H31" s="13"/>
      <c r="I31" s="10">
        <f>SUM(I4:I30)</f>
        <v>163058638.78848344</v>
      </c>
    </row>
  </sheetData>
  <mergeCells count="1">
    <mergeCell ref="A1:J1"/>
  </mergeCells>
  <pageMargins left="0.75" right="0.75" top="1" bottom="1" header="0.511811023622047" footer="0.511811023622047"/>
  <pageSetup paperSize="9" orientation="portrait" horizontalDpi="300" verticalDpi="30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H40"/>
  <sheetViews>
    <sheetView showGridLines="0" zoomScaleNormal="100" workbookViewId="0">
      <selection activeCell="D6" sqref="D6"/>
    </sheetView>
  </sheetViews>
  <sheetFormatPr defaultColWidth="8.7109375" defaultRowHeight="15" x14ac:dyDescent="0.25"/>
  <cols>
    <col min="1" max="2" width="18" customWidth="1"/>
    <col min="3" max="3" width="16" customWidth="1"/>
    <col min="4" max="7" width="22" customWidth="1"/>
    <col min="8" max="8" width="18" customWidth="1"/>
  </cols>
  <sheetData>
    <row r="1" spans="1:8" ht="17.25" customHeight="1" x14ac:dyDescent="0.25">
      <c r="A1" s="31" t="s">
        <v>657</v>
      </c>
      <c r="B1" s="31"/>
      <c r="C1" s="31"/>
      <c r="D1" s="31"/>
      <c r="E1" s="31"/>
      <c r="F1" s="31"/>
      <c r="G1" s="31"/>
      <c r="H1" s="31"/>
    </row>
    <row r="3" spans="1:8" ht="27.75" customHeight="1" x14ac:dyDescent="0.25">
      <c r="A3" s="12" t="s">
        <v>47</v>
      </c>
      <c r="B3" s="12" t="s">
        <v>57</v>
      </c>
      <c r="C3" s="12" t="s">
        <v>591</v>
      </c>
      <c r="D3" s="12" t="s">
        <v>448</v>
      </c>
      <c r="E3" s="12" t="s">
        <v>98</v>
      </c>
      <c r="F3" s="12" t="s">
        <v>658</v>
      </c>
      <c r="G3" s="12" t="s">
        <v>659</v>
      </c>
      <c r="H3" s="12" t="s">
        <v>592</v>
      </c>
    </row>
    <row r="4" spans="1:8" ht="15" customHeight="1" x14ac:dyDescent="0.25">
      <c r="A4" t="s">
        <v>49</v>
      </c>
      <c r="B4" s="29">
        <f>'Производственный план 5м'!B4</f>
        <v>1500</v>
      </c>
      <c r="C4" s="18">
        <f>B4/'Сводный CashFlow'!$B$3</f>
        <v>9.8677718571146641E-2</v>
      </c>
      <c r="D4" s="3">
        <f>'Материалы себестоимость'!G31*C4</f>
        <v>18348275.562237624</v>
      </c>
      <c r="E4" s="3">
        <f>'Материалы себестоимость'!I31*C4</f>
        <v>16090254.468964225</v>
      </c>
      <c r="F4" s="3">
        <f>IF(B4=0,0,D4/B4)</f>
        <v>12232.183708158416</v>
      </c>
      <c r="G4" s="3">
        <f>D4</f>
        <v>18348275.562237624</v>
      </c>
      <c r="H4" t="str">
        <f>IF(ABS(G4-SUM($D$4:D4))&lt;1,"OK","Проверить")</f>
        <v>OK</v>
      </c>
    </row>
    <row r="5" spans="1:8" ht="15" customHeight="1" x14ac:dyDescent="0.25">
      <c r="A5" t="s">
        <v>50</v>
      </c>
      <c r="B5" s="29">
        <f>'Производственный план 5м'!B5</f>
        <v>2800</v>
      </c>
      <c r="C5" s="18">
        <f>B5/'Сводный CashFlow'!$B$3</f>
        <v>0.18419840799947371</v>
      </c>
      <c r="D5" s="3">
        <f>'Материалы себестоимость'!G31*C5</f>
        <v>34250114.382843561</v>
      </c>
      <c r="E5" s="3">
        <f>'Материалы себестоимость'!I31*C5</f>
        <v>30035141.675399881</v>
      </c>
      <c r="F5" s="3">
        <f>IF(B5=0,0,D5/B5)</f>
        <v>12232.183708158414</v>
      </c>
      <c r="G5" s="3">
        <f>G4+D5</f>
        <v>52598389.945081189</v>
      </c>
      <c r="H5" t="str">
        <f>IF(ABS(G5-SUM($D$4:D5))&lt;1,"OK","Проверить")</f>
        <v>OK</v>
      </c>
    </row>
    <row r="6" spans="1:8" ht="15" customHeight="1" x14ac:dyDescent="0.25">
      <c r="A6" t="s">
        <v>51</v>
      </c>
      <c r="B6" s="29">
        <f>'Производственный план 5м'!B6</f>
        <v>3600</v>
      </c>
      <c r="C6" s="18">
        <f>B6/'Сводный CashFlow'!$B$3</f>
        <v>0.23682652457075193</v>
      </c>
      <c r="D6" s="3">
        <f>'Материалы себестоимость'!G31*C6</f>
        <v>44035861.349370301</v>
      </c>
      <c r="E6" s="3">
        <f>'Материалы себестоимость'!I31*C6</f>
        <v>38616610.725514136</v>
      </c>
      <c r="F6" s="3">
        <f>IF(B6=0,0,D6/B6)</f>
        <v>12232.183708158416</v>
      </c>
      <c r="G6" s="3">
        <f>G5+D6</f>
        <v>96634251.29445149</v>
      </c>
      <c r="H6" t="str">
        <f>IF(ABS(G6-SUM($D$4:D6))&lt;1,"OK","Проверить")</f>
        <v>OK</v>
      </c>
    </row>
    <row r="7" spans="1:8" ht="15" customHeight="1" x14ac:dyDescent="0.25">
      <c r="A7" t="s">
        <v>52</v>
      </c>
      <c r="B7" s="29">
        <f>'Производственный план 5м'!B7</f>
        <v>3500</v>
      </c>
      <c r="C7" s="18">
        <f>B7/'Сводный CashFlow'!$B$3</f>
        <v>0.23024800999934214</v>
      </c>
      <c r="D7" s="3">
        <f>'Материалы себестоимость'!G31*C7</f>
        <v>42812642.978554457</v>
      </c>
      <c r="E7" s="3">
        <f>'Материалы себестоимость'!I31*C7</f>
        <v>37543927.094249852</v>
      </c>
      <c r="F7" s="3">
        <f>IF(B7=0,0,D7/B7)</f>
        <v>12232.183708158416</v>
      </c>
      <c r="G7" s="3">
        <f>G6+D7</f>
        <v>139446894.27300596</v>
      </c>
      <c r="H7" t="str">
        <f>IF(ABS(G7-SUM($D$4:D7))&lt;1,"OK","Проверить")</f>
        <v>OK</v>
      </c>
    </row>
    <row r="8" spans="1:8" ht="15" customHeight="1" x14ac:dyDescent="0.25">
      <c r="A8" t="s">
        <v>53</v>
      </c>
      <c r="B8" s="29">
        <f>'Производственный план 5м'!B8</f>
        <v>3801</v>
      </c>
      <c r="C8" s="18">
        <f>B8/'Сводный CashFlow'!$B$3</f>
        <v>0.2500493388592856</v>
      </c>
      <c r="D8" s="3">
        <f>'Материалы себестоимость'!G31*C8</f>
        <v>46494530.274710141</v>
      </c>
      <c r="E8" s="3">
        <f>'Материалы себестоимость'!I31*C8</f>
        <v>40772704.824355349</v>
      </c>
      <c r="F8" s="3">
        <f>IF(B8=0,0,D8/B8)</f>
        <v>12232.183708158416</v>
      </c>
      <c r="G8" s="3">
        <f>G7+D8</f>
        <v>185941424.54771611</v>
      </c>
      <c r="H8" t="str">
        <f>IF(ABS(G8-SUM($D$4:D8))&lt;1,"OK","Проверить")</f>
        <v>OK</v>
      </c>
    </row>
    <row r="9" spans="1:8" ht="15" customHeight="1" x14ac:dyDescent="0.25">
      <c r="A9" s="13" t="s">
        <v>54</v>
      </c>
      <c r="B9" s="30">
        <f>SUM(B4:B8)</f>
        <v>15201</v>
      </c>
      <c r="C9" s="19">
        <f>SUM(C4:C8)</f>
        <v>1</v>
      </c>
      <c r="D9" s="10">
        <f>SUM(D4:D8)</f>
        <v>185941424.54771611</v>
      </c>
      <c r="E9" s="10">
        <f>SUM(E4:E8)</f>
        <v>163058638.78848344</v>
      </c>
      <c r="F9" s="13"/>
      <c r="G9" s="10">
        <f>G8</f>
        <v>185941424.54771611</v>
      </c>
      <c r="H9" s="13"/>
    </row>
    <row r="35" spans="1:3" ht="15" customHeight="1" x14ac:dyDescent="0.25">
      <c r="A35" t="s">
        <v>49</v>
      </c>
      <c r="B35" s="2">
        <f>'Производственный план 5м'!B4</f>
        <v>1500</v>
      </c>
      <c r="C35" s="3">
        <f>'Материалы себестоимость'!G31*B35/'Сводный CashFlow'!$B$3</f>
        <v>18348275.562237624</v>
      </c>
    </row>
    <row r="36" spans="1:3" ht="15" customHeight="1" x14ac:dyDescent="0.25">
      <c r="A36" t="s">
        <v>50</v>
      </c>
      <c r="B36" s="2">
        <f>'Производственный план 5м'!B5</f>
        <v>2800</v>
      </c>
      <c r="C36" s="3">
        <f>'Материалы себестоимость'!G31*B36/'Сводный CashFlow'!$B$3</f>
        <v>34250114.382843569</v>
      </c>
    </row>
    <row r="37" spans="1:3" ht="15" customHeight="1" x14ac:dyDescent="0.25">
      <c r="A37" t="s">
        <v>51</v>
      </c>
      <c r="B37" s="2">
        <f>'Производственный план 5м'!B6</f>
        <v>3600</v>
      </c>
      <c r="C37" s="3">
        <f>'Материалы себестоимость'!G31*B37/'Сводный CashFlow'!$B$3</f>
        <v>44035861.349370293</v>
      </c>
    </row>
    <row r="38" spans="1:3" ht="15" customHeight="1" x14ac:dyDescent="0.25">
      <c r="A38" t="s">
        <v>52</v>
      </c>
      <c r="B38" s="2">
        <f>'Производственный план 5м'!B7</f>
        <v>3500</v>
      </c>
      <c r="C38" s="3">
        <f>'Материалы себестоимость'!G31*B38/'Сводный CashFlow'!$B$3</f>
        <v>42812642.97855445</v>
      </c>
    </row>
    <row r="39" spans="1:3" ht="15" customHeight="1" x14ac:dyDescent="0.25">
      <c r="A39" t="s">
        <v>53</v>
      </c>
      <c r="B39" s="2">
        <f>'Производственный план 5м'!B8</f>
        <v>3801</v>
      </c>
      <c r="C39" s="3">
        <f>'Материалы себестоимость'!G31*B39/'Сводный CashFlow'!$B$3</f>
        <v>46494530.274710134</v>
      </c>
    </row>
    <row r="40" spans="1:3" ht="15" customHeight="1" x14ac:dyDescent="0.25">
      <c r="A40" s="13" t="s">
        <v>54</v>
      </c>
      <c r="B40" s="14">
        <f>SUM(B35:B39)</f>
        <v>15201</v>
      </c>
      <c r="C40" s="10">
        <f>SUM(C35:C39)</f>
        <v>185941424.54771608</v>
      </c>
    </row>
  </sheetData>
  <mergeCells count="1">
    <mergeCell ref="A1:H1"/>
  </mergeCells>
  <pageMargins left="0.75" right="0.75" top="1" bottom="1" header="0.511811023622047" footer="0.511811023622047"/>
  <pageSetup paperSize="9" orientation="portrait" horizontalDpi="300" verticalDpi="30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G9"/>
  <sheetViews>
    <sheetView showGridLines="0" tabSelected="1" zoomScaleNormal="100" workbookViewId="0">
      <selection activeCell="D10" sqref="D10"/>
    </sheetView>
  </sheetViews>
  <sheetFormatPr defaultColWidth="8.7109375" defaultRowHeight="15" x14ac:dyDescent="0.25"/>
  <cols>
    <col min="1" max="1" width="18" customWidth="1"/>
    <col min="2" max="2" width="20" customWidth="1"/>
    <col min="3" max="3" width="16" customWidth="1"/>
    <col min="4" max="4" width="20" customWidth="1"/>
    <col min="5" max="5" width="24" customWidth="1"/>
    <col min="6" max="6" width="22" customWidth="1"/>
    <col min="7" max="7" width="45" customWidth="1"/>
  </cols>
  <sheetData>
    <row r="1" spans="1:7" ht="17.25" customHeight="1" x14ac:dyDescent="0.25">
      <c r="A1" s="31" t="s">
        <v>660</v>
      </c>
      <c r="B1" s="31"/>
      <c r="C1" s="31"/>
      <c r="D1" s="31"/>
      <c r="E1" s="31"/>
      <c r="F1" s="31"/>
      <c r="G1" s="31"/>
    </row>
    <row r="3" spans="1:7" ht="41.25" customHeight="1" x14ac:dyDescent="0.25">
      <c r="A3" s="9" t="s">
        <v>47</v>
      </c>
      <c r="B3" s="9" t="s">
        <v>589</v>
      </c>
      <c r="C3" s="9" t="s">
        <v>661</v>
      </c>
      <c r="D3" s="9" t="s">
        <v>662</v>
      </c>
      <c r="E3" s="9" t="s">
        <v>663</v>
      </c>
      <c r="F3" s="9" t="s">
        <v>141</v>
      </c>
      <c r="G3" s="9" t="s">
        <v>80</v>
      </c>
    </row>
    <row r="4" spans="1:7" ht="15" customHeight="1" x14ac:dyDescent="0.25">
      <c r="A4" t="s">
        <v>49</v>
      </c>
      <c r="B4" s="2">
        <f>'Производственный план 5м'!B4</f>
        <v>1500</v>
      </c>
      <c r="C4" s="29">
        <v>0.3</v>
      </c>
      <c r="D4" s="2">
        <f>B4*C4</f>
        <v>450</v>
      </c>
      <c r="E4" s="3">
        <v>1800</v>
      </c>
      <c r="F4" s="3">
        <f>D4*E4</f>
        <v>810000</v>
      </c>
      <c r="G4" t="s">
        <v>664</v>
      </c>
    </row>
    <row r="5" spans="1:7" ht="15" customHeight="1" x14ac:dyDescent="0.25">
      <c r="A5" t="s">
        <v>50</v>
      </c>
      <c r="B5" s="2">
        <f>'Производственный план 5м'!B5</f>
        <v>2800</v>
      </c>
      <c r="C5" s="29">
        <v>0.3</v>
      </c>
      <c r="D5" s="2">
        <f>B5*C5</f>
        <v>840</v>
      </c>
      <c r="E5" s="3">
        <v>1800</v>
      </c>
      <c r="F5" s="3">
        <f>D5*E5</f>
        <v>1512000</v>
      </c>
      <c r="G5" t="s">
        <v>664</v>
      </c>
    </row>
    <row r="6" spans="1:7" ht="15" customHeight="1" x14ac:dyDescent="0.25">
      <c r="A6" t="s">
        <v>51</v>
      </c>
      <c r="B6" s="2">
        <f>'Производственный план 5м'!B6</f>
        <v>3600</v>
      </c>
      <c r="C6" s="29">
        <v>0.3</v>
      </c>
      <c r="D6" s="2">
        <f>B6*C6</f>
        <v>1080</v>
      </c>
      <c r="E6" s="3">
        <v>1800</v>
      </c>
      <c r="F6" s="3">
        <f>D6*E6</f>
        <v>1944000</v>
      </c>
      <c r="G6" t="s">
        <v>664</v>
      </c>
    </row>
    <row r="7" spans="1:7" ht="15" customHeight="1" x14ac:dyDescent="0.25">
      <c r="A7" t="s">
        <v>52</v>
      </c>
      <c r="B7" s="2">
        <f>'Производственный план 5м'!B7</f>
        <v>3500</v>
      </c>
      <c r="C7" s="29">
        <v>0.3</v>
      </c>
      <c r="D7" s="2">
        <f>B7*C7</f>
        <v>1050</v>
      </c>
      <c r="E7" s="3">
        <v>1800</v>
      </c>
      <c r="F7" s="3">
        <f>D7*E7</f>
        <v>1890000</v>
      </c>
      <c r="G7" t="s">
        <v>664</v>
      </c>
    </row>
    <row r="8" spans="1:7" ht="15" customHeight="1" x14ac:dyDescent="0.25">
      <c r="A8" t="s">
        <v>53</v>
      </c>
      <c r="B8" s="2">
        <f>'Производственный план 5м'!B8</f>
        <v>3801</v>
      </c>
      <c r="C8" s="29">
        <v>0.3</v>
      </c>
      <c r="D8" s="2">
        <f>B8*C8</f>
        <v>1140.3</v>
      </c>
      <c r="E8" s="3">
        <v>1800</v>
      </c>
      <c r="F8" s="3">
        <f>D8*E8</f>
        <v>2052540</v>
      </c>
      <c r="G8" t="s">
        <v>664</v>
      </c>
    </row>
    <row r="9" spans="1:7" ht="15" customHeight="1" x14ac:dyDescent="0.25">
      <c r="A9" s="13" t="s">
        <v>54</v>
      </c>
      <c r="B9" s="14">
        <f>SUM(B4:B8)</f>
        <v>15201</v>
      </c>
      <c r="C9" s="13"/>
      <c r="D9" s="14">
        <f>SUM(D4:D8)</f>
        <v>4560.3</v>
      </c>
      <c r="E9" s="13"/>
      <c r="F9" s="10">
        <f>SUM(F4:F8)</f>
        <v>8208540</v>
      </c>
      <c r="G9" s="13"/>
    </row>
  </sheetData>
  <mergeCells count="1">
    <mergeCell ref="A1:G1"/>
  </mergeCells>
  <pageMargins left="0.75" right="0.75" top="1" bottom="1" header="0.511811023622047" footer="0.511811023622047"/>
  <pageSetup paperSize="9" orientation="portrait" horizontalDpi="300" verticalDpi="30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H21"/>
  <sheetViews>
    <sheetView showGridLines="0" zoomScale="80" zoomScaleNormal="80" workbookViewId="0">
      <pane xSplit="1" ySplit="3" topLeftCell="C4" activePane="bottomRight" state="frozen"/>
      <selection pane="topRight" activeCell="B1" sqref="B1"/>
      <selection pane="bottomLeft" activeCell="A4" sqref="A4"/>
      <selection pane="bottomRight" sqref="A1:H1"/>
    </sheetView>
  </sheetViews>
  <sheetFormatPr defaultColWidth="8.7109375" defaultRowHeight="15" x14ac:dyDescent="0.25"/>
  <cols>
    <col min="1" max="1" width="48" customWidth="1"/>
    <col min="2" max="7" width="20" customWidth="1"/>
    <col min="8" max="8" width="22" customWidth="1"/>
  </cols>
  <sheetData>
    <row r="1" spans="1:8" ht="19.5" customHeight="1" x14ac:dyDescent="0.3">
      <c r="A1" s="32" t="s">
        <v>665</v>
      </c>
      <c r="B1" s="32"/>
      <c r="C1" s="32"/>
      <c r="D1" s="32"/>
      <c r="E1" s="32"/>
      <c r="F1" s="32"/>
      <c r="G1" s="32"/>
      <c r="H1" s="32"/>
    </row>
    <row r="3" spans="1:8" ht="15" customHeight="1" x14ac:dyDescent="0.25">
      <c r="A3" s="9" t="s">
        <v>666</v>
      </c>
      <c r="B3" s="9" t="s">
        <v>49</v>
      </c>
      <c r="C3" s="9" t="s">
        <v>50</v>
      </c>
      <c r="D3" s="9" t="s">
        <v>51</v>
      </c>
      <c r="E3" s="9" t="s">
        <v>52</v>
      </c>
      <c r="F3" s="9" t="s">
        <v>53</v>
      </c>
      <c r="G3" s="9" t="s">
        <v>21</v>
      </c>
      <c r="H3" s="9" t="s">
        <v>54</v>
      </c>
    </row>
    <row r="4" spans="1:8" ht="15" customHeight="1" x14ac:dyDescent="0.25">
      <c r="A4" s="6" t="s">
        <v>667</v>
      </c>
      <c r="B4" s="6"/>
      <c r="C4" s="6"/>
      <c r="D4" s="6"/>
      <c r="E4" s="6"/>
      <c r="F4" s="6"/>
      <c r="G4" s="6"/>
      <c r="H4" s="6"/>
    </row>
    <row r="5" spans="1:8" ht="15" customHeight="1" x14ac:dyDescent="0.25">
      <c r="A5" t="s">
        <v>668</v>
      </c>
      <c r="B5" s="3">
        <f>'Сводный CashFlow'!C21</f>
        <v>121743625.60091458</v>
      </c>
      <c r="C5" s="3">
        <f>'Сводный CashFlow'!C22</f>
        <v>0</v>
      </c>
      <c r="D5" s="3">
        <f>'Сводный CashFlow'!C23</f>
        <v>0</v>
      </c>
      <c r="E5" s="3">
        <f>'Сводный CashFlow'!C24</f>
        <v>0</v>
      </c>
      <c r="F5" s="3">
        <f>'Сводный CashFlow'!C25</f>
        <v>0</v>
      </c>
      <c r="G5" s="3">
        <f>'Сводный CashFlow'!C26</f>
        <v>0</v>
      </c>
      <c r="H5" s="3">
        <f>SUM(B5:G5)</f>
        <v>121743625.60091458</v>
      </c>
    </row>
    <row r="6" spans="1:8" ht="15" customHeight="1" x14ac:dyDescent="0.25">
      <c r="A6" t="s">
        <v>669</v>
      </c>
      <c r="B6" s="3">
        <f>'Сводный CashFlow'!R21</f>
        <v>0</v>
      </c>
      <c r="C6" s="3">
        <f>'Сводный CashFlow'!R22</f>
        <v>26028996.987235874</v>
      </c>
      <c r="D6" s="3">
        <f>'Сводный CashFlow'!R23</f>
        <v>48587461.042840287</v>
      </c>
      <c r="E6" s="3">
        <f>'Сводный CashFlow'!R24</f>
        <v>62469592.7693661</v>
      </c>
      <c r="F6" s="3">
        <f>'Сводный CashFlow'!R25</f>
        <v>60734326.303550363</v>
      </c>
      <c r="G6" s="3">
        <f>'Сводный CashFlow'!R26</f>
        <v>65957478.365655705</v>
      </c>
      <c r="H6" s="3">
        <f>SUM(B6:G6)</f>
        <v>263777855.46864831</v>
      </c>
    </row>
    <row r="7" spans="1:8" ht="15" customHeight="1" x14ac:dyDescent="0.25">
      <c r="A7" t="s">
        <v>16</v>
      </c>
      <c r="B7" s="3">
        <f>'Сводный CashFlow'!Q21</f>
        <v>0</v>
      </c>
      <c r="C7" s="3">
        <f>'Сводный CashFlow'!Q22</f>
        <v>6006691.6124390466</v>
      </c>
      <c r="D7" s="3">
        <f>'Сводный CashFlow'!Q23</f>
        <v>11212491.009886218</v>
      </c>
      <c r="E7" s="3">
        <f>'Сводный CashFlow'!Q24</f>
        <v>14416059.869853713</v>
      </c>
      <c r="F7" s="3">
        <f>'Сводный CashFlow'!Q25</f>
        <v>14015613.762357775</v>
      </c>
      <c r="G7" s="3">
        <f>'Сводный CashFlow'!Q26</f>
        <v>15220956.545920543</v>
      </c>
      <c r="H7" s="3">
        <f>SUM(B7:G7)</f>
        <v>60871812.800457291</v>
      </c>
    </row>
    <row r="8" spans="1:8" ht="15" customHeight="1" x14ac:dyDescent="0.25">
      <c r="A8" t="s">
        <v>670</v>
      </c>
      <c r="B8" s="3">
        <f>'Сводный CashFlow'!S21</f>
        <v>0</v>
      </c>
      <c r="C8" s="3">
        <f>'Сводный CashFlow'!S22</f>
        <v>0</v>
      </c>
      <c r="D8" s="3">
        <f>'Сводный CashFlow'!S23</f>
        <v>0</v>
      </c>
      <c r="E8" s="3">
        <f>'Сводный CashFlow'!S24</f>
        <v>0</v>
      </c>
      <c r="F8" s="3">
        <f>'Сводный CashFlow'!S25</f>
        <v>0</v>
      </c>
      <c r="G8" s="3">
        <f>'Сводный CashFlow'!S26</f>
        <v>20290604.266819105</v>
      </c>
      <c r="H8" s="3">
        <f>SUM(B8:G8)</f>
        <v>20290604.266819105</v>
      </c>
    </row>
    <row r="9" spans="1:8" ht="15" customHeight="1" x14ac:dyDescent="0.25">
      <c r="A9" s="13" t="s">
        <v>671</v>
      </c>
      <c r="B9" s="10">
        <f t="shared" ref="B9:G9" si="0">SUM(B5:B8)</f>
        <v>121743625.60091458</v>
      </c>
      <c r="C9" s="10">
        <f t="shared" si="0"/>
        <v>32035688.599674921</v>
      </c>
      <c r="D9" s="10">
        <f t="shared" si="0"/>
        <v>59799952.052726507</v>
      </c>
      <c r="E9" s="10">
        <f t="shared" si="0"/>
        <v>76885652.63921982</v>
      </c>
      <c r="F9" s="10">
        <f t="shared" si="0"/>
        <v>74749940.065908134</v>
      </c>
      <c r="G9" s="10">
        <f t="shared" si="0"/>
        <v>101469039.17839535</v>
      </c>
      <c r="H9" s="10">
        <f>SUM(B9:G9)</f>
        <v>466683898.13683927</v>
      </c>
    </row>
    <row r="10" spans="1:8" ht="15" customHeight="1" x14ac:dyDescent="0.25">
      <c r="A10" s="6" t="s">
        <v>672</v>
      </c>
      <c r="B10" s="6"/>
      <c r="C10" s="6"/>
      <c r="D10" s="6"/>
      <c r="E10" s="6"/>
      <c r="F10" s="6"/>
      <c r="G10" s="6"/>
      <c r="H10" s="6"/>
    </row>
    <row r="11" spans="1:8" ht="15" customHeight="1" x14ac:dyDescent="0.25">
      <c r="A11" t="s">
        <v>454</v>
      </c>
      <c r="B11" s="3">
        <f>'Сводный CashFlow'!H21</f>
        <v>18348275.562237624</v>
      </c>
      <c r="C11" s="3">
        <f>'Сводный CashFlow'!H22</f>
        <v>34250114.382843569</v>
      </c>
      <c r="D11" s="3">
        <f>'Сводный CashFlow'!H23</f>
        <v>44035861.349370293</v>
      </c>
      <c r="E11" s="3">
        <f>'Сводный CashFlow'!H24</f>
        <v>42812642.97855445</v>
      </c>
      <c r="F11" s="3">
        <f>'Сводный CashFlow'!H25</f>
        <v>46494530.274710134</v>
      </c>
      <c r="G11" s="3">
        <f>'Сводный CashFlow'!H26</f>
        <v>0</v>
      </c>
      <c r="H11" s="3">
        <f t="shared" ref="H11:H17" si="1">SUM(B11:G11)</f>
        <v>185941424.54771608</v>
      </c>
    </row>
    <row r="12" spans="1:8" ht="15" customHeight="1" x14ac:dyDescent="0.25">
      <c r="A12" t="s">
        <v>660</v>
      </c>
      <c r="B12" s="3">
        <f>'Сводный CashFlow'!V21</f>
        <v>810000</v>
      </c>
      <c r="C12" s="3">
        <f>'Сводный CashFlow'!V22</f>
        <v>1512000</v>
      </c>
      <c r="D12" s="3">
        <f>'Сводный CashFlow'!V23</f>
        <v>1944000</v>
      </c>
      <c r="E12" s="3">
        <f>'Сводный CashFlow'!V24</f>
        <v>1890000</v>
      </c>
      <c r="F12" s="3">
        <f>'Сводный CashFlow'!V25</f>
        <v>2052540</v>
      </c>
      <c r="G12" s="3">
        <f>'Сводный CashFlow'!V26</f>
        <v>0</v>
      </c>
      <c r="H12" s="3">
        <f t="shared" si="1"/>
        <v>8208540</v>
      </c>
    </row>
    <row r="13" spans="1:8" ht="15" customHeight="1" x14ac:dyDescent="0.25">
      <c r="A13" t="s">
        <v>456</v>
      </c>
      <c r="B13" s="3">
        <f>'Сводный CashFlow'!I21</f>
        <v>4938620.6896551698</v>
      </c>
      <c r="C13" s="3">
        <f>'Сводный CashFlow'!I22</f>
        <v>5163103.4482758595</v>
      </c>
      <c r="D13" s="3">
        <f>'Сводный CashFlow'!I23</f>
        <v>4714137.9310344812</v>
      </c>
      <c r="E13" s="3">
        <f>'Сводный CashFlow'!I24</f>
        <v>4938620.6896551698</v>
      </c>
      <c r="F13" s="3">
        <f>'Сводный CashFlow'!I25</f>
        <v>4938620.6896551698</v>
      </c>
      <c r="G13" s="3">
        <f>'Сводный CashFlow'!I26</f>
        <v>0</v>
      </c>
      <c r="H13" s="3">
        <f t="shared" si="1"/>
        <v>24693103.448275849</v>
      </c>
    </row>
    <row r="14" spans="1:8" ht="15" customHeight="1" x14ac:dyDescent="0.25">
      <c r="A14" t="s">
        <v>621</v>
      </c>
      <c r="B14" s="3">
        <f>'Сводный CashFlow'!K21</f>
        <v>6811719.8587807436</v>
      </c>
      <c r="C14" s="3">
        <f>'Сводный CashFlow'!K22</f>
        <v>13729124.196160829</v>
      </c>
      <c r="D14" s="3">
        <f>'Сводный CashFlow'!K23</f>
        <v>18132765.592108265</v>
      </c>
      <c r="E14" s="3">
        <f>'Сводный CashFlow'!K24</f>
        <v>17540219.900373459</v>
      </c>
      <c r="F14" s="3">
        <f>'Сводный CashFlow'!K25</f>
        <v>19154859.156633161</v>
      </c>
      <c r="G14" s="3">
        <f>'Сводный CashFlow'!K26</f>
        <v>0</v>
      </c>
      <c r="H14" s="3">
        <f t="shared" si="1"/>
        <v>75368688.704056457</v>
      </c>
    </row>
    <row r="15" spans="1:8" ht="15" customHeight="1" x14ac:dyDescent="0.25">
      <c r="A15" t="s">
        <v>40</v>
      </c>
      <c r="B15" s="3">
        <f>'Сводный CashFlow'!U21</f>
        <v>1351900</v>
      </c>
      <c r="C15" s="3">
        <f>'Сводный CashFlow'!U22</f>
        <v>1351900</v>
      </c>
      <c r="D15" s="3">
        <f>'Сводный CashFlow'!U23</f>
        <v>1351900</v>
      </c>
      <c r="E15" s="3">
        <f>'Сводный CashFlow'!U24</f>
        <v>1351900</v>
      </c>
      <c r="F15" s="3">
        <f>'Сводный CashFlow'!U25</f>
        <v>1351900</v>
      </c>
      <c r="G15" s="3">
        <f>'Сводный CashFlow'!U26</f>
        <v>0</v>
      </c>
      <c r="H15" s="3">
        <f t="shared" si="1"/>
        <v>6759500</v>
      </c>
    </row>
    <row r="16" spans="1:8" ht="15" customHeight="1" x14ac:dyDescent="0.25">
      <c r="A16" t="s">
        <v>44</v>
      </c>
      <c r="B16" s="3">
        <f>'Сводный CashFlow'!Y21</f>
        <v>7190000</v>
      </c>
      <c r="C16" s="3">
        <f>'Сводный CashFlow'!Y22</f>
        <v>0</v>
      </c>
      <c r="D16" s="3">
        <f>'Сводный CashFlow'!Y23</f>
        <v>0</v>
      </c>
      <c r="E16" s="3">
        <f>'Сводный CashFlow'!Y24</f>
        <v>0</v>
      </c>
      <c r="F16" s="3">
        <f>'Сводный CashFlow'!Y25</f>
        <v>0</v>
      </c>
      <c r="G16" s="3">
        <f>'Сводный CashFlow'!Y26</f>
        <v>0</v>
      </c>
      <c r="H16" s="3">
        <f t="shared" si="1"/>
        <v>7190000</v>
      </c>
    </row>
    <row r="17" spans="1:8" ht="15" customHeight="1" x14ac:dyDescent="0.25">
      <c r="A17" s="13" t="s">
        <v>673</v>
      </c>
      <c r="B17" s="10">
        <f t="shared" ref="B17:G17" si="2">SUM(B11:B16)</f>
        <v>39450516.110673539</v>
      </c>
      <c r="C17" s="10">
        <f t="shared" si="2"/>
        <v>56006242.027280256</v>
      </c>
      <c r="D17" s="10">
        <f t="shared" si="2"/>
        <v>70178664.872513041</v>
      </c>
      <c r="E17" s="10">
        <f t="shared" si="2"/>
        <v>68533383.568583071</v>
      </c>
      <c r="F17" s="10">
        <f t="shared" si="2"/>
        <v>73992450.120998472</v>
      </c>
      <c r="G17" s="10">
        <f t="shared" si="2"/>
        <v>0</v>
      </c>
      <c r="H17" s="10">
        <f t="shared" si="1"/>
        <v>308161256.70004833</v>
      </c>
    </row>
    <row r="18" spans="1:8" ht="15" customHeight="1" x14ac:dyDescent="0.25">
      <c r="A18" s="6" t="s">
        <v>674</v>
      </c>
      <c r="B18" s="6"/>
      <c r="C18" s="6"/>
      <c r="D18" s="6"/>
      <c r="E18" s="6"/>
      <c r="F18" s="6"/>
      <c r="G18" s="6"/>
      <c r="H18" s="6"/>
    </row>
    <row r="19" spans="1:8" ht="15" customHeight="1" x14ac:dyDescent="0.25">
      <c r="A19" t="s">
        <v>675</v>
      </c>
      <c r="B19" s="3">
        <f>'Сводный CashFlow'!P21</f>
        <v>60871812.800457291</v>
      </c>
      <c r="C19" s="3">
        <f>'Сводный CashFlow'!P22</f>
        <v>0</v>
      </c>
      <c r="D19" s="3">
        <f>'Сводный CashFlow'!P23</f>
        <v>0</v>
      </c>
      <c r="E19" s="3">
        <f>'Сводный CashFlow'!P24</f>
        <v>0</v>
      </c>
      <c r="F19" s="3">
        <f>'Сводный CashFlow'!P25</f>
        <v>0</v>
      </c>
      <c r="G19" s="3">
        <f>'Сводный CashFlow'!P26</f>
        <v>0</v>
      </c>
      <c r="H19" s="3">
        <f>SUM(B19:G19)</f>
        <v>60871812.800457291</v>
      </c>
    </row>
    <row r="20" spans="1:8" ht="15" customHeight="1" x14ac:dyDescent="0.25">
      <c r="A20" s="13" t="s">
        <v>676</v>
      </c>
      <c r="B20" s="10">
        <f t="shared" ref="B20:G20" si="3">B9-B17-B19</f>
        <v>21421296.689783759</v>
      </c>
      <c r="C20" s="10">
        <f t="shared" si="3"/>
        <v>-23970553.427605335</v>
      </c>
      <c r="D20" s="10">
        <f t="shared" si="3"/>
        <v>-10378712.819786534</v>
      </c>
      <c r="E20" s="10">
        <f t="shared" si="3"/>
        <v>8352269.0706367493</v>
      </c>
      <c r="F20" s="10">
        <f t="shared" si="3"/>
        <v>757489.94490966201</v>
      </c>
      <c r="G20" s="10">
        <f t="shared" si="3"/>
        <v>101469039.17839535</v>
      </c>
      <c r="H20" s="10">
        <f>SUM(B20:G20)</f>
        <v>97650828.636333644</v>
      </c>
    </row>
    <row r="21" spans="1:8" ht="15" customHeight="1" x14ac:dyDescent="0.25">
      <c r="A21" s="13" t="s">
        <v>677</v>
      </c>
      <c r="B21" s="10">
        <f>B20</f>
        <v>21421296.689783759</v>
      </c>
      <c r="C21" s="10">
        <f>B21+C20</f>
        <v>-2549256.7378215753</v>
      </c>
      <c r="D21" s="10">
        <f>C21+D20</f>
        <v>-12927969.557608109</v>
      </c>
      <c r="E21" s="10">
        <f>D21+E20</f>
        <v>-4575700.4869713597</v>
      </c>
      <c r="F21" s="10">
        <f>E21+F20</f>
        <v>-3818210.5420616977</v>
      </c>
      <c r="G21" s="10">
        <f>F21+G20</f>
        <v>97650828.636333644</v>
      </c>
      <c r="H21" s="10">
        <f>G21</f>
        <v>97650828.636333644</v>
      </c>
    </row>
  </sheetData>
  <mergeCells count="1">
    <mergeCell ref="A1:H1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48" customWidth="1"/>
    <col min="2" max="2" width="22" customWidth="1"/>
    <col min="3" max="3" width="24" customWidth="1"/>
    <col min="4" max="4" width="22" customWidth="1"/>
    <col min="5" max="5" width="18" customWidth="1"/>
    <col min="6" max="6" width="22" customWidth="1"/>
  </cols>
  <sheetData>
    <row r="1" spans="1:6" ht="27.75" customHeight="1" x14ac:dyDescent="0.25">
      <c r="A1" s="9" t="s">
        <v>96</v>
      </c>
      <c r="B1" s="9" t="s">
        <v>97</v>
      </c>
      <c r="C1" s="9" t="s">
        <v>98</v>
      </c>
      <c r="D1" s="9" t="s">
        <v>99</v>
      </c>
      <c r="E1" s="9" t="s">
        <v>5</v>
      </c>
      <c r="F1" s="9" t="s">
        <v>100</v>
      </c>
    </row>
    <row r="2" spans="1:6" ht="15" customHeight="1" x14ac:dyDescent="0.25">
      <c r="A2" t="s">
        <v>101</v>
      </c>
      <c r="B2" s="3">
        <v>236621042.34799999</v>
      </c>
      <c r="C2" s="3">
        <v>93741007.776999995</v>
      </c>
      <c r="D2" s="3">
        <v>330362050.125</v>
      </c>
      <c r="E2" s="3">
        <v>72679651.027500004</v>
      </c>
      <c r="F2" s="3">
        <v>403041701.15249997</v>
      </c>
    </row>
    <row r="3" spans="1:6" ht="15" customHeight="1" x14ac:dyDescent="0.25">
      <c r="A3" t="s">
        <v>102</v>
      </c>
      <c r="B3" s="3">
        <v>1316406.7681</v>
      </c>
      <c r="C3" s="3">
        <v>954399.94</v>
      </c>
      <c r="D3" s="3">
        <v>2270806.7080999999</v>
      </c>
      <c r="E3" s="3">
        <v>499577.47578199999</v>
      </c>
      <c r="F3" s="3">
        <v>2770384.1838819999</v>
      </c>
    </row>
    <row r="4" spans="1:6" ht="15" customHeight="1" x14ac:dyDescent="0.25">
      <c r="A4" s="13" t="s">
        <v>54</v>
      </c>
      <c r="B4" s="10">
        <f>SUM(B2:B3)</f>
        <v>237937449.11609998</v>
      </c>
      <c r="C4" s="10">
        <f>SUM(C2:C3)</f>
        <v>94695407.716999993</v>
      </c>
      <c r="D4" s="10">
        <f>SUM(D2:D3)</f>
        <v>332632856.83310002</v>
      </c>
      <c r="E4" s="10">
        <f>SUM(E2:E3)</f>
        <v>73179228.503282011</v>
      </c>
      <c r="F4" s="10">
        <f>SUM(F2:F3)</f>
        <v>405812085.33638197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6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56" customWidth="1"/>
    <col min="2" max="2" width="14" customWidth="1"/>
    <col min="3" max="3" width="18" customWidth="1"/>
  </cols>
  <sheetData>
    <row r="1" spans="1:3" ht="15" customHeight="1" x14ac:dyDescent="0.25">
      <c r="A1" s="9" t="s">
        <v>103</v>
      </c>
      <c r="B1" s="9" t="s">
        <v>104</v>
      </c>
      <c r="C1" s="9" t="s">
        <v>105</v>
      </c>
    </row>
    <row r="2" spans="1:3" ht="15" customHeight="1" x14ac:dyDescent="0.25">
      <c r="A2" t="s">
        <v>106</v>
      </c>
      <c r="B2" t="s">
        <v>107</v>
      </c>
      <c r="C2" s="3">
        <v>1100</v>
      </c>
    </row>
    <row r="3" spans="1:3" ht="15" customHeight="1" x14ac:dyDescent="0.25">
      <c r="A3" t="s">
        <v>108</v>
      </c>
      <c r="B3" t="s">
        <v>107</v>
      </c>
      <c r="C3" s="3">
        <v>2000</v>
      </c>
    </row>
    <row r="4" spans="1:3" ht="15" customHeight="1" x14ac:dyDescent="0.25">
      <c r="A4" t="s">
        <v>109</v>
      </c>
      <c r="B4" t="s">
        <v>107</v>
      </c>
      <c r="C4" s="3">
        <v>6200</v>
      </c>
    </row>
    <row r="5" spans="1:3" ht="15" customHeight="1" x14ac:dyDescent="0.25">
      <c r="A5" t="s">
        <v>110</v>
      </c>
      <c r="B5" t="s">
        <v>107</v>
      </c>
      <c r="C5" s="3">
        <v>7300</v>
      </c>
    </row>
    <row r="6" spans="1:3" ht="15" customHeight="1" x14ac:dyDescent="0.25">
      <c r="A6" t="s">
        <v>111</v>
      </c>
      <c r="B6" t="s">
        <v>112</v>
      </c>
      <c r="C6" s="3">
        <v>181.79</v>
      </c>
    </row>
    <row r="7" spans="1:3" ht="15" customHeight="1" x14ac:dyDescent="0.25">
      <c r="A7" t="s">
        <v>113</v>
      </c>
      <c r="B7" t="s">
        <v>112</v>
      </c>
      <c r="C7" s="3">
        <v>55.62</v>
      </c>
    </row>
    <row r="8" spans="1:3" ht="15" customHeight="1" x14ac:dyDescent="0.25">
      <c r="A8" t="s">
        <v>114</v>
      </c>
      <c r="B8" t="s">
        <v>112</v>
      </c>
      <c r="C8" s="3">
        <v>61.8</v>
      </c>
    </row>
    <row r="9" spans="1:3" ht="15" customHeight="1" x14ac:dyDescent="0.25">
      <c r="A9" t="s">
        <v>115</v>
      </c>
      <c r="B9" t="s">
        <v>112</v>
      </c>
      <c r="C9" s="3">
        <v>53.55</v>
      </c>
    </row>
    <row r="10" spans="1:3" ht="15" customHeight="1" x14ac:dyDescent="0.25">
      <c r="A10" t="s">
        <v>116</v>
      </c>
      <c r="B10" t="s">
        <v>112</v>
      </c>
      <c r="C10" s="3">
        <v>53.04</v>
      </c>
    </row>
    <row r="11" spans="1:3" ht="15" customHeight="1" x14ac:dyDescent="0.25">
      <c r="A11" t="s">
        <v>117</v>
      </c>
      <c r="B11" t="s">
        <v>112</v>
      </c>
      <c r="C11" s="3">
        <v>58.9</v>
      </c>
    </row>
    <row r="12" spans="1:3" ht="15" customHeight="1" x14ac:dyDescent="0.25">
      <c r="A12" t="s">
        <v>118</v>
      </c>
      <c r="B12" t="s">
        <v>112</v>
      </c>
      <c r="C12" s="3">
        <v>57.87</v>
      </c>
    </row>
    <row r="13" spans="1:3" ht="15" customHeight="1" x14ac:dyDescent="0.25">
      <c r="A13" t="s">
        <v>119</v>
      </c>
      <c r="B13" t="s">
        <v>112</v>
      </c>
      <c r="C13" s="3">
        <v>55.6</v>
      </c>
    </row>
    <row r="14" spans="1:3" ht="15" customHeight="1" x14ac:dyDescent="0.25">
      <c r="A14" t="s">
        <v>120</v>
      </c>
      <c r="B14" t="s">
        <v>112</v>
      </c>
      <c r="C14" s="3">
        <v>2950</v>
      </c>
    </row>
    <row r="15" spans="1:3" ht="15" customHeight="1" x14ac:dyDescent="0.25">
      <c r="A15" t="s">
        <v>121</v>
      </c>
      <c r="B15" t="s">
        <v>112</v>
      </c>
      <c r="C15" s="3">
        <v>62.61</v>
      </c>
    </row>
    <row r="16" spans="1:3" ht="15" customHeight="1" x14ac:dyDescent="0.25">
      <c r="A16" t="s">
        <v>122</v>
      </c>
      <c r="B16" t="s">
        <v>123</v>
      </c>
      <c r="C16" s="3">
        <v>5874.07</v>
      </c>
    </row>
    <row r="17" spans="1:3" ht="15" customHeight="1" x14ac:dyDescent="0.25">
      <c r="A17" t="s">
        <v>124</v>
      </c>
      <c r="B17" t="s">
        <v>112</v>
      </c>
      <c r="C17" s="3">
        <v>373.16</v>
      </c>
    </row>
    <row r="18" spans="1:3" ht="15" customHeight="1" x14ac:dyDescent="0.25">
      <c r="A18" t="s">
        <v>125</v>
      </c>
      <c r="B18" t="s">
        <v>126</v>
      </c>
      <c r="C18" s="3">
        <v>240.5153</v>
      </c>
    </row>
    <row r="19" spans="1:3" ht="15" customHeight="1" x14ac:dyDescent="0.25">
      <c r="A19" t="s">
        <v>127</v>
      </c>
      <c r="B19" t="s">
        <v>126</v>
      </c>
      <c r="C19" s="3">
        <v>88</v>
      </c>
    </row>
    <row r="20" spans="1:3" ht="15" customHeight="1" x14ac:dyDescent="0.25">
      <c r="A20" t="s">
        <v>128</v>
      </c>
      <c r="B20" t="s">
        <v>123</v>
      </c>
      <c r="C20" s="3">
        <v>2.2999999999999998</v>
      </c>
    </row>
    <row r="21" spans="1:3" ht="15" customHeight="1" x14ac:dyDescent="0.25">
      <c r="A21" t="s">
        <v>129</v>
      </c>
      <c r="B21" t="s">
        <v>126</v>
      </c>
      <c r="C21" s="3">
        <v>9600</v>
      </c>
    </row>
    <row r="22" spans="1:3" ht="15" customHeight="1" x14ac:dyDescent="0.25">
      <c r="A22" t="s">
        <v>130</v>
      </c>
      <c r="B22" t="s">
        <v>107</v>
      </c>
      <c r="C22" s="3">
        <v>44350</v>
      </c>
    </row>
    <row r="23" spans="1:3" ht="15" customHeight="1" x14ac:dyDescent="0.25">
      <c r="A23" t="s">
        <v>131</v>
      </c>
      <c r="B23" t="s">
        <v>132</v>
      </c>
      <c r="C23" s="3">
        <v>1430.46</v>
      </c>
    </row>
    <row r="24" spans="1:3" ht="15" customHeight="1" x14ac:dyDescent="0.25">
      <c r="A24" t="s">
        <v>133</v>
      </c>
      <c r="B24" t="s">
        <v>107</v>
      </c>
      <c r="C24" s="3">
        <v>11000</v>
      </c>
    </row>
    <row r="25" spans="1:3" ht="15" customHeight="1" x14ac:dyDescent="0.25">
      <c r="A25" t="s">
        <v>134</v>
      </c>
      <c r="B25" t="s">
        <v>132</v>
      </c>
      <c r="C25" s="3">
        <v>5214</v>
      </c>
    </row>
    <row r="26" spans="1:3" ht="15" customHeight="1" x14ac:dyDescent="0.25">
      <c r="A26" t="s">
        <v>135</v>
      </c>
      <c r="B26" t="s">
        <v>132</v>
      </c>
      <c r="C26" s="3">
        <v>1862.05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51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20" customWidth="1"/>
    <col min="2" max="2" width="10" customWidth="1"/>
    <col min="3" max="3" width="68" customWidth="1"/>
    <col min="4" max="4" width="54" customWidth="1"/>
    <col min="5" max="5" width="12" customWidth="1"/>
    <col min="6" max="6" width="14" customWidth="1"/>
    <col min="7" max="7" width="18" customWidth="1"/>
    <col min="8" max="8" width="22" customWidth="1"/>
    <col min="9" max="9" width="14" customWidth="1"/>
  </cols>
  <sheetData>
    <row r="1" spans="1:9" ht="27.75" customHeight="1" x14ac:dyDescent="0.25">
      <c r="A1" s="9" t="s">
        <v>136</v>
      </c>
      <c r="B1" s="9" t="s">
        <v>77</v>
      </c>
      <c r="C1" s="9" t="s">
        <v>137</v>
      </c>
      <c r="D1" s="9" t="s">
        <v>138</v>
      </c>
      <c r="E1" s="9" t="s">
        <v>139</v>
      </c>
      <c r="F1" s="9" t="s">
        <v>140</v>
      </c>
      <c r="G1" s="9" t="s">
        <v>105</v>
      </c>
      <c r="H1" s="9" t="s">
        <v>141</v>
      </c>
      <c r="I1" s="9" t="s">
        <v>142</v>
      </c>
    </row>
    <row r="2" spans="1:9" ht="15" customHeight="1" x14ac:dyDescent="0.25">
      <c r="A2" t="s">
        <v>143</v>
      </c>
      <c r="B2">
        <v>2</v>
      </c>
      <c r="C2" t="s">
        <v>116</v>
      </c>
      <c r="D2" t="s">
        <v>116</v>
      </c>
      <c r="E2" t="s">
        <v>112</v>
      </c>
      <c r="F2" s="2">
        <v>3701.3712</v>
      </c>
      <c r="G2" s="3">
        <f>IFERROR(VLOOKUP(D2,'Справочник материалов'!$A:$C,3,FALSE()),0)</f>
        <v>53.04</v>
      </c>
      <c r="H2" s="3">
        <f t="shared" ref="H2:H33" si="0">F2*G2</f>
        <v>196320.72844800001</v>
      </c>
      <c r="I2" t="str">
        <f t="shared" ref="I2:I33" si="1">IF(G2&gt;0,"Да","Нет")</f>
        <v>Да</v>
      </c>
    </row>
    <row r="3" spans="1:9" ht="15" customHeight="1" x14ac:dyDescent="0.25">
      <c r="A3" t="s">
        <v>143</v>
      </c>
      <c r="B3">
        <v>2</v>
      </c>
      <c r="C3" t="s">
        <v>129</v>
      </c>
      <c r="D3" t="s">
        <v>144</v>
      </c>
      <c r="E3" t="s">
        <v>145</v>
      </c>
      <c r="F3" s="2">
        <v>36</v>
      </c>
      <c r="G3" s="3">
        <f>IFERROR(VLOOKUP(D3,'Справочник материалов'!$A:$C,3,FALSE()),0)</f>
        <v>0</v>
      </c>
      <c r="H3" s="3">
        <f t="shared" si="0"/>
        <v>0</v>
      </c>
      <c r="I3" t="str">
        <f t="shared" si="1"/>
        <v>Нет</v>
      </c>
    </row>
    <row r="4" spans="1:9" ht="15" customHeight="1" x14ac:dyDescent="0.25">
      <c r="A4" t="s">
        <v>143</v>
      </c>
      <c r="B4">
        <v>2</v>
      </c>
      <c r="C4" t="s">
        <v>108</v>
      </c>
      <c r="D4" t="s">
        <v>108</v>
      </c>
      <c r="E4" t="s">
        <v>146</v>
      </c>
      <c r="F4" s="2">
        <v>12.50928</v>
      </c>
      <c r="G4" s="3">
        <f>IFERROR(VLOOKUP(D4,'Справочник материалов'!$A:$C,3,FALSE()),0)</f>
        <v>2000</v>
      </c>
      <c r="H4" s="3">
        <f t="shared" si="0"/>
        <v>25018.560000000001</v>
      </c>
      <c r="I4" t="str">
        <f t="shared" si="1"/>
        <v>Да</v>
      </c>
    </row>
    <row r="5" spans="1:9" ht="15" customHeight="1" x14ac:dyDescent="0.25">
      <c r="A5" t="s">
        <v>143</v>
      </c>
      <c r="B5">
        <v>2</v>
      </c>
      <c r="C5" t="s">
        <v>109</v>
      </c>
      <c r="D5" t="s">
        <v>109</v>
      </c>
      <c r="E5" t="s">
        <v>146</v>
      </c>
      <c r="F5" s="2">
        <v>2.4820000000000002</v>
      </c>
      <c r="G5" s="3">
        <f>IFERROR(VLOOKUP(D5,'Справочник материалов'!$A:$C,3,FALSE()),0)</f>
        <v>6200</v>
      </c>
      <c r="H5" s="3">
        <f t="shared" si="0"/>
        <v>15388.400000000001</v>
      </c>
      <c r="I5" t="str">
        <f t="shared" si="1"/>
        <v>Да</v>
      </c>
    </row>
    <row r="6" spans="1:9" ht="15" customHeight="1" x14ac:dyDescent="0.25">
      <c r="A6" t="s">
        <v>143</v>
      </c>
      <c r="B6">
        <v>2</v>
      </c>
      <c r="C6" t="s">
        <v>110</v>
      </c>
      <c r="D6" t="s">
        <v>110</v>
      </c>
      <c r="E6" t="s">
        <v>146</v>
      </c>
      <c r="F6" s="2">
        <v>29.783999999999999</v>
      </c>
      <c r="G6" s="3">
        <f>IFERROR(VLOOKUP(D6,'Справочник материалов'!$A:$C,3,FALSE()),0)</f>
        <v>7300</v>
      </c>
      <c r="H6" s="3">
        <f t="shared" si="0"/>
        <v>217423.19999999998</v>
      </c>
      <c r="I6" t="str">
        <f t="shared" si="1"/>
        <v>Да</v>
      </c>
    </row>
    <row r="7" spans="1:9" ht="15" customHeight="1" x14ac:dyDescent="0.25">
      <c r="A7" t="s">
        <v>143</v>
      </c>
      <c r="B7">
        <v>2</v>
      </c>
      <c r="C7" t="s">
        <v>111</v>
      </c>
      <c r="D7" t="s">
        <v>111</v>
      </c>
      <c r="E7" t="s">
        <v>145</v>
      </c>
      <c r="F7" s="2">
        <v>148.80000000000001</v>
      </c>
      <c r="G7" s="3">
        <f>IFERROR(VLOOKUP(D7,'Справочник материалов'!$A:$C,3,FALSE()),0)</f>
        <v>181.79</v>
      </c>
      <c r="H7" s="3">
        <f t="shared" si="0"/>
        <v>27050.352000000003</v>
      </c>
      <c r="I7" t="str">
        <f t="shared" si="1"/>
        <v>Да</v>
      </c>
    </row>
    <row r="8" spans="1:9" ht="15" customHeight="1" x14ac:dyDescent="0.25">
      <c r="A8" t="s">
        <v>143</v>
      </c>
      <c r="B8">
        <v>2</v>
      </c>
      <c r="C8" t="s">
        <v>147</v>
      </c>
      <c r="E8" t="s">
        <v>148</v>
      </c>
      <c r="F8" s="2">
        <v>68</v>
      </c>
      <c r="G8" s="3">
        <f>IFERROR(VLOOKUP(D8,'Справочник материалов'!$A:$C,3,FALSE()),0)</f>
        <v>0</v>
      </c>
      <c r="H8" s="3">
        <f t="shared" si="0"/>
        <v>0</v>
      </c>
      <c r="I8" t="str">
        <f t="shared" si="1"/>
        <v>Нет</v>
      </c>
    </row>
    <row r="9" spans="1:9" ht="15" customHeight="1" x14ac:dyDescent="0.25">
      <c r="A9" t="s">
        <v>143</v>
      </c>
      <c r="B9">
        <v>2</v>
      </c>
      <c r="C9" t="s">
        <v>149</v>
      </c>
      <c r="E9" t="s">
        <v>150</v>
      </c>
      <c r="F9" s="2">
        <v>19.72</v>
      </c>
      <c r="G9" s="3">
        <f>IFERROR(VLOOKUP(D9,'Справочник материалов'!$A:$C,3,FALSE()),0)</f>
        <v>0</v>
      </c>
      <c r="H9" s="3">
        <f t="shared" si="0"/>
        <v>0</v>
      </c>
      <c r="I9" t="str">
        <f t="shared" si="1"/>
        <v>Нет</v>
      </c>
    </row>
    <row r="10" spans="1:9" ht="15" customHeight="1" x14ac:dyDescent="0.25">
      <c r="A10" t="s">
        <v>143</v>
      </c>
      <c r="B10">
        <v>2</v>
      </c>
      <c r="C10" t="s">
        <v>115</v>
      </c>
      <c r="D10" t="s">
        <v>115</v>
      </c>
      <c r="E10" t="s">
        <v>112</v>
      </c>
      <c r="F10" s="2">
        <v>55.411200000000001</v>
      </c>
      <c r="G10" s="3">
        <f>IFERROR(VLOOKUP(D10,'Справочник материалов'!$A:$C,3,FALSE()),0)</f>
        <v>53.55</v>
      </c>
      <c r="H10" s="3">
        <f t="shared" si="0"/>
        <v>2967.2697599999997</v>
      </c>
      <c r="I10" t="str">
        <f t="shared" si="1"/>
        <v>Да</v>
      </c>
    </row>
    <row r="11" spans="1:9" ht="15" customHeight="1" x14ac:dyDescent="0.25">
      <c r="A11" t="s">
        <v>151</v>
      </c>
      <c r="B11">
        <v>1</v>
      </c>
      <c r="C11" t="s">
        <v>106</v>
      </c>
      <c r="D11" t="s">
        <v>106</v>
      </c>
      <c r="E11" t="s">
        <v>146</v>
      </c>
      <c r="F11" s="2">
        <v>1.089</v>
      </c>
      <c r="G11" s="3">
        <f>IFERROR(VLOOKUP(D11,'Справочник материалов'!$A:$C,3,FALSE()),0)</f>
        <v>1100</v>
      </c>
      <c r="H11" s="3">
        <f t="shared" si="0"/>
        <v>1197.8999999999999</v>
      </c>
      <c r="I11" t="str">
        <f t="shared" si="1"/>
        <v>Да</v>
      </c>
    </row>
    <row r="12" spans="1:9" ht="15" customHeight="1" x14ac:dyDescent="0.25">
      <c r="A12" t="s">
        <v>151</v>
      </c>
      <c r="B12">
        <v>2</v>
      </c>
      <c r="C12" t="s">
        <v>106</v>
      </c>
      <c r="D12" t="s">
        <v>106</v>
      </c>
      <c r="E12" t="s">
        <v>146</v>
      </c>
      <c r="F12" s="2">
        <v>2.9369999999999998</v>
      </c>
      <c r="G12" s="3">
        <f>IFERROR(VLOOKUP(D12,'Справочник материалов'!$A:$C,3,FALSE()),0)</f>
        <v>1100</v>
      </c>
      <c r="H12" s="3">
        <f t="shared" si="0"/>
        <v>3230.7</v>
      </c>
      <c r="I12" t="str">
        <f t="shared" si="1"/>
        <v>Да</v>
      </c>
    </row>
    <row r="13" spans="1:9" ht="15" customHeight="1" x14ac:dyDescent="0.25">
      <c r="A13" t="s">
        <v>151</v>
      </c>
      <c r="B13">
        <v>3</v>
      </c>
      <c r="C13" t="s">
        <v>106</v>
      </c>
      <c r="D13" t="s">
        <v>106</v>
      </c>
      <c r="E13" t="s">
        <v>146</v>
      </c>
      <c r="F13" s="2">
        <v>1.089</v>
      </c>
      <c r="G13" s="3">
        <f>IFERROR(VLOOKUP(D13,'Справочник материалов'!$A:$C,3,FALSE()),0)</f>
        <v>1100</v>
      </c>
      <c r="H13" s="3">
        <f t="shared" si="0"/>
        <v>1197.8999999999999</v>
      </c>
      <c r="I13" t="str">
        <f t="shared" si="1"/>
        <v>Да</v>
      </c>
    </row>
    <row r="14" spans="1:9" ht="15" customHeight="1" x14ac:dyDescent="0.25">
      <c r="A14" t="s">
        <v>151</v>
      </c>
      <c r="B14">
        <v>4</v>
      </c>
      <c r="C14" t="s">
        <v>106</v>
      </c>
      <c r="D14" t="s">
        <v>106</v>
      </c>
      <c r="E14" t="s">
        <v>146</v>
      </c>
      <c r="F14" s="2">
        <v>1.9470000000000001</v>
      </c>
      <c r="G14" s="3">
        <f>IFERROR(VLOOKUP(D14,'Справочник материалов'!$A:$C,3,FALSE()),0)</f>
        <v>1100</v>
      </c>
      <c r="H14" s="3">
        <f t="shared" si="0"/>
        <v>2141.7000000000003</v>
      </c>
      <c r="I14" t="str">
        <f t="shared" si="1"/>
        <v>Да</v>
      </c>
    </row>
    <row r="15" spans="1:9" ht="15" customHeight="1" x14ac:dyDescent="0.25">
      <c r="A15" t="s">
        <v>151</v>
      </c>
      <c r="B15">
        <v>5</v>
      </c>
      <c r="C15" t="s">
        <v>106</v>
      </c>
      <c r="D15" t="s">
        <v>106</v>
      </c>
      <c r="E15" t="s">
        <v>146</v>
      </c>
      <c r="F15" s="2">
        <v>0.72599999999999998</v>
      </c>
      <c r="G15" s="3">
        <f>IFERROR(VLOOKUP(D15,'Справочник материалов'!$A:$C,3,FALSE()),0)</f>
        <v>1100</v>
      </c>
      <c r="H15" s="3">
        <f t="shared" si="0"/>
        <v>798.6</v>
      </c>
      <c r="I15" t="str">
        <f t="shared" si="1"/>
        <v>Да</v>
      </c>
    </row>
    <row r="16" spans="1:9" ht="15" customHeight="1" x14ac:dyDescent="0.25">
      <c r="A16" t="s">
        <v>151</v>
      </c>
      <c r="B16">
        <v>6</v>
      </c>
      <c r="C16" t="s">
        <v>106</v>
      </c>
      <c r="D16" t="s">
        <v>106</v>
      </c>
      <c r="E16" t="s">
        <v>146</v>
      </c>
      <c r="F16" s="2">
        <v>0.79200000000000004</v>
      </c>
      <c r="G16" s="3">
        <f>IFERROR(VLOOKUP(D16,'Справочник материалов'!$A:$C,3,FALSE()),0)</f>
        <v>1100</v>
      </c>
      <c r="H16" s="3">
        <f t="shared" si="0"/>
        <v>871.2</v>
      </c>
      <c r="I16" t="str">
        <f t="shared" si="1"/>
        <v>Да</v>
      </c>
    </row>
    <row r="17" spans="1:9" ht="15" customHeight="1" x14ac:dyDescent="0.25">
      <c r="A17" t="s">
        <v>151</v>
      </c>
      <c r="B17">
        <v>7</v>
      </c>
      <c r="C17" t="s">
        <v>106</v>
      </c>
      <c r="D17" t="s">
        <v>106</v>
      </c>
      <c r="E17" t="s">
        <v>146</v>
      </c>
      <c r="F17" s="2">
        <v>3.0030000000000001</v>
      </c>
      <c r="G17" s="3">
        <f>IFERROR(VLOOKUP(D17,'Справочник материалов'!$A:$C,3,FALSE()),0)</f>
        <v>1100</v>
      </c>
      <c r="H17" s="3">
        <f t="shared" si="0"/>
        <v>3303.3</v>
      </c>
      <c r="I17" t="str">
        <f t="shared" si="1"/>
        <v>Да</v>
      </c>
    </row>
    <row r="18" spans="1:9" ht="15" customHeight="1" x14ac:dyDescent="0.25">
      <c r="A18" t="s">
        <v>151</v>
      </c>
      <c r="B18">
        <v>1</v>
      </c>
      <c r="C18" t="s">
        <v>108</v>
      </c>
      <c r="D18" t="s">
        <v>108</v>
      </c>
      <c r="E18" t="s">
        <v>146</v>
      </c>
      <c r="F18" s="2">
        <v>1.2474000000000001</v>
      </c>
      <c r="G18" s="3">
        <f>IFERROR(VLOOKUP(D18,'Справочник материалов'!$A:$C,3,FALSE()),0)</f>
        <v>2000</v>
      </c>
      <c r="H18" s="3">
        <f t="shared" si="0"/>
        <v>2494.8000000000002</v>
      </c>
      <c r="I18" t="str">
        <f t="shared" si="1"/>
        <v>Да</v>
      </c>
    </row>
    <row r="19" spans="1:9" ht="15" customHeight="1" x14ac:dyDescent="0.25">
      <c r="A19" t="s">
        <v>151</v>
      </c>
      <c r="B19">
        <v>2</v>
      </c>
      <c r="C19" t="s">
        <v>108</v>
      </c>
      <c r="D19" t="s">
        <v>108</v>
      </c>
      <c r="E19" t="s">
        <v>146</v>
      </c>
      <c r="F19" s="2">
        <v>3.3641999999999999</v>
      </c>
      <c r="G19" s="3">
        <f>IFERROR(VLOOKUP(D19,'Справочник материалов'!$A:$C,3,FALSE()),0)</f>
        <v>2000</v>
      </c>
      <c r="H19" s="3">
        <f t="shared" si="0"/>
        <v>6728.4</v>
      </c>
      <c r="I19" t="str">
        <f t="shared" si="1"/>
        <v>Да</v>
      </c>
    </row>
    <row r="20" spans="1:9" ht="15" customHeight="1" x14ac:dyDescent="0.25">
      <c r="A20" t="s">
        <v>151</v>
      </c>
      <c r="B20">
        <v>3</v>
      </c>
      <c r="C20" t="s">
        <v>108</v>
      </c>
      <c r="D20" t="s">
        <v>108</v>
      </c>
      <c r="E20" t="s">
        <v>146</v>
      </c>
      <c r="F20" s="2">
        <v>1.2474000000000001</v>
      </c>
      <c r="G20" s="3">
        <f>IFERROR(VLOOKUP(D20,'Справочник материалов'!$A:$C,3,FALSE()),0)</f>
        <v>2000</v>
      </c>
      <c r="H20" s="3">
        <f t="shared" si="0"/>
        <v>2494.8000000000002</v>
      </c>
      <c r="I20" t="str">
        <f t="shared" si="1"/>
        <v>Да</v>
      </c>
    </row>
    <row r="21" spans="1:9" ht="15" customHeight="1" x14ac:dyDescent="0.25">
      <c r="A21" t="s">
        <v>151</v>
      </c>
      <c r="B21">
        <v>4</v>
      </c>
      <c r="C21" t="s">
        <v>108</v>
      </c>
      <c r="D21" t="s">
        <v>108</v>
      </c>
      <c r="E21" t="s">
        <v>146</v>
      </c>
      <c r="F21" s="2">
        <v>2.2302</v>
      </c>
      <c r="G21" s="3">
        <f>IFERROR(VLOOKUP(D21,'Справочник материалов'!$A:$C,3,FALSE()),0)</f>
        <v>2000</v>
      </c>
      <c r="H21" s="3">
        <f t="shared" si="0"/>
        <v>4460.3999999999996</v>
      </c>
      <c r="I21" t="str">
        <f t="shared" si="1"/>
        <v>Да</v>
      </c>
    </row>
    <row r="22" spans="1:9" ht="15" customHeight="1" x14ac:dyDescent="0.25">
      <c r="A22" t="s">
        <v>151</v>
      </c>
      <c r="B22">
        <v>5</v>
      </c>
      <c r="C22" t="s">
        <v>108</v>
      </c>
      <c r="D22" t="s">
        <v>108</v>
      </c>
      <c r="E22" t="s">
        <v>146</v>
      </c>
      <c r="F22" s="2">
        <v>0.83160000000000001</v>
      </c>
      <c r="G22" s="3">
        <f>IFERROR(VLOOKUP(D22,'Справочник материалов'!$A:$C,3,FALSE()),0)</f>
        <v>2000</v>
      </c>
      <c r="H22" s="3">
        <f t="shared" si="0"/>
        <v>1663.2</v>
      </c>
      <c r="I22" t="str">
        <f t="shared" si="1"/>
        <v>Да</v>
      </c>
    </row>
    <row r="23" spans="1:9" ht="15" customHeight="1" x14ac:dyDescent="0.25">
      <c r="A23" t="s">
        <v>151</v>
      </c>
      <c r="B23">
        <v>6</v>
      </c>
      <c r="C23" t="s">
        <v>108</v>
      </c>
      <c r="D23" t="s">
        <v>108</v>
      </c>
      <c r="E23" t="s">
        <v>146</v>
      </c>
      <c r="F23" s="2">
        <v>0.90720000000000001</v>
      </c>
      <c r="G23" s="3">
        <f>IFERROR(VLOOKUP(D23,'Справочник материалов'!$A:$C,3,FALSE()),0)</f>
        <v>2000</v>
      </c>
      <c r="H23" s="3">
        <f t="shared" si="0"/>
        <v>1814.4</v>
      </c>
      <c r="I23" t="str">
        <f t="shared" si="1"/>
        <v>Да</v>
      </c>
    </row>
    <row r="24" spans="1:9" ht="15" customHeight="1" x14ac:dyDescent="0.25">
      <c r="A24" t="s">
        <v>151</v>
      </c>
      <c r="B24">
        <v>7</v>
      </c>
      <c r="C24" t="s">
        <v>108</v>
      </c>
      <c r="D24" t="s">
        <v>108</v>
      </c>
      <c r="E24" t="s">
        <v>146</v>
      </c>
      <c r="F24" s="2">
        <v>3.4398</v>
      </c>
      <c r="G24" s="3">
        <f>IFERROR(VLOOKUP(D24,'Справочник материалов'!$A:$C,3,FALSE()),0)</f>
        <v>2000</v>
      </c>
      <c r="H24" s="3">
        <f t="shared" si="0"/>
        <v>6879.6</v>
      </c>
      <c r="I24" t="str">
        <f t="shared" si="1"/>
        <v>Да</v>
      </c>
    </row>
    <row r="25" spans="1:9" ht="15" customHeight="1" x14ac:dyDescent="0.25">
      <c r="A25" t="s">
        <v>151</v>
      </c>
      <c r="B25">
        <v>1</v>
      </c>
      <c r="C25" t="s">
        <v>122</v>
      </c>
      <c r="D25" t="s">
        <v>122</v>
      </c>
      <c r="E25" t="s">
        <v>148</v>
      </c>
      <c r="F25" s="2">
        <v>33</v>
      </c>
      <c r="G25" s="3">
        <f>IFERROR(VLOOKUP(D25,'Справочник материалов'!$A:$C,3,FALSE()),0)</f>
        <v>5874.07</v>
      </c>
      <c r="H25" s="3">
        <f t="shared" si="0"/>
        <v>193844.31</v>
      </c>
      <c r="I25" t="str">
        <f t="shared" si="1"/>
        <v>Да</v>
      </c>
    </row>
    <row r="26" spans="1:9" ht="15" customHeight="1" x14ac:dyDescent="0.25">
      <c r="A26" t="s">
        <v>151</v>
      </c>
      <c r="B26">
        <v>2</v>
      </c>
      <c r="C26" t="s">
        <v>122</v>
      </c>
      <c r="D26" t="s">
        <v>122</v>
      </c>
      <c r="E26" t="s">
        <v>148</v>
      </c>
      <c r="F26" s="2">
        <v>89</v>
      </c>
      <c r="G26" s="3">
        <f>IFERROR(VLOOKUP(D26,'Справочник материалов'!$A:$C,3,FALSE()),0)</f>
        <v>5874.07</v>
      </c>
      <c r="H26" s="3">
        <f t="shared" si="0"/>
        <v>522792.23</v>
      </c>
      <c r="I26" t="str">
        <f t="shared" si="1"/>
        <v>Да</v>
      </c>
    </row>
    <row r="27" spans="1:9" ht="15" customHeight="1" x14ac:dyDescent="0.25">
      <c r="A27" t="s">
        <v>151</v>
      </c>
      <c r="B27">
        <v>3</v>
      </c>
      <c r="C27" t="s">
        <v>122</v>
      </c>
      <c r="D27" t="s">
        <v>122</v>
      </c>
      <c r="E27" t="s">
        <v>148</v>
      </c>
      <c r="F27" s="2">
        <v>33</v>
      </c>
      <c r="G27" s="3">
        <f>IFERROR(VLOOKUP(D27,'Справочник материалов'!$A:$C,3,FALSE()),0)</f>
        <v>5874.07</v>
      </c>
      <c r="H27" s="3">
        <f t="shared" si="0"/>
        <v>193844.31</v>
      </c>
      <c r="I27" t="str">
        <f t="shared" si="1"/>
        <v>Да</v>
      </c>
    </row>
    <row r="28" spans="1:9" ht="15" customHeight="1" x14ac:dyDescent="0.25">
      <c r="A28" t="s">
        <v>151</v>
      </c>
      <c r="B28">
        <v>4</v>
      </c>
      <c r="C28" t="s">
        <v>122</v>
      </c>
      <c r="D28" t="s">
        <v>122</v>
      </c>
      <c r="E28" t="s">
        <v>148</v>
      </c>
      <c r="F28" s="2">
        <v>59</v>
      </c>
      <c r="G28" s="3">
        <f>IFERROR(VLOOKUP(D28,'Справочник материалов'!$A:$C,3,FALSE()),0)</f>
        <v>5874.07</v>
      </c>
      <c r="H28" s="3">
        <f t="shared" si="0"/>
        <v>346570.13</v>
      </c>
      <c r="I28" t="str">
        <f t="shared" si="1"/>
        <v>Да</v>
      </c>
    </row>
    <row r="29" spans="1:9" ht="15" customHeight="1" x14ac:dyDescent="0.25">
      <c r="A29" t="s">
        <v>151</v>
      </c>
      <c r="B29">
        <v>5</v>
      </c>
      <c r="C29" t="s">
        <v>122</v>
      </c>
      <c r="D29" t="s">
        <v>122</v>
      </c>
      <c r="E29" t="s">
        <v>148</v>
      </c>
      <c r="F29" s="2">
        <v>22</v>
      </c>
      <c r="G29" s="3">
        <f>IFERROR(VLOOKUP(D29,'Справочник материалов'!$A:$C,3,FALSE()),0)</f>
        <v>5874.07</v>
      </c>
      <c r="H29" s="3">
        <f t="shared" si="0"/>
        <v>129229.54</v>
      </c>
      <c r="I29" t="str">
        <f t="shared" si="1"/>
        <v>Да</v>
      </c>
    </row>
    <row r="30" spans="1:9" ht="15" customHeight="1" x14ac:dyDescent="0.25">
      <c r="A30" t="s">
        <v>151</v>
      </c>
      <c r="B30">
        <v>6</v>
      </c>
      <c r="C30" t="s">
        <v>122</v>
      </c>
      <c r="D30" t="s">
        <v>122</v>
      </c>
      <c r="E30" t="s">
        <v>148</v>
      </c>
      <c r="F30" s="2">
        <v>24</v>
      </c>
      <c r="G30" s="3">
        <f>IFERROR(VLOOKUP(D30,'Справочник материалов'!$A:$C,3,FALSE()),0)</f>
        <v>5874.07</v>
      </c>
      <c r="H30" s="3">
        <f t="shared" si="0"/>
        <v>140977.68</v>
      </c>
      <c r="I30" t="str">
        <f t="shared" si="1"/>
        <v>Да</v>
      </c>
    </row>
    <row r="31" spans="1:9" ht="15" customHeight="1" x14ac:dyDescent="0.25">
      <c r="A31" t="s">
        <v>151</v>
      </c>
      <c r="B31">
        <v>7</v>
      </c>
      <c r="C31" t="s">
        <v>122</v>
      </c>
      <c r="D31" t="s">
        <v>122</v>
      </c>
      <c r="E31" t="s">
        <v>148</v>
      </c>
      <c r="F31" s="2">
        <v>91</v>
      </c>
      <c r="G31" s="3">
        <f>IFERROR(VLOOKUP(D31,'Справочник материалов'!$A:$C,3,FALSE()),0)</f>
        <v>5874.07</v>
      </c>
      <c r="H31" s="3">
        <f t="shared" si="0"/>
        <v>534540.37</v>
      </c>
      <c r="I31" t="str">
        <f t="shared" si="1"/>
        <v>Да</v>
      </c>
    </row>
    <row r="32" spans="1:9" ht="15" customHeight="1" x14ac:dyDescent="0.25">
      <c r="A32" t="s">
        <v>151</v>
      </c>
      <c r="B32">
        <v>1</v>
      </c>
      <c r="C32" t="s">
        <v>124</v>
      </c>
      <c r="D32" t="s">
        <v>124</v>
      </c>
      <c r="E32" t="s">
        <v>148</v>
      </c>
      <c r="F32" s="2">
        <v>66</v>
      </c>
      <c r="G32" s="3">
        <f>IFERROR(VLOOKUP(D32,'Справочник материалов'!$A:$C,3,FALSE()),0)</f>
        <v>373.16</v>
      </c>
      <c r="H32" s="3">
        <f t="shared" si="0"/>
        <v>24628.560000000001</v>
      </c>
      <c r="I32" t="str">
        <f t="shared" si="1"/>
        <v>Да</v>
      </c>
    </row>
    <row r="33" spans="1:9" ht="15" customHeight="1" x14ac:dyDescent="0.25">
      <c r="A33" t="s">
        <v>151</v>
      </c>
      <c r="B33">
        <v>2</v>
      </c>
      <c r="C33" t="s">
        <v>124</v>
      </c>
      <c r="D33" t="s">
        <v>124</v>
      </c>
      <c r="E33" t="s">
        <v>148</v>
      </c>
      <c r="F33" s="2">
        <v>178</v>
      </c>
      <c r="G33" s="3">
        <f>IFERROR(VLOOKUP(D33,'Справочник материалов'!$A:$C,3,FALSE()),0)</f>
        <v>373.16</v>
      </c>
      <c r="H33" s="3">
        <f t="shared" si="0"/>
        <v>66422.48000000001</v>
      </c>
      <c r="I33" t="str">
        <f t="shared" si="1"/>
        <v>Да</v>
      </c>
    </row>
    <row r="34" spans="1:9" ht="15" customHeight="1" x14ac:dyDescent="0.25">
      <c r="A34" t="s">
        <v>151</v>
      </c>
      <c r="B34">
        <v>3</v>
      </c>
      <c r="C34" t="s">
        <v>124</v>
      </c>
      <c r="D34" t="s">
        <v>124</v>
      </c>
      <c r="E34" t="s">
        <v>148</v>
      </c>
      <c r="F34" s="2">
        <v>66</v>
      </c>
      <c r="G34" s="3">
        <f>IFERROR(VLOOKUP(D34,'Справочник материалов'!$A:$C,3,FALSE()),0)</f>
        <v>373.16</v>
      </c>
      <c r="H34" s="3">
        <f t="shared" ref="H34:H65" si="2">F34*G34</f>
        <v>24628.560000000001</v>
      </c>
      <c r="I34" t="str">
        <f t="shared" ref="I34:I65" si="3">IF(G34&gt;0,"Да","Нет")</f>
        <v>Да</v>
      </c>
    </row>
    <row r="35" spans="1:9" ht="15" customHeight="1" x14ac:dyDescent="0.25">
      <c r="A35" t="s">
        <v>151</v>
      </c>
      <c r="B35">
        <v>4</v>
      </c>
      <c r="C35" t="s">
        <v>124</v>
      </c>
      <c r="D35" t="s">
        <v>124</v>
      </c>
      <c r="E35" t="s">
        <v>148</v>
      </c>
      <c r="F35" s="2">
        <v>118</v>
      </c>
      <c r="G35" s="3">
        <f>IFERROR(VLOOKUP(D35,'Справочник материалов'!$A:$C,3,FALSE()),0)</f>
        <v>373.16</v>
      </c>
      <c r="H35" s="3">
        <f t="shared" si="2"/>
        <v>44032.880000000005</v>
      </c>
      <c r="I35" t="str">
        <f t="shared" si="3"/>
        <v>Да</v>
      </c>
    </row>
    <row r="36" spans="1:9" ht="15" customHeight="1" x14ac:dyDescent="0.25">
      <c r="A36" t="s">
        <v>151</v>
      </c>
      <c r="B36">
        <v>5</v>
      </c>
      <c r="C36" t="s">
        <v>124</v>
      </c>
      <c r="D36" t="s">
        <v>124</v>
      </c>
      <c r="E36" t="s">
        <v>148</v>
      </c>
      <c r="F36" s="2">
        <v>44</v>
      </c>
      <c r="G36" s="3">
        <f>IFERROR(VLOOKUP(D36,'Справочник материалов'!$A:$C,3,FALSE()),0)</f>
        <v>373.16</v>
      </c>
      <c r="H36" s="3">
        <f t="shared" si="2"/>
        <v>16419.04</v>
      </c>
      <c r="I36" t="str">
        <f t="shared" si="3"/>
        <v>Да</v>
      </c>
    </row>
    <row r="37" spans="1:9" ht="15" customHeight="1" x14ac:dyDescent="0.25">
      <c r="A37" t="s">
        <v>151</v>
      </c>
      <c r="B37">
        <v>6</v>
      </c>
      <c r="C37" t="s">
        <v>124</v>
      </c>
      <c r="D37" t="s">
        <v>124</v>
      </c>
      <c r="E37" t="s">
        <v>148</v>
      </c>
      <c r="F37" s="2">
        <v>48</v>
      </c>
      <c r="G37" s="3">
        <f>IFERROR(VLOOKUP(D37,'Справочник материалов'!$A:$C,3,FALSE()),0)</f>
        <v>373.16</v>
      </c>
      <c r="H37" s="3">
        <f t="shared" si="2"/>
        <v>17911.68</v>
      </c>
      <c r="I37" t="str">
        <f t="shared" si="3"/>
        <v>Да</v>
      </c>
    </row>
    <row r="38" spans="1:9" ht="15" customHeight="1" x14ac:dyDescent="0.25">
      <c r="A38" t="s">
        <v>151</v>
      </c>
      <c r="B38">
        <v>7</v>
      </c>
      <c r="C38" t="s">
        <v>124</v>
      </c>
      <c r="D38" t="s">
        <v>124</v>
      </c>
      <c r="E38" t="s">
        <v>148</v>
      </c>
      <c r="F38" s="2">
        <v>182</v>
      </c>
      <c r="G38" s="3">
        <f>IFERROR(VLOOKUP(D38,'Справочник материалов'!$A:$C,3,FALSE()),0)</f>
        <v>373.16</v>
      </c>
      <c r="H38" s="3">
        <f t="shared" si="2"/>
        <v>67915.12000000001</v>
      </c>
      <c r="I38" t="str">
        <f t="shared" si="3"/>
        <v>Да</v>
      </c>
    </row>
    <row r="39" spans="1:9" ht="15" customHeight="1" x14ac:dyDescent="0.25">
      <c r="A39" t="s">
        <v>151</v>
      </c>
      <c r="B39">
        <v>1</v>
      </c>
      <c r="C39" t="s">
        <v>111</v>
      </c>
      <c r="D39" t="s">
        <v>111</v>
      </c>
      <c r="E39" t="s">
        <v>112</v>
      </c>
      <c r="F39" s="2">
        <v>110.286</v>
      </c>
      <c r="G39" s="3">
        <f>IFERROR(VLOOKUP(D39,'Справочник материалов'!$A:$C,3,FALSE()),0)</f>
        <v>181.79</v>
      </c>
      <c r="H39" s="3">
        <f t="shared" si="2"/>
        <v>20048.891939999998</v>
      </c>
      <c r="I39" t="str">
        <f t="shared" si="3"/>
        <v>Да</v>
      </c>
    </row>
    <row r="40" spans="1:9" ht="15" customHeight="1" x14ac:dyDescent="0.25">
      <c r="A40" t="s">
        <v>151</v>
      </c>
      <c r="B40">
        <v>2</v>
      </c>
      <c r="C40" t="s">
        <v>111</v>
      </c>
      <c r="D40" t="s">
        <v>111</v>
      </c>
      <c r="E40" t="s">
        <v>112</v>
      </c>
      <c r="F40" s="2">
        <v>297.43799999999999</v>
      </c>
      <c r="G40" s="3">
        <f>IFERROR(VLOOKUP(D40,'Справочник материалов'!$A:$C,3,FALSE()),0)</f>
        <v>181.79</v>
      </c>
      <c r="H40" s="3">
        <f t="shared" si="2"/>
        <v>54071.254019999993</v>
      </c>
      <c r="I40" t="str">
        <f t="shared" si="3"/>
        <v>Да</v>
      </c>
    </row>
    <row r="41" spans="1:9" ht="15" customHeight="1" x14ac:dyDescent="0.25">
      <c r="A41" t="s">
        <v>151</v>
      </c>
      <c r="B41">
        <v>3</v>
      </c>
      <c r="C41" t="s">
        <v>111</v>
      </c>
      <c r="D41" t="s">
        <v>111</v>
      </c>
      <c r="E41" t="s">
        <v>112</v>
      </c>
      <c r="F41" s="2">
        <v>110.286</v>
      </c>
      <c r="G41" s="3">
        <f>IFERROR(VLOOKUP(D41,'Справочник материалов'!$A:$C,3,FALSE()),0)</f>
        <v>181.79</v>
      </c>
      <c r="H41" s="3">
        <f t="shared" si="2"/>
        <v>20048.891939999998</v>
      </c>
      <c r="I41" t="str">
        <f t="shared" si="3"/>
        <v>Да</v>
      </c>
    </row>
    <row r="42" spans="1:9" ht="15" customHeight="1" x14ac:dyDescent="0.25">
      <c r="A42" t="s">
        <v>151</v>
      </c>
      <c r="B42">
        <v>4</v>
      </c>
      <c r="C42" t="s">
        <v>111</v>
      </c>
      <c r="D42" t="s">
        <v>111</v>
      </c>
      <c r="E42" t="s">
        <v>112</v>
      </c>
      <c r="F42" s="2">
        <v>197.178</v>
      </c>
      <c r="G42" s="3">
        <f>IFERROR(VLOOKUP(D42,'Справочник материалов'!$A:$C,3,FALSE()),0)</f>
        <v>181.79</v>
      </c>
      <c r="H42" s="3">
        <f t="shared" si="2"/>
        <v>35844.988619999996</v>
      </c>
      <c r="I42" t="str">
        <f t="shared" si="3"/>
        <v>Да</v>
      </c>
    </row>
    <row r="43" spans="1:9" ht="15" customHeight="1" x14ac:dyDescent="0.25">
      <c r="A43" t="s">
        <v>151</v>
      </c>
      <c r="B43">
        <v>5</v>
      </c>
      <c r="C43" t="s">
        <v>111</v>
      </c>
      <c r="D43" t="s">
        <v>111</v>
      </c>
      <c r="E43" t="s">
        <v>112</v>
      </c>
      <c r="F43" s="2">
        <v>73.524000000000001</v>
      </c>
      <c r="G43" s="3">
        <f>IFERROR(VLOOKUP(D43,'Справочник материалов'!$A:$C,3,FALSE()),0)</f>
        <v>181.79</v>
      </c>
      <c r="H43" s="3">
        <f t="shared" si="2"/>
        <v>13365.927959999999</v>
      </c>
      <c r="I43" t="str">
        <f t="shared" si="3"/>
        <v>Да</v>
      </c>
    </row>
    <row r="44" spans="1:9" ht="15" customHeight="1" x14ac:dyDescent="0.25">
      <c r="A44" t="s">
        <v>151</v>
      </c>
      <c r="B44">
        <v>6</v>
      </c>
      <c r="C44" t="s">
        <v>111</v>
      </c>
      <c r="D44" t="s">
        <v>111</v>
      </c>
      <c r="E44" t="s">
        <v>112</v>
      </c>
      <c r="F44" s="2">
        <v>80.207999999999998</v>
      </c>
      <c r="G44" s="3">
        <f>IFERROR(VLOOKUP(D44,'Справочник материалов'!$A:$C,3,FALSE()),0)</f>
        <v>181.79</v>
      </c>
      <c r="H44" s="3">
        <f t="shared" si="2"/>
        <v>14581.01232</v>
      </c>
      <c r="I44" t="str">
        <f t="shared" si="3"/>
        <v>Да</v>
      </c>
    </row>
    <row r="45" spans="1:9" ht="15" customHeight="1" x14ac:dyDescent="0.25">
      <c r="A45" t="s">
        <v>151</v>
      </c>
      <c r="B45">
        <v>7</v>
      </c>
      <c r="C45" t="s">
        <v>111</v>
      </c>
      <c r="D45" t="s">
        <v>111</v>
      </c>
      <c r="E45" t="s">
        <v>112</v>
      </c>
      <c r="F45" s="2">
        <v>304.12200000000001</v>
      </c>
      <c r="G45" s="3">
        <f>IFERROR(VLOOKUP(D45,'Справочник материалов'!$A:$C,3,FALSE()),0)</f>
        <v>181.79</v>
      </c>
      <c r="H45" s="3">
        <f t="shared" si="2"/>
        <v>55286.338380000001</v>
      </c>
      <c r="I45" t="str">
        <f t="shared" si="3"/>
        <v>Да</v>
      </c>
    </row>
    <row r="46" spans="1:9" ht="15" customHeight="1" x14ac:dyDescent="0.25">
      <c r="A46" t="s">
        <v>152</v>
      </c>
      <c r="B46">
        <v>1</v>
      </c>
      <c r="C46" t="s">
        <v>153</v>
      </c>
      <c r="D46" t="s">
        <v>106</v>
      </c>
      <c r="E46" t="s">
        <v>146</v>
      </c>
      <c r="F46" s="2">
        <v>6.27</v>
      </c>
      <c r="G46" s="3">
        <f>IFERROR(VLOOKUP(D46,'Справочник материалов'!$A:$C,3,FALSE()),0)</f>
        <v>1100</v>
      </c>
      <c r="H46" s="3">
        <f t="shared" si="2"/>
        <v>6896.9999999999991</v>
      </c>
      <c r="I46" t="str">
        <f t="shared" si="3"/>
        <v>Да</v>
      </c>
    </row>
    <row r="47" spans="1:9" ht="15" customHeight="1" x14ac:dyDescent="0.25">
      <c r="A47" t="s">
        <v>152</v>
      </c>
      <c r="B47">
        <v>2</v>
      </c>
      <c r="C47" t="s">
        <v>153</v>
      </c>
      <c r="D47" t="s">
        <v>106</v>
      </c>
      <c r="E47" t="s">
        <v>146</v>
      </c>
      <c r="F47" s="2">
        <v>7.4470000000000001</v>
      </c>
      <c r="G47" s="3">
        <f>IFERROR(VLOOKUP(D47,'Справочник материалов'!$A:$C,3,FALSE()),0)</f>
        <v>1100</v>
      </c>
      <c r="H47" s="3">
        <f t="shared" si="2"/>
        <v>8191.7</v>
      </c>
      <c r="I47" t="str">
        <f t="shared" si="3"/>
        <v>Да</v>
      </c>
    </row>
    <row r="48" spans="1:9" ht="15" customHeight="1" x14ac:dyDescent="0.25">
      <c r="A48" t="s">
        <v>152</v>
      </c>
      <c r="B48">
        <v>3</v>
      </c>
      <c r="C48" t="s">
        <v>153</v>
      </c>
      <c r="D48" t="s">
        <v>106</v>
      </c>
      <c r="E48" t="s">
        <v>146</v>
      </c>
      <c r="F48" s="2">
        <v>4.1139999999999999</v>
      </c>
      <c r="G48" s="3">
        <f>IFERROR(VLOOKUP(D48,'Справочник материалов'!$A:$C,3,FALSE()),0)</f>
        <v>1100</v>
      </c>
      <c r="H48" s="3">
        <f t="shared" si="2"/>
        <v>4525.3999999999996</v>
      </c>
      <c r="I48" t="str">
        <f t="shared" si="3"/>
        <v>Да</v>
      </c>
    </row>
    <row r="49" spans="1:9" ht="15" customHeight="1" x14ac:dyDescent="0.25">
      <c r="A49" t="s">
        <v>152</v>
      </c>
      <c r="B49">
        <v>4</v>
      </c>
      <c r="C49" t="s">
        <v>153</v>
      </c>
      <c r="D49" t="s">
        <v>106</v>
      </c>
      <c r="E49" t="s">
        <v>146</v>
      </c>
      <c r="F49" s="2">
        <v>6.05</v>
      </c>
      <c r="G49" s="3">
        <f>IFERROR(VLOOKUP(D49,'Справочник материалов'!$A:$C,3,FALSE()),0)</f>
        <v>1100</v>
      </c>
      <c r="H49" s="3">
        <f t="shared" si="2"/>
        <v>6655</v>
      </c>
      <c r="I49" t="str">
        <f t="shared" si="3"/>
        <v>Да</v>
      </c>
    </row>
    <row r="50" spans="1:9" ht="15" customHeight="1" x14ac:dyDescent="0.25">
      <c r="A50" t="s">
        <v>152</v>
      </c>
      <c r="B50">
        <v>5</v>
      </c>
      <c r="C50" t="s">
        <v>153</v>
      </c>
      <c r="D50" t="s">
        <v>106</v>
      </c>
      <c r="E50" t="s">
        <v>146</v>
      </c>
      <c r="F50" s="2">
        <v>2.75</v>
      </c>
      <c r="G50" s="3">
        <f>IFERROR(VLOOKUP(D50,'Справочник материалов'!$A:$C,3,FALSE()),0)</f>
        <v>1100</v>
      </c>
      <c r="H50" s="3">
        <f t="shared" si="2"/>
        <v>3025</v>
      </c>
      <c r="I50" t="str">
        <f t="shared" si="3"/>
        <v>Да</v>
      </c>
    </row>
    <row r="51" spans="1:9" ht="15" customHeight="1" x14ac:dyDescent="0.25">
      <c r="A51" t="s">
        <v>152</v>
      </c>
      <c r="B51">
        <v>6</v>
      </c>
      <c r="C51" t="s">
        <v>153</v>
      </c>
      <c r="D51" t="s">
        <v>106</v>
      </c>
      <c r="E51" t="s">
        <v>146</v>
      </c>
      <c r="F51" s="2">
        <v>1.54</v>
      </c>
      <c r="G51" s="3">
        <f>IFERROR(VLOOKUP(D51,'Справочник материалов'!$A:$C,3,FALSE()),0)</f>
        <v>1100</v>
      </c>
      <c r="H51" s="3">
        <f t="shared" si="2"/>
        <v>1694</v>
      </c>
      <c r="I51" t="str">
        <f t="shared" si="3"/>
        <v>Да</v>
      </c>
    </row>
    <row r="52" spans="1:9" ht="15" customHeight="1" x14ac:dyDescent="0.25">
      <c r="A52" t="s">
        <v>152</v>
      </c>
      <c r="B52">
        <v>7</v>
      </c>
      <c r="C52" t="s">
        <v>153</v>
      </c>
      <c r="D52" t="s">
        <v>106</v>
      </c>
      <c r="E52" t="s">
        <v>146</v>
      </c>
      <c r="F52" s="2">
        <v>10.263</v>
      </c>
      <c r="G52" s="3">
        <f>IFERROR(VLOOKUP(D52,'Справочник материалов'!$A:$C,3,FALSE()),0)</f>
        <v>1100</v>
      </c>
      <c r="H52" s="3">
        <f t="shared" si="2"/>
        <v>11289.3</v>
      </c>
      <c r="I52" t="str">
        <f t="shared" si="3"/>
        <v>Да</v>
      </c>
    </row>
    <row r="53" spans="1:9" ht="15" customHeight="1" x14ac:dyDescent="0.25">
      <c r="A53" t="s">
        <v>152</v>
      </c>
      <c r="B53">
        <v>1</v>
      </c>
      <c r="C53" t="s">
        <v>154</v>
      </c>
      <c r="D53" t="s">
        <v>109</v>
      </c>
      <c r="E53" t="s">
        <v>146</v>
      </c>
      <c r="F53" s="2">
        <v>28.5</v>
      </c>
      <c r="G53" s="3">
        <f>IFERROR(VLOOKUP(D53,'Справочник материалов'!$A:$C,3,FALSE()),0)</f>
        <v>6200</v>
      </c>
      <c r="H53" s="3">
        <f t="shared" si="2"/>
        <v>176700</v>
      </c>
      <c r="I53" t="str">
        <f t="shared" si="3"/>
        <v>Да</v>
      </c>
    </row>
    <row r="54" spans="1:9" ht="15" customHeight="1" x14ac:dyDescent="0.25">
      <c r="A54" t="s">
        <v>152</v>
      </c>
      <c r="B54">
        <v>2</v>
      </c>
      <c r="C54" t="s">
        <v>154</v>
      </c>
      <c r="D54" t="s">
        <v>109</v>
      </c>
      <c r="E54" t="s">
        <v>146</v>
      </c>
      <c r="F54" s="2">
        <v>33.85</v>
      </c>
      <c r="G54" s="3">
        <f>IFERROR(VLOOKUP(D54,'Справочник материалов'!$A:$C,3,FALSE()),0)</f>
        <v>6200</v>
      </c>
      <c r="H54" s="3">
        <f t="shared" si="2"/>
        <v>209870</v>
      </c>
      <c r="I54" t="str">
        <f t="shared" si="3"/>
        <v>Да</v>
      </c>
    </row>
    <row r="55" spans="1:9" ht="15" customHeight="1" x14ac:dyDescent="0.25">
      <c r="A55" t="s">
        <v>152</v>
      </c>
      <c r="B55">
        <v>3</v>
      </c>
      <c r="C55" t="s">
        <v>154</v>
      </c>
      <c r="D55" t="s">
        <v>109</v>
      </c>
      <c r="E55" t="s">
        <v>146</v>
      </c>
      <c r="F55" s="2">
        <v>18.7</v>
      </c>
      <c r="G55" s="3">
        <f>IFERROR(VLOOKUP(D55,'Справочник материалов'!$A:$C,3,FALSE()),0)</f>
        <v>6200</v>
      </c>
      <c r="H55" s="3">
        <f t="shared" si="2"/>
        <v>115940</v>
      </c>
      <c r="I55" t="str">
        <f t="shared" si="3"/>
        <v>Да</v>
      </c>
    </row>
    <row r="56" spans="1:9" ht="15" customHeight="1" x14ac:dyDescent="0.25">
      <c r="A56" t="s">
        <v>152</v>
      </c>
      <c r="B56">
        <v>4</v>
      </c>
      <c r="C56" t="s">
        <v>154</v>
      </c>
      <c r="D56" t="s">
        <v>109</v>
      </c>
      <c r="E56" t="s">
        <v>146</v>
      </c>
      <c r="F56" s="2">
        <v>27.5</v>
      </c>
      <c r="G56" s="3">
        <f>IFERROR(VLOOKUP(D56,'Справочник материалов'!$A:$C,3,FALSE()),0)</f>
        <v>6200</v>
      </c>
      <c r="H56" s="3">
        <f t="shared" si="2"/>
        <v>170500</v>
      </c>
      <c r="I56" t="str">
        <f t="shared" si="3"/>
        <v>Да</v>
      </c>
    </row>
    <row r="57" spans="1:9" ht="15" customHeight="1" x14ac:dyDescent="0.25">
      <c r="A57" t="s">
        <v>152</v>
      </c>
      <c r="B57">
        <v>5</v>
      </c>
      <c r="C57" t="s">
        <v>154</v>
      </c>
      <c r="D57" t="s">
        <v>109</v>
      </c>
      <c r="E57" t="s">
        <v>146</v>
      </c>
      <c r="F57" s="2">
        <v>12.5</v>
      </c>
      <c r="G57" s="3">
        <f>IFERROR(VLOOKUP(D57,'Справочник материалов'!$A:$C,3,FALSE()),0)</f>
        <v>6200</v>
      </c>
      <c r="H57" s="3">
        <f t="shared" si="2"/>
        <v>77500</v>
      </c>
      <c r="I57" t="str">
        <f t="shared" si="3"/>
        <v>Да</v>
      </c>
    </row>
    <row r="58" spans="1:9" ht="15" customHeight="1" x14ac:dyDescent="0.25">
      <c r="A58" t="s">
        <v>152</v>
      </c>
      <c r="B58">
        <v>6</v>
      </c>
      <c r="C58" t="s">
        <v>154</v>
      </c>
      <c r="D58" t="s">
        <v>109</v>
      </c>
      <c r="E58" t="s">
        <v>146</v>
      </c>
      <c r="F58" s="2">
        <v>7</v>
      </c>
      <c r="G58" s="3">
        <f>IFERROR(VLOOKUP(D58,'Справочник материалов'!$A:$C,3,FALSE()),0)</f>
        <v>6200</v>
      </c>
      <c r="H58" s="3">
        <f t="shared" si="2"/>
        <v>43400</v>
      </c>
      <c r="I58" t="str">
        <f t="shared" si="3"/>
        <v>Да</v>
      </c>
    </row>
    <row r="59" spans="1:9" ht="15" customHeight="1" x14ac:dyDescent="0.25">
      <c r="A59" t="s">
        <v>152</v>
      </c>
      <c r="B59">
        <v>7</v>
      </c>
      <c r="C59" t="s">
        <v>154</v>
      </c>
      <c r="D59" t="s">
        <v>109</v>
      </c>
      <c r="E59" t="s">
        <v>146</v>
      </c>
      <c r="F59" s="2">
        <v>46.65</v>
      </c>
      <c r="G59" s="3">
        <f>IFERROR(VLOOKUP(D59,'Справочник материалов'!$A:$C,3,FALSE()),0)</f>
        <v>6200</v>
      </c>
      <c r="H59" s="3">
        <f t="shared" si="2"/>
        <v>289230</v>
      </c>
      <c r="I59" t="str">
        <f t="shared" si="3"/>
        <v>Да</v>
      </c>
    </row>
    <row r="60" spans="1:9" ht="15" customHeight="1" x14ac:dyDescent="0.25">
      <c r="A60" t="s">
        <v>152</v>
      </c>
      <c r="B60">
        <v>1</v>
      </c>
      <c r="C60" t="s">
        <v>155</v>
      </c>
      <c r="D60" t="s">
        <v>111</v>
      </c>
      <c r="E60" t="s">
        <v>112</v>
      </c>
      <c r="F60" s="2">
        <v>1710</v>
      </c>
      <c r="G60" s="3">
        <f>IFERROR(VLOOKUP(D60,'Справочник материалов'!$A:$C,3,FALSE()),0)</f>
        <v>181.79</v>
      </c>
      <c r="H60" s="3">
        <f t="shared" si="2"/>
        <v>310860.89999999997</v>
      </c>
      <c r="I60" t="str">
        <f t="shared" si="3"/>
        <v>Да</v>
      </c>
    </row>
    <row r="61" spans="1:9" ht="15" customHeight="1" x14ac:dyDescent="0.25">
      <c r="A61" t="s">
        <v>152</v>
      </c>
      <c r="B61">
        <v>2</v>
      </c>
      <c r="C61" t="s">
        <v>155</v>
      </c>
      <c r="D61" t="s">
        <v>111</v>
      </c>
      <c r="E61" t="s">
        <v>112</v>
      </c>
      <c r="F61" s="2">
        <v>2031</v>
      </c>
      <c r="G61" s="3">
        <f>IFERROR(VLOOKUP(D61,'Справочник материалов'!$A:$C,3,FALSE()),0)</f>
        <v>181.79</v>
      </c>
      <c r="H61" s="3">
        <f t="shared" si="2"/>
        <v>369215.49</v>
      </c>
      <c r="I61" t="str">
        <f t="shared" si="3"/>
        <v>Да</v>
      </c>
    </row>
    <row r="62" spans="1:9" ht="15" customHeight="1" x14ac:dyDescent="0.25">
      <c r="A62" t="s">
        <v>152</v>
      </c>
      <c r="B62">
        <v>3</v>
      </c>
      <c r="C62" t="s">
        <v>155</v>
      </c>
      <c r="D62" t="s">
        <v>111</v>
      </c>
      <c r="E62" t="s">
        <v>112</v>
      </c>
      <c r="F62" s="2">
        <v>1122</v>
      </c>
      <c r="G62" s="3">
        <f>IFERROR(VLOOKUP(D62,'Справочник материалов'!$A:$C,3,FALSE()),0)</f>
        <v>181.79</v>
      </c>
      <c r="H62" s="3">
        <f t="shared" si="2"/>
        <v>203968.38</v>
      </c>
      <c r="I62" t="str">
        <f t="shared" si="3"/>
        <v>Да</v>
      </c>
    </row>
    <row r="63" spans="1:9" ht="15" customHeight="1" x14ac:dyDescent="0.25">
      <c r="A63" t="s">
        <v>152</v>
      </c>
      <c r="B63">
        <v>4</v>
      </c>
      <c r="C63" t="s">
        <v>155</v>
      </c>
      <c r="D63" t="s">
        <v>111</v>
      </c>
      <c r="E63" t="s">
        <v>112</v>
      </c>
      <c r="F63" s="2">
        <v>1650</v>
      </c>
      <c r="G63" s="3">
        <f>IFERROR(VLOOKUP(D63,'Справочник материалов'!$A:$C,3,FALSE()),0)</f>
        <v>181.79</v>
      </c>
      <c r="H63" s="3">
        <f t="shared" si="2"/>
        <v>299953.5</v>
      </c>
      <c r="I63" t="str">
        <f t="shared" si="3"/>
        <v>Да</v>
      </c>
    </row>
    <row r="64" spans="1:9" ht="15" customHeight="1" x14ac:dyDescent="0.25">
      <c r="A64" t="s">
        <v>152</v>
      </c>
      <c r="B64">
        <v>5</v>
      </c>
      <c r="C64" t="s">
        <v>155</v>
      </c>
      <c r="D64" t="s">
        <v>111</v>
      </c>
      <c r="E64" t="s">
        <v>112</v>
      </c>
      <c r="F64" s="2">
        <v>750</v>
      </c>
      <c r="G64" s="3">
        <f>IFERROR(VLOOKUP(D64,'Справочник материалов'!$A:$C,3,FALSE()),0)</f>
        <v>181.79</v>
      </c>
      <c r="H64" s="3">
        <f t="shared" si="2"/>
        <v>136342.5</v>
      </c>
      <c r="I64" t="str">
        <f t="shared" si="3"/>
        <v>Да</v>
      </c>
    </row>
    <row r="65" spans="1:9" ht="15" customHeight="1" x14ac:dyDescent="0.25">
      <c r="A65" t="s">
        <v>152</v>
      </c>
      <c r="B65">
        <v>6</v>
      </c>
      <c r="C65" t="s">
        <v>155</v>
      </c>
      <c r="D65" t="s">
        <v>111</v>
      </c>
      <c r="E65" t="s">
        <v>112</v>
      </c>
      <c r="F65" s="2">
        <v>420</v>
      </c>
      <c r="G65" s="3">
        <f>IFERROR(VLOOKUP(D65,'Справочник материалов'!$A:$C,3,FALSE()),0)</f>
        <v>181.79</v>
      </c>
      <c r="H65" s="3">
        <f t="shared" si="2"/>
        <v>76351.8</v>
      </c>
      <c r="I65" t="str">
        <f t="shared" si="3"/>
        <v>Да</v>
      </c>
    </row>
    <row r="66" spans="1:9" ht="15" customHeight="1" x14ac:dyDescent="0.25">
      <c r="A66" t="s">
        <v>152</v>
      </c>
      <c r="B66">
        <v>7</v>
      </c>
      <c r="C66" t="s">
        <v>155</v>
      </c>
      <c r="D66" t="s">
        <v>111</v>
      </c>
      <c r="E66" t="s">
        <v>112</v>
      </c>
      <c r="F66" s="2">
        <v>2799</v>
      </c>
      <c r="G66" s="3">
        <f>IFERROR(VLOOKUP(D66,'Справочник материалов'!$A:$C,3,FALSE()),0)</f>
        <v>181.79</v>
      </c>
      <c r="H66" s="3">
        <f t="shared" ref="H66:H97" si="4">F66*G66</f>
        <v>508830.20999999996</v>
      </c>
      <c r="I66" t="str">
        <f t="shared" ref="I66:I97" si="5">IF(G66&gt;0,"Да","Нет")</f>
        <v>Да</v>
      </c>
    </row>
    <row r="67" spans="1:9" ht="15" customHeight="1" x14ac:dyDescent="0.25">
      <c r="A67" t="s">
        <v>152</v>
      </c>
      <c r="B67">
        <v>1</v>
      </c>
      <c r="C67" t="s">
        <v>156</v>
      </c>
      <c r="D67" t="s">
        <v>113</v>
      </c>
      <c r="E67" t="s">
        <v>112</v>
      </c>
      <c r="F67" s="2">
        <v>6492.3</v>
      </c>
      <c r="G67" s="3">
        <f>IFERROR(VLOOKUP(D67,'Справочник материалов'!$A:$C,3,FALSE()),0)</f>
        <v>55.62</v>
      </c>
      <c r="H67" s="3">
        <f t="shared" si="4"/>
        <v>361101.72599999997</v>
      </c>
      <c r="I67" t="str">
        <f t="shared" si="5"/>
        <v>Да</v>
      </c>
    </row>
    <row r="68" spans="1:9" ht="15" customHeight="1" x14ac:dyDescent="0.25">
      <c r="A68" t="s">
        <v>152</v>
      </c>
      <c r="B68">
        <v>2</v>
      </c>
      <c r="C68" t="s">
        <v>156</v>
      </c>
      <c r="D68" t="s">
        <v>113</v>
      </c>
      <c r="E68" t="s">
        <v>112</v>
      </c>
      <c r="F68" s="2">
        <v>7711.03</v>
      </c>
      <c r="G68" s="3">
        <f>IFERROR(VLOOKUP(D68,'Справочник материалов'!$A:$C,3,FALSE()),0)</f>
        <v>55.62</v>
      </c>
      <c r="H68" s="3">
        <f t="shared" si="4"/>
        <v>428887.48859999998</v>
      </c>
      <c r="I68" t="str">
        <f t="shared" si="5"/>
        <v>Да</v>
      </c>
    </row>
    <row r="69" spans="1:9" ht="15" customHeight="1" x14ac:dyDescent="0.25">
      <c r="A69" t="s">
        <v>152</v>
      </c>
      <c r="B69">
        <v>3</v>
      </c>
      <c r="C69" t="s">
        <v>156</v>
      </c>
      <c r="D69" t="s">
        <v>113</v>
      </c>
      <c r="E69" t="s">
        <v>112</v>
      </c>
      <c r="F69" s="2">
        <v>4259.8599999999997</v>
      </c>
      <c r="G69" s="3">
        <f>IFERROR(VLOOKUP(D69,'Справочник материалов'!$A:$C,3,FALSE()),0)</f>
        <v>55.62</v>
      </c>
      <c r="H69" s="3">
        <f t="shared" si="4"/>
        <v>236933.41319999998</v>
      </c>
      <c r="I69" t="str">
        <f t="shared" si="5"/>
        <v>Да</v>
      </c>
    </row>
    <row r="70" spans="1:9" ht="15" customHeight="1" x14ac:dyDescent="0.25">
      <c r="A70" t="s">
        <v>152</v>
      </c>
      <c r="B70">
        <v>4</v>
      </c>
      <c r="C70" t="s">
        <v>156</v>
      </c>
      <c r="D70" t="s">
        <v>113</v>
      </c>
      <c r="E70" t="s">
        <v>112</v>
      </c>
      <c r="F70" s="2">
        <v>6264.5</v>
      </c>
      <c r="G70" s="3">
        <f>IFERROR(VLOOKUP(D70,'Справочник материалов'!$A:$C,3,FALSE()),0)</f>
        <v>55.62</v>
      </c>
      <c r="H70" s="3">
        <f t="shared" si="4"/>
        <v>348431.49</v>
      </c>
      <c r="I70" t="str">
        <f t="shared" si="5"/>
        <v>Да</v>
      </c>
    </row>
    <row r="71" spans="1:9" ht="15" customHeight="1" x14ac:dyDescent="0.25">
      <c r="A71" t="s">
        <v>152</v>
      </c>
      <c r="B71">
        <v>5</v>
      </c>
      <c r="C71" t="s">
        <v>156</v>
      </c>
      <c r="D71" t="s">
        <v>113</v>
      </c>
      <c r="E71" t="s">
        <v>112</v>
      </c>
      <c r="F71" s="2">
        <v>2847.5</v>
      </c>
      <c r="G71" s="3">
        <f>IFERROR(VLOOKUP(D71,'Справочник материалов'!$A:$C,3,FALSE()),0)</f>
        <v>55.62</v>
      </c>
      <c r="H71" s="3">
        <f t="shared" si="4"/>
        <v>158377.94999999998</v>
      </c>
      <c r="I71" t="str">
        <f t="shared" si="5"/>
        <v>Да</v>
      </c>
    </row>
    <row r="72" spans="1:9" ht="15" customHeight="1" x14ac:dyDescent="0.25">
      <c r="A72" t="s">
        <v>152</v>
      </c>
      <c r="B72">
        <v>6</v>
      </c>
      <c r="C72" t="s">
        <v>156</v>
      </c>
      <c r="D72" t="s">
        <v>113</v>
      </c>
      <c r="E72" t="s">
        <v>112</v>
      </c>
      <c r="F72" s="2">
        <v>1594.6</v>
      </c>
      <c r="G72" s="3">
        <f>IFERROR(VLOOKUP(D72,'Справочник материалов'!$A:$C,3,FALSE()),0)</f>
        <v>55.62</v>
      </c>
      <c r="H72" s="3">
        <f t="shared" si="4"/>
        <v>88691.651999999987</v>
      </c>
      <c r="I72" t="str">
        <f t="shared" si="5"/>
        <v>Да</v>
      </c>
    </row>
    <row r="73" spans="1:9" ht="15" customHeight="1" x14ac:dyDescent="0.25">
      <c r="A73" t="s">
        <v>152</v>
      </c>
      <c r="B73">
        <v>7</v>
      </c>
      <c r="C73" t="s">
        <v>156</v>
      </c>
      <c r="D73" t="s">
        <v>113</v>
      </c>
      <c r="E73" t="s">
        <v>112</v>
      </c>
      <c r="F73" s="2">
        <v>10626.87</v>
      </c>
      <c r="G73" s="3">
        <f>IFERROR(VLOOKUP(D73,'Справочник материалов'!$A:$C,3,FALSE()),0)</f>
        <v>55.62</v>
      </c>
      <c r="H73" s="3">
        <f t="shared" si="4"/>
        <v>591066.50939999998</v>
      </c>
      <c r="I73" t="str">
        <f t="shared" si="5"/>
        <v>Да</v>
      </c>
    </row>
    <row r="74" spans="1:9" ht="15" customHeight="1" x14ac:dyDescent="0.25">
      <c r="A74" t="s">
        <v>152</v>
      </c>
      <c r="B74">
        <v>1</v>
      </c>
      <c r="C74" t="s">
        <v>157</v>
      </c>
      <c r="D74" t="s">
        <v>114</v>
      </c>
      <c r="E74" t="s">
        <v>112</v>
      </c>
      <c r="F74" s="2">
        <v>946.2</v>
      </c>
      <c r="G74" s="3">
        <f>IFERROR(VLOOKUP(D74,'Справочник материалов'!$A:$C,3,FALSE()),0)</f>
        <v>61.8</v>
      </c>
      <c r="H74" s="3">
        <f t="shared" si="4"/>
        <v>58475.16</v>
      </c>
      <c r="I74" t="str">
        <f t="shared" si="5"/>
        <v>Да</v>
      </c>
    </row>
    <row r="75" spans="1:9" ht="15" customHeight="1" x14ac:dyDescent="0.25">
      <c r="A75" t="s">
        <v>152</v>
      </c>
      <c r="B75">
        <v>2</v>
      </c>
      <c r="C75" t="s">
        <v>157</v>
      </c>
      <c r="D75" t="s">
        <v>114</v>
      </c>
      <c r="E75" t="s">
        <v>112</v>
      </c>
      <c r="F75" s="2">
        <v>1123.82</v>
      </c>
      <c r="G75" s="3">
        <f>IFERROR(VLOOKUP(D75,'Справочник материалов'!$A:$C,3,FALSE()),0)</f>
        <v>61.8</v>
      </c>
      <c r="H75" s="3">
        <f t="shared" si="4"/>
        <v>69452.075999999986</v>
      </c>
      <c r="I75" t="str">
        <f t="shared" si="5"/>
        <v>Да</v>
      </c>
    </row>
    <row r="76" spans="1:9" ht="15" customHeight="1" x14ac:dyDescent="0.25">
      <c r="A76" t="s">
        <v>152</v>
      </c>
      <c r="B76">
        <v>3</v>
      </c>
      <c r="C76" t="s">
        <v>157</v>
      </c>
      <c r="D76" t="s">
        <v>114</v>
      </c>
      <c r="E76" t="s">
        <v>112</v>
      </c>
      <c r="F76" s="2">
        <v>620.84</v>
      </c>
      <c r="G76" s="3">
        <f>IFERROR(VLOOKUP(D76,'Справочник материалов'!$A:$C,3,FALSE()),0)</f>
        <v>61.8</v>
      </c>
      <c r="H76" s="3">
        <f t="shared" si="4"/>
        <v>38367.911999999997</v>
      </c>
      <c r="I76" t="str">
        <f t="shared" si="5"/>
        <v>Да</v>
      </c>
    </row>
    <row r="77" spans="1:9" ht="15" customHeight="1" x14ac:dyDescent="0.25">
      <c r="A77" t="s">
        <v>152</v>
      </c>
      <c r="B77">
        <v>4</v>
      </c>
      <c r="C77" t="s">
        <v>157</v>
      </c>
      <c r="D77" t="s">
        <v>114</v>
      </c>
      <c r="E77" t="s">
        <v>112</v>
      </c>
      <c r="F77" s="2">
        <v>913</v>
      </c>
      <c r="G77" s="3">
        <f>IFERROR(VLOOKUP(D77,'Справочник материалов'!$A:$C,3,FALSE()),0)</f>
        <v>61.8</v>
      </c>
      <c r="H77" s="3">
        <f t="shared" si="4"/>
        <v>56423.399999999994</v>
      </c>
      <c r="I77" t="str">
        <f t="shared" si="5"/>
        <v>Да</v>
      </c>
    </row>
    <row r="78" spans="1:9" ht="15" customHeight="1" x14ac:dyDescent="0.25">
      <c r="A78" t="s">
        <v>152</v>
      </c>
      <c r="B78">
        <v>5</v>
      </c>
      <c r="C78" t="s">
        <v>157</v>
      </c>
      <c r="D78" t="s">
        <v>114</v>
      </c>
      <c r="E78" t="s">
        <v>112</v>
      </c>
      <c r="F78" s="2">
        <v>415</v>
      </c>
      <c r="G78" s="3">
        <f>IFERROR(VLOOKUP(D78,'Справочник материалов'!$A:$C,3,FALSE()),0)</f>
        <v>61.8</v>
      </c>
      <c r="H78" s="3">
        <f t="shared" si="4"/>
        <v>25647</v>
      </c>
      <c r="I78" t="str">
        <f t="shared" si="5"/>
        <v>Да</v>
      </c>
    </row>
    <row r="79" spans="1:9" ht="15" customHeight="1" x14ac:dyDescent="0.25">
      <c r="A79" t="s">
        <v>152</v>
      </c>
      <c r="B79">
        <v>6</v>
      </c>
      <c r="C79" t="s">
        <v>157</v>
      </c>
      <c r="D79" t="s">
        <v>114</v>
      </c>
      <c r="E79" t="s">
        <v>112</v>
      </c>
      <c r="F79" s="2">
        <v>232.4</v>
      </c>
      <c r="G79" s="3">
        <f>IFERROR(VLOOKUP(D79,'Справочник материалов'!$A:$C,3,FALSE()),0)</f>
        <v>61.8</v>
      </c>
      <c r="H79" s="3">
        <f t="shared" si="4"/>
        <v>14362.32</v>
      </c>
      <c r="I79" t="str">
        <f t="shared" si="5"/>
        <v>Да</v>
      </c>
    </row>
    <row r="80" spans="1:9" ht="15" customHeight="1" x14ac:dyDescent="0.25">
      <c r="A80" t="s">
        <v>152</v>
      </c>
      <c r="B80">
        <v>7</v>
      </c>
      <c r="C80" t="s">
        <v>157</v>
      </c>
      <c r="D80" t="s">
        <v>114</v>
      </c>
      <c r="E80" t="s">
        <v>112</v>
      </c>
      <c r="F80" s="2">
        <v>1548.78</v>
      </c>
      <c r="G80" s="3">
        <f>IFERROR(VLOOKUP(D80,'Справочник материалов'!$A:$C,3,FALSE()),0)</f>
        <v>61.8</v>
      </c>
      <c r="H80" s="3">
        <f t="shared" si="4"/>
        <v>95714.603999999992</v>
      </c>
      <c r="I80" t="str">
        <f t="shared" si="5"/>
        <v>Да</v>
      </c>
    </row>
    <row r="81" spans="1:9" ht="15" customHeight="1" x14ac:dyDescent="0.25">
      <c r="A81" t="s">
        <v>152</v>
      </c>
      <c r="B81">
        <v>1</v>
      </c>
      <c r="C81" t="s">
        <v>158</v>
      </c>
      <c r="D81" t="s">
        <v>110</v>
      </c>
      <c r="E81" t="s">
        <v>146</v>
      </c>
      <c r="F81" s="2">
        <v>171</v>
      </c>
      <c r="G81" s="3">
        <f>IFERROR(VLOOKUP(D81,'Справочник материалов'!$A:$C,3,FALSE()),0)</f>
        <v>7300</v>
      </c>
      <c r="H81" s="3">
        <f t="shared" si="4"/>
        <v>1248300</v>
      </c>
      <c r="I81" t="str">
        <f t="shared" si="5"/>
        <v>Да</v>
      </c>
    </row>
    <row r="82" spans="1:9" ht="15" customHeight="1" x14ac:dyDescent="0.25">
      <c r="A82" t="s">
        <v>152</v>
      </c>
      <c r="B82">
        <v>2</v>
      </c>
      <c r="C82" t="s">
        <v>158</v>
      </c>
      <c r="D82" t="s">
        <v>110</v>
      </c>
      <c r="E82" t="s">
        <v>146</v>
      </c>
      <c r="F82" s="2">
        <v>203.1</v>
      </c>
      <c r="G82" s="3">
        <f>IFERROR(VLOOKUP(D82,'Справочник материалов'!$A:$C,3,FALSE()),0)</f>
        <v>7300</v>
      </c>
      <c r="H82" s="3">
        <f t="shared" si="4"/>
        <v>1482630</v>
      </c>
      <c r="I82" t="str">
        <f t="shared" si="5"/>
        <v>Да</v>
      </c>
    </row>
    <row r="83" spans="1:9" ht="15" customHeight="1" x14ac:dyDescent="0.25">
      <c r="A83" t="s">
        <v>152</v>
      </c>
      <c r="B83">
        <v>3</v>
      </c>
      <c r="C83" t="s">
        <v>158</v>
      </c>
      <c r="D83" t="s">
        <v>110</v>
      </c>
      <c r="E83" t="s">
        <v>146</v>
      </c>
      <c r="F83" s="2">
        <v>112.2</v>
      </c>
      <c r="G83" s="3">
        <f>IFERROR(VLOOKUP(D83,'Справочник материалов'!$A:$C,3,FALSE()),0)</f>
        <v>7300</v>
      </c>
      <c r="H83" s="3">
        <f t="shared" si="4"/>
        <v>819060</v>
      </c>
      <c r="I83" t="str">
        <f t="shared" si="5"/>
        <v>Да</v>
      </c>
    </row>
    <row r="84" spans="1:9" ht="15" customHeight="1" x14ac:dyDescent="0.25">
      <c r="A84" t="s">
        <v>152</v>
      </c>
      <c r="B84">
        <v>4</v>
      </c>
      <c r="C84" t="s">
        <v>158</v>
      </c>
      <c r="D84" t="s">
        <v>110</v>
      </c>
      <c r="E84" t="s">
        <v>146</v>
      </c>
      <c r="F84" s="2">
        <v>165</v>
      </c>
      <c r="G84" s="3">
        <f>IFERROR(VLOOKUP(D84,'Справочник материалов'!$A:$C,3,FALSE()),0)</f>
        <v>7300</v>
      </c>
      <c r="H84" s="3">
        <f t="shared" si="4"/>
        <v>1204500</v>
      </c>
      <c r="I84" t="str">
        <f t="shared" si="5"/>
        <v>Да</v>
      </c>
    </row>
    <row r="85" spans="1:9" ht="15" customHeight="1" x14ac:dyDescent="0.25">
      <c r="A85" t="s">
        <v>152</v>
      </c>
      <c r="B85">
        <v>5</v>
      </c>
      <c r="C85" t="s">
        <v>158</v>
      </c>
      <c r="D85" t="s">
        <v>110</v>
      </c>
      <c r="E85" t="s">
        <v>146</v>
      </c>
      <c r="F85" s="2">
        <v>75</v>
      </c>
      <c r="G85" s="3">
        <f>IFERROR(VLOOKUP(D85,'Справочник материалов'!$A:$C,3,FALSE()),0)</f>
        <v>7300</v>
      </c>
      <c r="H85" s="3">
        <f t="shared" si="4"/>
        <v>547500</v>
      </c>
      <c r="I85" t="str">
        <f t="shared" si="5"/>
        <v>Да</v>
      </c>
    </row>
    <row r="86" spans="1:9" ht="15" customHeight="1" x14ac:dyDescent="0.25">
      <c r="A86" t="s">
        <v>152</v>
      </c>
      <c r="B86">
        <v>6</v>
      </c>
      <c r="C86" t="s">
        <v>158</v>
      </c>
      <c r="D86" t="s">
        <v>110</v>
      </c>
      <c r="E86" t="s">
        <v>146</v>
      </c>
      <c r="F86" s="2">
        <v>42</v>
      </c>
      <c r="G86" s="3">
        <f>IFERROR(VLOOKUP(D86,'Справочник материалов'!$A:$C,3,FALSE()),0)</f>
        <v>7300</v>
      </c>
      <c r="H86" s="3">
        <f t="shared" si="4"/>
        <v>306600</v>
      </c>
      <c r="I86" t="str">
        <f t="shared" si="5"/>
        <v>Да</v>
      </c>
    </row>
    <row r="87" spans="1:9" ht="15" customHeight="1" x14ac:dyDescent="0.25">
      <c r="A87" t="s">
        <v>152</v>
      </c>
      <c r="B87">
        <v>7</v>
      </c>
      <c r="C87" t="s">
        <v>158</v>
      </c>
      <c r="D87" t="s">
        <v>110</v>
      </c>
      <c r="E87" t="s">
        <v>146</v>
      </c>
      <c r="F87" s="2">
        <v>279.89999999999998</v>
      </c>
      <c r="G87" s="3">
        <f>IFERROR(VLOOKUP(D87,'Справочник материалов'!$A:$C,3,FALSE()),0)</f>
        <v>7300</v>
      </c>
      <c r="H87" s="3">
        <f t="shared" si="4"/>
        <v>2043269.9999999998</v>
      </c>
      <c r="I87" t="str">
        <f t="shared" si="5"/>
        <v>Да</v>
      </c>
    </row>
    <row r="88" spans="1:9" ht="15" customHeight="1" x14ac:dyDescent="0.25">
      <c r="A88" t="s">
        <v>152</v>
      </c>
      <c r="B88">
        <v>1</v>
      </c>
      <c r="C88" t="s">
        <v>159</v>
      </c>
      <c r="D88" t="s">
        <v>160</v>
      </c>
      <c r="E88" t="s">
        <v>112</v>
      </c>
      <c r="F88" s="2">
        <v>2280</v>
      </c>
      <c r="G88" s="3">
        <f>IFERROR(VLOOKUP(D88,'Справочник материалов'!$A:$C,3,FALSE()),0)</f>
        <v>0</v>
      </c>
      <c r="H88" s="3">
        <f t="shared" si="4"/>
        <v>0</v>
      </c>
      <c r="I88" t="str">
        <f t="shared" si="5"/>
        <v>Нет</v>
      </c>
    </row>
    <row r="89" spans="1:9" ht="15" customHeight="1" x14ac:dyDescent="0.25">
      <c r="A89" t="s">
        <v>152</v>
      </c>
      <c r="B89">
        <v>2</v>
      </c>
      <c r="C89" t="s">
        <v>159</v>
      </c>
      <c r="D89" t="s">
        <v>160</v>
      </c>
      <c r="E89" t="s">
        <v>112</v>
      </c>
      <c r="F89" s="2">
        <v>2708</v>
      </c>
      <c r="G89" s="3">
        <f>IFERROR(VLOOKUP(D89,'Справочник материалов'!$A:$C,3,FALSE()),0)</f>
        <v>0</v>
      </c>
      <c r="H89" s="3">
        <f t="shared" si="4"/>
        <v>0</v>
      </c>
      <c r="I89" t="str">
        <f t="shared" si="5"/>
        <v>Нет</v>
      </c>
    </row>
    <row r="90" spans="1:9" ht="15" customHeight="1" x14ac:dyDescent="0.25">
      <c r="A90" t="s">
        <v>152</v>
      </c>
      <c r="B90">
        <v>3</v>
      </c>
      <c r="C90" t="s">
        <v>159</v>
      </c>
      <c r="D90" t="s">
        <v>160</v>
      </c>
      <c r="E90" t="s">
        <v>112</v>
      </c>
      <c r="F90" s="2">
        <v>1496</v>
      </c>
      <c r="G90" s="3">
        <f>IFERROR(VLOOKUP(D90,'Справочник материалов'!$A:$C,3,FALSE()),0)</f>
        <v>0</v>
      </c>
      <c r="H90" s="3">
        <f t="shared" si="4"/>
        <v>0</v>
      </c>
      <c r="I90" t="str">
        <f t="shared" si="5"/>
        <v>Нет</v>
      </c>
    </row>
    <row r="91" spans="1:9" ht="15" customHeight="1" x14ac:dyDescent="0.25">
      <c r="A91" t="s">
        <v>152</v>
      </c>
      <c r="B91">
        <v>4</v>
      </c>
      <c r="C91" t="s">
        <v>159</v>
      </c>
      <c r="D91" t="s">
        <v>160</v>
      </c>
      <c r="E91" t="s">
        <v>112</v>
      </c>
      <c r="F91" s="2">
        <v>2200</v>
      </c>
      <c r="G91" s="3">
        <f>IFERROR(VLOOKUP(D91,'Справочник материалов'!$A:$C,3,FALSE()),0)</f>
        <v>0</v>
      </c>
      <c r="H91" s="3">
        <f t="shared" si="4"/>
        <v>0</v>
      </c>
      <c r="I91" t="str">
        <f t="shared" si="5"/>
        <v>Нет</v>
      </c>
    </row>
    <row r="92" spans="1:9" ht="15" customHeight="1" x14ac:dyDescent="0.25">
      <c r="A92" t="s">
        <v>152</v>
      </c>
      <c r="B92">
        <v>5</v>
      </c>
      <c r="C92" t="s">
        <v>159</v>
      </c>
      <c r="D92" t="s">
        <v>160</v>
      </c>
      <c r="E92" t="s">
        <v>112</v>
      </c>
      <c r="F92" s="2">
        <v>1000</v>
      </c>
      <c r="G92" s="3">
        <f>IFERROR(VLOOKUP(D92,'Справочник материалов'!$A:$C,3,FALSE()),0)</f>
        <v>0</v>
      </c>
      <c r="H92" s="3">
        <f t="shared" si="4"/>
        <v>0</v>
      </c>
      <c r="I92" t="str">
        <f t="shared" si="5"/>
        <v>Нет</v>
      </c>
    </row>
    <row r="93" spans="1:9" ht="15" customHeight="1" x14ac:dyDescent="0.25">
      <c r="A93" t="s">
        <v>152</v>
      </c>
      <c r="B93">
        <v>6</v>
      </c>
      <c r="C93" t="s">
        <v>159</v>
      </c>
      <c r="D93" t="s">
        <v>160</v>
      </c>
      <c r="E93" t="s">
        <v>112</v>
      </c>
      <c r="F93" s="2">
        <v>560</v>
      </c>
      <c r="G93" s="3">
        <f>IFERROR(VLOOKUP(D93,'Справочник материалов'!$A:$C,3,FALSE()),0)</f>
        <v>0</v>
      </c>
      <c r="H93" s="3">
        <f t="shared" si="4"/>
        <v>0</v>
      </c>
      <c r="I93" t="str">
        <f t="shared" si="5"/>
        <v>Нет</v>
      </c>
    </row>
    <row r="94" spans="1:9" ht="15" customHeight="1" x14ac:dyDescent="0.25">
      <c r="A94" t="s">
        <v>152</v>
      </c>
      <c r="B94">
        <v>7</v>
      </c>
      <c r="C94" t="s">
        <v>159</v>
      </c>
      <c r="D94" t="s">
        <v>160</v>
      </c>
      <c r="E94" t="s">
        <v>112</v>
      </c>
      <c r="F94" s="2">
        <v>3732</v>
      </c>
      <c r="G94" s="3">
        <f>IFERROR(VLOOKUP(D94,'Справочник материалов'!$A:$C,3,FALSE()),0)</f>
        <v>0</v>
      </c>
      <c r="H94" s="3">
        <f t="shared" si="4"/>
        <v>0</v>
      </c>
      <c r="I94" t="str">
        <f t="shared" si="5"/>
        <v>Нет</v>
      </c>
    </row>
    <row r="95" spans="1:9" ht="15" customHeight="1" x14ac:dyDescent="0.25">
      <c r="A95" t="s">
        <v>152</v>
      </c>
      <c r="B95">
        <v>1</v>
      </c>
      <c r="C95" t="s">
        <v>161</v>
      </c>
      <c r="D95" t="s">
        <v>162</v>
      </c>
      <c r="E95" t="s">
        <v>132</v>
      </c>
      <c r="F95" s="2">
        <v>11.2</v>
      </c>
      <c r="G95" s="3">
        <f>IFERROR(VLOOKUP(D95,'Справочник материалов'!$A:$C,3,FALSE()),0)</f>
        <v>0</v>
      </c>
      <c r="H95" s="3">
        <f t="shared" si="4"/>
        <v>0</v>
      </c>
      <c r="I95" t="str">
        <f t="shared" si="5"/>
        <v>Нет</v>
      </c>
    </row>
    <row r="96" spans="1:9" ht="15" customHeight="1" x14ac:dyDescent="0.25">
      <c r="A96" t="s">
        <v>152</v>
      </c>
      <c r="B96">
        <v>2</v>
      </c>
      <c r="C96" t="s">
        <v>161</v>
      </c>
      <c r="D96" t="s">
        <v>162</v>
      </c>
      <c r="E96" t="s">
        <v>132</v>
      </c>
      <c r="F96" s="2">
        <v>28</v>
      </c>
      <c r="G96" s="3">
        <f>IFERROR(VLOOKUP(D96,'Справочник материалов'!$A:$C,3,FALSE()),0)</f>
        <v>0</v>
      </c>
      <c r="H96" s="3">
        <f t="shared" si="4"/>
        <v>0</v>
      </c>
      <c r="I96" t="str">
        <f t="shared" si="5"/>
        <v>Нет</v>
      </c>
    </row>
    <row r="97" spans="1:9" ht="15" customHeight="1" x14ac:dyDescent="0.25">
      <c r="A97" t="s">
        <v>152</v>
      </c>
      <c r="B97">
        <v>3</v>
      </c>
      <c r="C97" t="s">
        <v>161</v>
      </c>
      <c r="D97" t="s">
        <v>162</v>
      </c>
      <c r="E97" t="s">
        <v>132</v>
      </c>
      <c r="F97" s="2">
        <v>11.55</v>
      </c>
      <c r="G97" s="3">
        <f>IFERROR(VLOOKUP(D97,'Справочник материалов'!$A:$C,3,FALSE()),0)</f>
        <v>0</v>
      </c>
      <c r="H97" s="3">
        <f t="shared" si="4"/>
        <v>0</v>
      </c>
      <c r="I97" t="str">
        <f t="shared" si="5"/>
        <v>Нет</v>
      </c>
    </row>
    <row r="98" spans="1:9" ht="15" customHeight="1" x14ac:dyDescent="0.25">
      <c r="A98" t="s">
        <v>152</v>
      </c>
      <c r="B98">
        <v>4</v>
      </c>
      <c r="C98" t="s">
        <v>161</v>
      </c>
      <c r="D98" t="s">
        <v>162</v>
      </c>
      <c r="E98" t="s">
        <v>132</v>
      </c>
      <c r="F98" s="2">
        <v>4.2</v>
      </c>
      <c r="G98" s="3">
        <f>IFERROR(VLOOKUP(D98,'Справочник материалов'!$A:$C,3,FALSE()),0)</f>
        <v>0</v>
      </c>
      <c r="H98" s="3">
        <f t="shared" ref="H98:H129" si="6">F98*G98</f>
        <v>0</v>
      </c>
      <c r="I98" t="str">
        <f t="shared" ref="I98:I129" si="7">IF(G98&gt;0,"Да","Нет")</f>
        <v>Нет</v>
      </c>
    </row>
    <row r="99" spans="1:9" ht="15" customHeight="1" x14ac:dyDescent="0.25">
      <c r="A99" t="s">
        <v>152</v>
      </c>
      <c r="B99">
        <v>5</v>
      </c>
      <c r="C99" t="s">
        <v>161</v>
      </c>
      <c r="D99" t="s">
        <v>162</v>
      </c>
      <c r="E99" t="s">
        <v>132</v>
      </c>
      <c r="F99" s="2">
        <v>4.2</v>
      </c>
      <c r="G99" s="3">
        <f>IFERROR(VLOOKUP(D99,'Справочник материалов'!$A:$C,3,FALSE()),0)</f>
        <v>0</v>
      </c>
      <c r="H99" s="3">
        <f t="shared" si="6"/>
        <v>0</v>
      </c>
      <c r="I99" t="str">
        <f t="shared" si="7"/>
        <v>Нет</v>
      </c>
    </row>
    <row r="100" spans="1:9" ht="15" customHeight="1" x14ac:dyDescent="0.25">
      <c r="A100" t="s">
        <v>152</v>
      </c>
      <c r="B100">
        <v>6</v>
      </c>
      <c r="C100" t="s">
        <v>161</v>
      </c>
      <c r="D100" t="s">
        <v>162</v>
      </c>
      <c r="E100" t="s">
        <v>132</v>
      </c>
      <c r="F100" s="2">
        <v>10.5</v>
      </c>
      <c r="G100" s="3">
        <f>IFERROR(VLOOKUP(D100,'Справочник материалов'!$A:$C,3,FALSE()),0)</f>
        <v>0</v>
      </c>
      <c r="H100" s="3">
        <f t="shared" si="6"/>
        <v>0</v>
      </c>
      <c r="I100" t="str">
        <f t="shared" si="7"/>
        <v>Нет</v>
      </c>
    </row>
    <row r="101" spans="1:9" ht="15" customHeight="1" x14ac:dyDescent="0.25">
      <c r="A101" t="s">
        <v>152</v>
      </c>
      <c r="B101">
        <v>7</v>
      </c>
      <c r="C101" t="s">
        <v>161</v>
      </c>
      <c r="D101" t="s">
        <v>162</v>
      </c>
      <c r="E101" t="s">
        <v>132</v>
      </c>
      <c r="F101" s="2">
        <v>4.2</v>
      </c>
      <c r="G101" s="3">
        <f>IFERROR(VLOOKUP(D101,'Справочник материалов'!$A:$C,3,FALSE()),0)</f>
        <v>0</v>
      </c>
      <c r="H101" s="3">
        <f t="shared" si="6"/>
        <v>0</v>
      </c>
      <c r="I101" t="str">
        <f t="shared" si="7"/>
        <v>Нет</v>
      </c>
    </row>
    <row r="102" spans="1:9" ht="15" customHeight="1" x14ac:dyDescent="0.25">
      <c r="A102" t="s">
        <v>152</v>
      </c>
      <c r="B102">
        <v>1</v>
      </c>
      <c r="C102" t="s">
        <v>163</v>
      </c>
      <c r="D102" t="s">
        <v>164</v>
      </c>
      <c r="E102" t="s">
        <v>132</v>
      </c>
      <c r="F102" s="2">
        <v>0.48</v>
      </c>
      <c r="G102" s="3">
        <f>IFERROR(VLOOKUP(D102,'Справочник материалов'!$A:$C,3,FALSE()),0)</f>
        <v>0</v>
      </c>
      <c r="H102" s="3">
        <f t="shared" si="6"/>
        <v>0</v>
      </c>
      <c r="I102" t="str">
        <f t="shared" si="7"/>
        <v>Нет</v>
      </c>
    </row>
    <row r="103" spans="1:9" ht="15" customHeight="1" x14ac:dyDescent="0.25">
      <c r="A103" t="s">
        <v>152</v>
      </c>
      <c r="B103">
        <v>2</v>
      </c>
      <c r="C103" t="s">
        <v>163</v>
      </c>
      <c r="D103" t="s">
        <v>164</v>
      </c>
      <c r="E103" t="s">
        <v>132</v>
      </c>
      <c r="F103" s="2">
        <v>1.2</v>
      </c>
      <c r="G103" s="3">
        <f>IFERROR(VLOOKUP(D103,'Справочник материалов'!$A:$C,3,FALSE()),0)</f>
        <v>0</v>
      </c>
      <c r="H103" s="3">
        <f t="shared" si="6"/>
        <v>0</v>
      </c>
      <c r="I103" t="str">
        <f t="shared" si="7"/>
        <v>Нет</v>
      </c>
    </row>
    <row r="104" spans="1:9" ht="15" customHeight="1" x14ac:dyDescent="0.25">
      <c r="A104" t="s">
        <v>152</v>
      </c>
      <c r="B104">
        <v>3</v>
      </c>
      <c r="C104" t="s">
        <v>163</v>
      </c>
      <c r="D104" t="s">
        <v>164</v>
      </c>
      <c r="E104" t="s">
        <v>132</v>
      </c>
      <c r="F104" s="2">
        <v>0.495</v>
      </c>
      <c r="G104" s="3">
        <f>IFERROR(VLOOKUP(D104,'Справочник материалов'!$A:$C,3,FALSE()),0)</f>
        <v>0</v>
      </c>
      <c r="H104" s="3">
        <f t="shared" si="6"/>
        <v>0</v>
      </c>
      <c r="I104" t="str">
        <f t="shared" si="7"/>
        <v>Нет</v>
      </c>
    </row>
    <row r="105" spans="1:9" ht="15" customHeight="1" x14ac:dyDescent="0.25">
      <c r="A105" t="s">
        <v>152</v>
      </c>
      <c r="B105">
        <v>4</v>
      </c>
      <c r="C105" t="s">
        <v>163</v>
      </c>
      <c r="D105" t="s">
        <v>164</v>
      </c>
      <c r="E105" t="s">
        <v>132</v>
      </c>
      <c r="F105" s="2">
        <v>0.18</v>
      </c>
      <c r="G105" s="3">
        <f>IFERROR(VLOOKUP(D105,'Справочник материалов'!$A:$C,3,FALSE()),0)</f>
        <v>0</v>
      </c>
      <c r="H105" s="3">
        <f t="shared" si="6"/>
        <v>0</v>
      </c>
      <c r="I105" t="str">
        <f t="shared" si="7"/>
        <v>Нет</v>
      </c>
    </row>
    <row r="106" spans="1:9" ht="15" customHeight="1" x14ac:dyDescent="0.25">
      <c r="A106" t="s">
        <v>152</v>
      </c>
      <c r="B106">
        <v>5</v>
      </c>
      <c r="C106" t="s">
        <v>163</v>
      </c>
      <c r="D106" t="s">
        <v>164</v>
      </c>
      <c r="E106" t="s">
        <v>132</v>
      </c>
      <c r="F106" s="2">
        <v>0.18</v>
      </c>
      <c r="G106" s="3">
        <f>IFERROR(VLOOKUP(D106,'Справочник материалов'!$A:$C,3,FALSE()),0)</f>
        <v>0</v>
      </c>
      <c r="H106" s="3">
        <f t="shared" si="6"/>
        <v>0</v>
      </c>
      <c r="I106" t="str">
        <f t="shared" si="7"/>
        <v>Нет</v>
      </c>
    </row>
    <row r="107" spans="1:9" ht="15" customHeight="1" x14ac:dyDescent="0.25">
      <c r="A107" t="s">
        <v>152</v>
      </c>
      <c r="B107">
        <v>6</v>
      </c>
      <c r="C107" t="s">
        <v>163</v>
      </c>
      <c r="D107" t="s">
        <v>164</v>
      </c>
      <c r="E107" t="s">
        <v>132</v>
      </c>
      <c r="F107" s="2">
        <v>0.45</v>
      </c>
      <c r="G107" s="3">
        <f>IFERROR(VLOOKUP(D107,'Справочник материалов'!$A:$C,3,FALSE()),0)</f>
        <v>0</v>
      </c>
      <c r="H107" s="3">
        <f t="shared" si="6"/>
        <v>0</v>
      </c>
      <c r="I107" t="str">
        <f t="shared" si="7"/>
        <v>Нет</v>
      </c>
    </row>
    <row r="108" spans="1:9" ht="15" customHeight="1" x14ac:dyDescent="0.25">
      <c r="A108" t="s">
        <v>152</v>
      </c>
      <c r="B108">
        <v>7</v>
      </c>
      <c r="C108" t="s">
        <v>163</v>
      </c>
      <c r="D108" t="s">
        <v>164</v>
      </c>
      <c r="E108" t="s">
        <v>132</v>
      </c>
      <c r="F108" s="2">
        <v>0.18</v>
      </c>
      <c r="G108" s="3">
        <f>IFERROR(VLOOKUP(D108,'Справочник материалов'!$A:$C,3,FALSE()),0)</f>
        <v>0</v>
      </c>
      <c r="H108" s="3">
        <f t="shared" si="6"/>
        <v>0</v>
      </c>
      <c r="I108" t="str">
        <f t="shared" si="7"/>
        <v>Нет</v>
      </c>
    </row>
    <row r="109" spans="1:9" ht="15" customHeight="1" x14ac:dyDescent="0.25">
      <c r="A109" t="s">
        <v>152</v>
      </c>
      <c r="B109">
        <v>1</v>
      </c>
      <c r="C109" t="s">
        <v>133</v>
      </c>
      <c r="D109" t="s">
        <v>133</v>
      </c>
      <c r="E109" t="s">
        <v>146</v>
      </c>
      <c r="F109" s="2">
        <v>0.1792</v>
      </c>
      <c r="G109" s="3">
        <f>IFERROR(VLOOKUP(D109,'Справочник материалов'!$A:$C,3,FALSE()),0)</f>
        <v>11000</v>
      </c>
      <c r="H109" s="3">
        <f t="shared" si="6"/>
        <v>1971.2</v>
      </c>
      <c r="I109" t="str">
        <f t="shared" si="7"/>
        <v>Да</v>
      </c>
    </row>
    <row r="110" spans="1:9" ht="15" customHeight="1" x14ac:dyDescent="0.25">
      <c r="A110" t="s">
        <v>152</v>
      </c>
      <c r="B110">
        <v>2</v>
      </c>
      <c r="C110" t="s">
        <v>133</v>
      </c>
      <c r="D110" t="s">
        <v>133</v>
      </c>
      <c r="E110" t="s">
        <v>146</v>
      </c>
      <c r="F110" s="2">
        <v>0.44800000000000001</v>
      </c>
      <c r="G110" s="3">
        <f>IFERROR(VLOOKUP(D110,'Справочник материалов'!$A:$C,3,FALSE()),0)</f>
        <v>11000</v>
      </c>
      <c r="H110" s="3">
        <f t="shared" si="6"/>
        <v>4928</v>
      </c>
      <c r="I110" t="str">
        <f t="shared" si="7"/>
        <v>Да</v>
      </c>
    </row>
    <row r="111" spans="1:9" ht="15" customHeight="1" x14ac:dyDescent="0.25">
      <c r="A111" t="s">
        <v>152</v>
      </c>
      <c r="B111">
        <v>3</v>
      </c>
      <c r="C111" t="s">
        <v>133</v>
      </c>
      <c r="D111" t="s">
        <v>133</v>
      </c>
      <c r="E111" t="s">
        <v>146</v>
      </c>
      <c r="F111" s="2">
        <v>0.18479999999999999</v>
      </c>
      <c r="G111" s="3">
        <f>IFERROR(VLOOKUP(D111,'Справочник материалов'!$A:$C,3,FALSE()),0)</f>
        <v>11000</v>
      </c>
      <c r="H111" s="3">
        <f t="shared" si="6"/>
        <v>2032.8</v>
      </c>
      <c r="I111" t="str">
        <f t="shared" si="7"/>
        <v>Да</v>
      </c>
    </row>
    <row r="112" spans="1:9" ht="15" customHeight="1" x14ac:dyDescent="0.25">
      <c r="A112" t="s">
        <v>152</v>
      </c>
      <c r="B112">
        <v>4</v>
      </c>
      <c r="C112" t="s">
        <v>133</v>
      </c>
      <c r="D112" t="s">
        <v>133</v>
      </c>
      <c r="E112" t="s">
        <v>146</v>
      </c>
      <c r="F112" s="2">
        <v>2.3519999999999999E-2</v>
      </c>
      <c r="G112" s="3">
        <f>IFERROR(VLOOKUP(D112,'Справочник материалов'!$A:$C,3,FALSE()),0)</f>
        <v>11000</v>
      </c>
      <c r="H112" s="3">
        <f t="shared" si="6"/>
        <v>258.71999999999997</v>
      </c>
      <c r="I112" t="str">
        <f t="shared" si="7"/>
        <v>Да</v>
      </c>
    </row>
    <row r="113" spans="1:9" ht="15" customHeight="1" x14ac:dyDescent="0.25">
      <c r="A113" t="s">
        <v>152</v>
      </c>
      <c r="B113">
        <v>5</v>
      </c>
      <c r="C113" t="s">
        <v>133</v>
      </c>
      <c r="D113" t="s">
        <v>133</v>
      </c>
      <c r="E113" t="s">
        <v>146</v>
      </c>
      <c r="F113" s="2">
        <v>2.3519999999999999E-2</v>
      </c>
      <c r="G113" s="3">
        <f>IFERROR(VLOOKUP(D113,'Справочник материалов'!$A:$C,3,FALSE()),0)</f>
        <v>11000</v>
      </c>
      <c r="H113" s="3">
        <f t="shared" si="6"/>
        <v>258.71999999999997</v>
      </c>
      <c r="I113" t="str">
        <f t="shared" si="7"/>
        <v>Да</v>
      </c>
    </row>
    <row r="114" spans="1:9" ht="15" customHeight="1" x14ac:dyDescent="0.25">
      <c r="A114" t="s">
        <v>152</v>
      </c>
      <c r="B114">
        <v>6</v>
      </c>
      <c r="C114" t="s">
        <v>133</v>
      </c>
      <c r="D114" t="s">
        <v>133</v>
      </c>
      <c r="E114" t="s">
        <v>146</v>
      </c>
      <c r="F114" s="2">
        <v>5.8799999999999998E-2</v>
      </c>
      <c r="G114" s="3">
        <f>IFERROR(VLOOKUP(D114,'Справочник материалов'!$A:$C,3,FALSE()),0)</f>
        <v>11000</v>
      </c>
      <c r="H114" s="3">
        <f t="shared" si="6"/>
        <v>646.79999999999995</v>
      </c>
      <c r="I114" t="str">
        <f t="shared" si="7"/>
        <v>Да</v>
      </c>
    </row>
    <row r="115" spans="1:9" ht="15" customHeight="1" x14ac:dyDescent="0.25">
      <c r="A115" t="s">
        <v>152</v>
      </c>
      <c r="B115">
        <v>7</v>
      </c>
      <c r="C115" t="s">
        <v>133</v>
      </c>
      <c r="D115" t="s">
        <v>133</v>
      </c>
      <c r="E115" t="s">
        <v>146</v>
      </c>
      <c r="F115" s="2">
        <v>2.3519999999999999E-2</v>
      </c>
      <c r="G115" s="3">
        <f>IFERROR(VLOOKUP(D115,'Справочник материалов'!$A:$C,3,FALSE()),0)</f>
        <v>11000</v>
      </c>
      <c r="H115" s="3">
        <f t="shared" si="6"/>
        <v>258.71999999999997</v>
      </c>
      <c r="I115" t="str">
        <f t="shared" si="7"/>
        <v>Да</v>
      </c>
    </row>
    <row r="116" spans="1:9" ht="15" customHeight="1" x14ac:dyDescent="0.25">
      <c r="A116" t="s">
        <v>165</v>
      </c>
      <c r="B116">
        <v>1</v>
      </c>
      <c r="C116" t="s">
        <v>166</v>
      </c>
      <c r="D116" t="s">
        <v>167</v>
      </c>
      <c r="E116" t="s">
        <v>145</v>
      </c>
      <c r="F116" s="2">
        <v>32.375999999999998</v>
      </c>
      <c r="G116" s="3">
        <f>IFERROR(VLOOKUP(D116,'Справочник материалов'!$A:$C,3,FALSE()),0)</f>
        <v>0</v>
      </c>
      <c r="H116" s="3">
        <f t="shared" si="6"/>
        <v>0</v>
      </c>
      <c r="I116" t="str">
        <f t="shared" si="7"/>
        <v>Нет</v>
      </c>
    </row>
    <row r="117" spans="1:9" ht="15" customHeight="1" x14ac:dyDescent="0.25">
      <c r="A117" t="s">
        <v>165</v>
      </c>
      <c r="B117">
        <v>2</v>
      </c>
      <c r="C117" t="s">
        <v>166</v>
      </c>
      <c r="D117" t="s">
        <v>167</v>
      </c>
      <c r="E117" t="s">
        <v>145</v>
      </c>
      <c r="F117" s="2">
        <v>49.56</v>
      </c>
      <c r="G117" s="3">
        <f>IFERROR(VLOOKUP(D117,'Справочник материалов'!$A:$C,3,FALSE()),0)</f>
        <v>0</v>
      </c>
      <c r="H117" s="3">
        <f t="shared" si="6"/>
        <v>0</v>
      </c>
      <c r="I117" t="str">
        <f t="shared" si="7"/>
        <v>Нет</v>
      </c>
    </row>
    <row r="118" spans="1:9" ht="15" customHeight="1" x14ac:dyDescent="0.25">
      <c r="A118" t="s">
        <v>165</v>
      </c>
      <c r="B118">
        <v>3</v>
      </c>
      <c r="C118" t="s">
        <v>166</v>
      </c>
      <c r="D118" t="s">
        <v>167</v>
      </c>
      <c r="E118" t="s">
        <v>145</v>
      </c>
      <c r="F118" s="2">
        <v>36.39</v>
      </c>
      <c r="G118" s="3">
        <f>IFERROR(VLOOKUP(D118,'Справочник материалов'!$A:$C,3,FALSE()),0)</f>
        <v>0</v>
      </c>
      <c r="H118" s="3">
        <f t="shared" si="6"/>
        <v>0</v>
      </c>
      <c r="I118" t="str">
        <f t="shared" si="7"/>
        <v>Нет</v>
      </c>
    </row>
    <row r="119" spans="1:9" ht="15" customHeight="1" x14ac:dyDescent="0.25">
      <c r="A119" t="s">
        <v>165</v>
      </c>
      <c r="B119">
        <v>4</v>
      </c>
      <c r="C119" t="s">
        <v>166</v>
      </c>
      <c r="D119" t="s">
        <v>167</v>
      </c>
      <c r="E119" t="s">
        <v>145</v>
      </c>
      <c r="F119" s="2">
        <v>31.8</v>
      </c>
      <c r="G119" s="3">
        <f>IFERROR(VLOOKUP(D119,'Справочник материалов'!$A:$C,3,FALSE()),0)</f>
        <v>0</v>
      </c>
      <c r="H119" s="3">
        <f t="shared" si="6"/>
        <v>0</v>
      </c>
      <c r="I119" t="str">
        <f t="shared" si="7"/>
        <v>Нет</v>
      </c>
    </row>
    <row r="120" spans="1:9" ht="15" customHeight="1" x14ac:dyDescent="0.25">
      <c r="A120" t="s">
        <v>165</v>
      </c>
      <c r="B120">
        <v>5</v>
      </c>
      <c r="C120" t="s">
        <v>166</v>
      </c>
      <c r="D120" t="s">
        <v>167</v>
      </c>
      <c r="E120" t="s">
        <v>145</v>
      </c>
      <c r="F120" s="2">
        <v>15</v>
      </c>
      <c r="G120" s="3">
        <f>IFERROR(VLOOKUP(D120,'Справочник материалов'!$A:$C,3,FALSE()),0)</f>
        <v>0</v>
      </c>
      <c r="H120" s="3">
        <f t="shared" si="6"/>
        <v>0</v>
      </c>
      <c r="I120" t="str">
        <f t="shared" si="7"/>
        <v>Нет</v>
      </c>
    </row>
    <row r="121" spans="1:9" ht="15" customHeight="1" x14ac:dyDescent="0.25">
      <c r="A121" t="s">
        <v>165</v>
      </c>
      <c r="B121">
        <v>6</v>
      </c>
      <c r="C121" t="s">
        <v>166</v>
      </c>
      <c r="D121" t="s">
        <v>167</v>
      </c>
      <c r="E121" t="s">
        <v>145</v>
      </c>
      <c r="F121" s="2">
        <v>13.2</v>
      </c>
      <c r="G121" s="3">
        <f>IFERROR(VLOOKUP(D121,'Справочник материалов'!$A:$C,3,FALSE()),0)</f>
        <v>0</v>
      </c>
      <c r="H121" s="3">
        <f t="shared" si="6"/>
        <v>0</v>
      </c>
      <c r="I121" t="str">
        <f t="shared" si="7"/>
        <v>Нет</v>
      </c>
    </row>
    <row r="122" spans="1:9" ht="15" customHeight="1" x14ac:dyDescent="0.25">
      <c r="A122" t="s">
        <v>165</v>
      </c>
      <c r="B122">
        <v>7</v>
      </c>
      <c r="C122" t="s">
        <v>166</v>
      </c>
      <c r="D122" t="s">
        <v>167</v>
      </c>
      <c r="E122" t="s">
        <v>145</v>
      </c>
      <c r="F122" s="2">
        <v>31.38</v>
      </c>
      <c r="G122" s="3">
        <f>IFERROR(VLOOKUP(D122,'Справочник материалов'!$A:$C,3,FALSE()),0)</f>
        <v>0</v>
      </c>
      <c r="H122" s="3">
        <f t="shared" si="6"/>
        <v>0</v>
      </c>
      <c r="I122" t="str">
        <f t="shared" si="7"/>
        <v>Нет</v>
      </c>
    </row>
    <row r="123" spans="1:9" ht="15" customHeight="1" x14ac:dyDescent="0.25">
      <c r="A123" t="s">
        <v>165</v>
      </c>
      <c r="B123">
        <v>1</v>
      </c>
      <c r="C123" t="s">
        <v>168</v>
      </c>
      <c r="E123" t="s">
        <v>123</v>
      </c>
      <c r="F123" s="2">
        <v>32</v>
      </c>
      <c r="G123" s="3">
        <f>IFERROR(VLOOKUP(D123,'Справочник материалов'!$A:$C,3,FALSE()),0)</f>
        <v>0</v>
      </c>
      <c r="H123" s="3">
        <f t="shared" si="6"/>
        <v>0</v>
      </c>
      <c r="I123" t="str">
        <f t="shared" si="7"/>
        <v>Нет</v>
      </c>
    </row>
    <row r="124" spans="1:9" ht="15" customHeight="1" x14ac:dyDescent="0.25">
      <c r="A124" t="s">
        <v>165</v>
      </c>
      <c r="B124">
        <v>2</v>
      </c>
      <c r="C124" t="s">
        <v>168</v>
      </c>
      <c r="E124" t="s">
        <v>123</v>
      </c>
      <c r="F124" s="2">
        <v>80</v>
      </c>
      <c r="G124" s="3">
        <f>IFERROR(VLOOKUP(D124,'Справочник материалов'!$A:$C,3,FALSE()),0)</f>
        <v>0</v>
      </c>
      <c r="H124" s="3">
        <f t="shared" si="6"/>
        <v>0</v>
      </c>
      <c r="I124" t="str">
        <f t="shared" si="7"/>
        <v>Нет</v>
      </c>
    </row>
    <row r="125" spans="1:9" ht="15" customHeight="1" x14ac:dyDescent="0.25">
      <c r="A125" t="s">
        <v>165</v>
      </c>
      <c r="B125">
        <v>3</v>
      </c>
      <c r="C125" t="s">
        <v>168</v>
      </c>
      <c r="E125" t="s">
        <v>123</v>
      </c>
      <c r="F125" s="2">
        <v>33</v>
      </c>
      <c r="G125" s="3">
        <f>IFERROR(VLOOKUP(D125,'Справочник материалов'!$A:$C,3,FALSE()),0)</f>
        <v>0</v>
      </c>
      <c r="H125" s="3">
        <f t="shared" si="6"/>
        <v>0</v>
      </c>
      <c r="I125" t="str">
        <f t="shared" si="7"/>
        <v>Нет</v>
      </c>
    </row>
    <row r="126" spans="1:9" ht="15" customHeight="1" x14ac:dyDescent="0.25">
      <c r="A126" t="s">
        <v>165</v>
      </c>
      <c r="B126">
        <v>4</v>
      </c>
      <c r="C126" t="s">
        <v>168</v>
      </c>
      <c r="E126" t="s">
        <v>123</v>
      </c>
      <c r="F126" s="2">
        <v>12</v>
      </c>
      <c r="G126" s="3">
        <f>IFERROR(VLOOKUP(D126,'Справочник материалов'!$A:$C,3,FALSE()),0)</f>
        <v>0</v>
      </c>
      <c r="H126" s="3">
        <f t="shared" si="6"/>
        <v>0</v>
      </c>
      <c r="I126" t="str">
        <f t="shared" si="7"/>
        <v>Нет</v>
      </c>
    </row>
    <row r="127" spans="1:9" ht="15" customHeight="1" x14ac:dyDescent="0.25">
      <c r="A127" t="s">
        <v>165</v>
      </c>
      <c r="B127">
        <v>5</v>
      </c>
      <c r="C127" t="s">
        <v>168</v>
      </c>
      <c r="E127" t="s">
        <v>123</v>
      </c>
      <c r="F127" s="2">
        <v>12</v>
      </c>
      <c r="G127" s="3">
        <f>IFERROR(VLOOKUP(D127,'Справочник материалов'!$A:$C,3,FALSE()),0)</f>
        <v>0</v>
      </c>
      <c r="H127" s="3">
        <f t="shared" si="6"/>
        <v>0</v>
      </c>
      <c r="I127" t="str">
        <f t="shared" si="7"/>
        <v>Нет</v>
      </c>
    </row>
    <row r="128" spans="1:9" ht="15" customHeight="1" x14ac:dyDescent="0.25">
      <c r="A128" t="s">
        <v>165</v>
      </c>
      <c r="B128">
        <v>6</v>
      </c>
      <c r="C128" t="s">
        <v>168</v>
      </c>
      <c r="E128" t="s">
        <v>123</v>
      </c>
      <c r="F128" s="2">
        <v>30</v>
      </c>
      <c r="G128" s="3">
        <f>IFERROR(VLOOKUP(D128,'Справочник материалов'!$A:$C,3,FALSE()),0)</f>
        <v>0</v>
      </c>
      <c r="H128" s="3">
        <f t="shared" si="6"/>
        <v>0</v>
      </c>
      <c r="I128" t="str">
        <f t="shared" si="7"/>
        <v>Нет</v>
      </c>
    </row>
    <row r="129" spans="1:9" ht="15" customHeight="1" x14ac:dyDescent="0.25">
      <c r="A129" t="s">
        <v>165</v>
      </c>
      <c r="B129">
        <v>7</v>
      </c>
      <c r="C129" t="s">
        <v>168</v>
      </c>
      <c r="E129" t="s">
        <v>123</v>
      </c>
      <c r="F129" s="2">
        <v>12</v>
      </c>
      <c r="G129" s="3">
        <f>IFERROR(VLOOKUP(D129,'Справочник материалов'!$A:$C,3,FALSE()),0)</f>
        <v>0</v>
      </c>
      <c r="H129" s="3">
        <f t="shared" si="6"/>
        <v>0</v>
      </c>
      <c r="I129" t="str">
        <f t="shared" si="7"/>
        <v>Нет</v>
      </c>
    </row>
    <row r="130" spans="1:9" ht="15" customHeight="1" x14ac:dyDescent="0.25">
      <c r="A130" t="s">
        <v>165</v>
      </c>
      <c r="B130">
        <v>1</v>
      </c>
      <c r="C130" t="s">
        <v>161</v>
      </c>
      <c r="D130" t="s">
        <v>162</v>
      </c>
      <c r="E130" t="s">
        <v>132</v>
      </c>
      <c r="F130" s="2">
        <v>11.2</v>
      </c>
      <c r="G130" s="3">
        <f>IFERROR(VLOOKUP(D130,'Справочник материалов'!$A:$C,3,FALSE()),0)</f>
        <v>0</v>
      </c>
      <c r="H130" s="3">
        <f t="shared" ref="H130:H150" si="8">F130*G130</f>
        <v>0</v>
      </c>
      <c r="I130" t="str">
        <f t="shared" ref="I130:I150" si="9">IF(G130&gt;0,"Да","Нет")</f>
        <v>Нет</v>
      </c>
    </row>
    <row r="131" spans="1:9" ht="15" customHeight="1" x14ac:dyDescent="0.25">
      <c r="A131" t="s">
        <v>165</v>
      </c>
      <c r="B131">
        <v>2</v>
      </c>
      <c r="C131" t="s">
        <v>161</v>
      </c>
      <c r="D131" t="s">
        <v>162</v>
      </c>
      <c r="E131" t="s">
        <v>132</v>
      </c>
      <c r="F131" s="2">
        <v>28</v>
      </c>
      <c r="G131" s="3">
        <f>IFERROR(VLOOKUP(D131,'Справочник материалов'!$A:$C,3,FALSE()),0)</f>
        <v>0</v>
      </c>
      <c r="H131" s="3">
        <f t="shared" si="8"/>
        <v>0</v>
      </c>
      <c r="I131" t="str">
        <f t="shared" si="9"/>
        <v>Нет</v>
      </c>
    </row>
    <row r="132" spans="1:9" ht="15" customHeight="1" x14ac:dyDescent="0.25">
      <c r="A132" t="s">
        <v>165</v>
      </c>
      <c r="B132">
        <v>3</v>
      </c>
      <c r="C132" t="s">
        <v>161</v>
      </c>
      <c r="D132" t="s">
        <v>162</v>
      </c>
      <c r="E132" t="s">
        <v>132</v>
      </c>
      <c r="F132" s="2">
        <v>11.55</v>
      </c>
      <c r="G132" s="3">
        <f>IFERROR(VLOOKUP(D132,'Справочник материалов'!$A:$C,3,FALSE()),0)</f>
        <v>0</v>
      </c>
      <c r="H132" s="3">
        <f t="shared" si="8"/>
        <v>0</v>
      </c>
      <c r="I132" t="str">
        <f t="shared" si="9"/>
        <v>Нет</v>
      </c>
    </row>
    <row r="133" spans="1:9" ht="15" customHeight="1" x14ac:dyDescent="0.25">
      <c r="A133" t="s">
        <v>165</v>
      </c>
      <c r="B133">
        <v>4</v>
      </c>
      <c r="C133" t="s">
        <v>161</v>
      </c>
      <c r="D133" t="s">
        <v>162</v>
      </c>
      <c r="E133" t="s">
        <v>132</v>
      </c>
      <c r="F133" s="2">
        <v>4.2</v>
      </c>
      <c r="G133" s="3">
        <f>IFERROR(VLOOKUP(D133,'Справочник материалов'!$A:$C,3,FALSE()),0)</f>
        <v>0</v>
      </c>
      <c r="H133" s="3">
        <f t="shared" si="8"/>
        <v>0</v>
      </c>
      <c r="I133" t="str">
        <f t="shared" si="9"/>
        <v>Нет</v>
      </c>
    </row>
    <row r="134" spans="1:9" ht="15" customHeight="1" x14ac:dyDescent="0.25">
      <c r="A134" t="s">
        <v>165</v>
      </c>
      <c r="B134">
        <v>5</v>
      </c>
      <c r="C134" t="s">
        <v>161</v>
      </c>
      <c r="D134" t="s">
        <v>162</v>
      </c>
      <c r="E134" t="s">
        <v>132</v>
      </c>
      <c r="F134" s="2">
        <v>4.2</v>
      </c>
      <c r="G134" s="3">
        <f>IFERROR(VLOOKUP(D134,'Справочник материалов'!$A:$C,3,FALSE()),0)</f>
        <v>0</v>
      </c>
      <c r="H134" s="3">
        <f t="shared" si="8"/>
        <v>0</v>
      </c>
      <c r="I134" t="str">
        <f t="shared" si="9"/>
        <v>Нет</v>
      </c>
    </row>
    <row r="135" spans="1:9" ht="15" customHeight="1" x14ac:dyDescent="0.25">
      <c r="A135" t="s">
        <v>165</v>
      </c>
      <c r="B135">
        <v>6</v>
      </c>
      <c r="C135" t="s">
        <v>161</v>
      </c>
      <c r="D135" t="s">
        <v>162</v>
      </c>
      <c r="E135" t="s">
        <v>132</v>
      </c>
      <c r="F135" s="2">
        <v>10.5</v>
      </c>
      <c r="G135" s="3">
        <f>IFERROR(VLOOKUP(D135,'Справочник материалов'!$A:$C,3,FALSE()),0)</f>
        <v>0</v>
      </c>
      <c r="H135" s="3">
        <f t="shared" si="8"/>
        <v>0</v>
      </c>
      <c r="I135" t="str">
        <f t="shared" si="9"/>
        <v>Нет</v>
      </c>
    </row>
    <row r="136" spans="1:9" ht="15" customHeight="1" x14ac:dyDescent="0.25">
      <c r="A136" t="s">
        <v>165</v>
      </c>
      <c r="B136">
        <v>7</v>
      </c>
      <c r="C136" t="s">
        <v>161</v>
      </c>
      <c r="D136" t="s">
        <v>162</v>
      </c>
      <c r="E136" t="s">
        <v>132</v>
      </c>
      <c r="F136" s="2">
        <v>4.2</v>
      </c>
      <c r="G136" s="3">
        <f>IFERROR(VLOOKUP(D136,'Справочник материалов'!$A:$C,3,FALSE()),0)</f>
        <v>0</v>
      </c>
      <c r="H136" s="3">
        <f t="shared" si="8"/>
        <v>0</v>
      </c>
      <c r="I136" t="str">
        <f t="shared" si="9"/>
        <v>Нет</v>
      </c>
    </row>
    <row r="137" spans="1:9" ht="15" customHeight="1" x14ac:dyDescent="0.25">
      <c r="A137" t="s">
        <v>165</v>
      </c>
      <c r="B137">
        <v>1</v>
      </c>
      <c r="C137" t="s">
        <v>163</v>
      </c>
      <c r="D137" t="s">
        <v>164</v>
      </c>
      <c r="E137" t="s">
        <v>132</v>
      </c>
      <c r="F137" s="2">
        <v>0.48</v>
      </c>
      <c r="G137" s="3">
        <f>IFERROR(VLOOKUP(D137,'Справочник материалов'!$A:$C,3,FALSE()),0)</f>
        <v>0</v>
      </c>
      <c r="H137" s="3">
        <f t="shared" si="8"/>
        <v>0</v>
      </c>
      <c r="I137" t="str">
        <f t="shared" si="9"/>
        <v>Нет</v>
      </c>
    </row>
    <row r="138" spans="1:9" ht="15" customHeight="1" x14ac:dyDescent="0.25">
      <c r="A138" t="s">
        <v>165</v>
      </c>
      <c r="B138">
        <v>2</v>
      </c>
      <c r="C138" t="s">
        <v>163</v>
      </c>
      <c r="D138" t="s">
        <v>164</v>
      </c>
      <c r="E138" t="s">
        <v>132</v>
      </c>
      <c r="F138" s="2">
        <v>1.2</v>
      </c>
      <c r="G138" s="3">
        <f>IFERROR(VLOOKUP(D138,'Справочник материалов'!$A:$C,3,FALSE()),0)</f>
        <v>0</v>
      </c>
      <c r="H138" s="3">
        <f t="shared" si="8"/>
        <v>0</v>
      </c>
      <c r="I138" t="str">
        <f t="shared" si="9"/>
        <v>Нет</v>
      </c>
    </row>
    <row r="139" spans="1:9" ht="15" customHeight="1" x14ac:dyDescent="0.25">
      <c r="A139" t="s">
        <v>165</v>
      </c>
      <c r="B139">
        <v>3</v>
      </c>
      <c r="C139" t="s">
        <v>163</v>
      </c>
      <c r="D139" t="s">
        <v>164</v>
      </c>
      <c r="E139" t="s">
        <v>132</v>
      </c>
      <c r="F139" s="2">
        <v>0.495</v>
      </c>
      <c r="G139" s="3">
        <f>IFERROR(VLOOKUP(D139,'Справочник материалов'!$A:$C,3,FALSE()),0)</f>
        <v>0</v>
      </c>
      <c r="H139" s="3">
        <f t="shared" si="8"/>
        <v>0</v>
      </c>
      <c r="I139" t="str">
        <f t="shared" si="9"/>
        <v>Нет</v>
      </c>
    </row>
    <row r="140" spans="1:9" ht="15" customHeight="1" x14ac:dyDescent="0.25">
      <c r="A140" t="s">
        <v>165</v>
      </c>
      <c r="B140">
        <v>4</v>
      </c>
      <c r="C140" t="s">
        <v>163</v>
      </c>
      <c r="D140" t="s">
        <v>164</v>
      </c>
      <c r="E140" t="s">
        <v>132</v>
      </c>
      <c r="F140" s="2">
        <v>0.18</v>
      </c>
      <c r="G140" s="3">
        <f>IFERROR(VLOOKUP(D140,'Справочник материалов'!$A:$C,3,FALSE()),0)</f>
        <v>0</v>
      </c>
      <c r="H140" s="3">
        <f t="shared" si="8"/>
        <v>0</v>
      </c>
      <c r="I140" t="str">
        <f t="shared" si="9"/>
        <v>Нет</v>
      </c>
    </row>
    <row r="141" spans="1:9" ht="15" customHeight="1" x14ac:dyDescent="0.25">
      <c r="A141" t="s">
        <v>165</v>
      </c>
      <c r="B141">
        <v>5</v>
      </c>
      <c r="C141" t="s">
        <v>163</v>
      </c>
      <c r="D141" t="s">
        <v>164</v>
      </c>
      <c r="E141" t="s">
        <v>132</v>
      </c>
      <c r="F141" s="2">
        <v>0.18</v>
      </c>
      <c r="G141" s="3">
        <f>IFERROR(VLOOKUP(D141,'Справочник материалов'!$A:$C,3,FALSE()),0)</f>
        <v>0</v>
      </c>
      <c r="H141" s="3">
        <f t="shared" si="8"/>
        <v>0</v>
      </c>
      <c r="I141" t="str">
        <f t="shared" si="9"/>
        <v>Нет</v>
      </c>
    </row>
    <row r="142" spans="1:9" ht="15" customHeight="1" x14ac:dyDescent="0.25">
      <c r="A142" t="s">
        <v>165</v>
      </c>
      <c r="B142">
        <v>6</v>
      </c>
      <c r="C142" t="s">
        <v>163</v>
      </c>
      <c r="D142" t="s">
        <v>164</v>
      </c>
      <c r="E142" t="s">
        <v>132</v>
      </c>
      <c r="F142" s="2">
        <v>0.45</v>
      </c>
      <c r="G142" s="3">
        <f>IFERROR(VLOOKUP(D142,'Справочник материалов'!$A:$C,3,FALSE()),0)</f>
        <v>0</v>
      </c>
      <c r="H142" s="3">
        <f t="shared" si="8"/>
        <v>0</v>
      </c>
      <c r="I142" t="str">
        <f t="shared" si="9"/>
        <v>Нет</v>
      </c>
    </row>
    <row r="143" spans="1:9" ht="15" customHeight="1" x14ac:dyDescent="0.25">
      <c r="A143" t="s">
        <v>165</v>
      </c>
      <c r="B143">
        <v>7</v>
      </c>
      <c r="C143" t="s">
        <v>163</v>
      </c>
      <c r="D143" t="s">
        <v>164</v>
      </c>
      <c r="E143" t="s">
        <v>132</v>
      </c>
      <c r="F143" s="2">
        <v>0.18</v>
      </c>
      <c r="G143" s="3">
        <f>IFERROR(VLOOKUP(D143,'Справочник материалов'!$A:$C,3,FALSE()),0)</f>
        <v>0</v>
      </c>
      <c r="H143" s="3">
        <f t="shared" si="8"/>
        <v>0</v>
      </c>
      <c r="I143" t="str">
        <f t="shared" si="9"/>
        <v>Нет</v>
      </c>
    </row>
    <row r="144" spans="1:9" ht="15" customHeight="1" x14ac:dyDescent="0.25">
      <c r="A144" t="s">
        <v>165</v>
      </c>
      <c r="B144">
        <v>1</v>
      </c>
      <c r="C144" t="s">
        <v>133</v>
      </c>
      <c r="D144" t="s">
        <v>133</v>
      </c>
      <c r="E144" t="s">
        <v>146</v>
      </c>
      <c r="F144" s="2">
        <v>0.1792</v>
      </c>
      <c r="G144" s="3">
        <f>IFERROR(VLOOKUP(D144,'Справочник материалов'!$A:$C,3,FALSE()),0)</f>
        <v>11000</v>
      </c>
      <c r="H144" s="3">
        <f t="shared" si="8"/>
        <v>1971.2</v>
      </c>
      <c r="I144" t="str">
        <f t="shared" si="9"/>
        <v>Да</v>
      </c>
    </row>
    <row r="145" spans="1:9" ht="15" customHeight="1" x14ac:dyDescent="0.25">
      <c r="A145" t="s">
        <v>165</v>
      </c>
      <c r="B145">
        <v>2</v>
      </c>
      <c r="C145" t="s">
        <v>133</v>
      </c>
      <c r="D145" t="s">
        <v>133</v>
      </c>
      <c r="E145" t="s">
        <v>146</v>
      </c>
      <c r="F145" s="2">
        <v>0.44800000000000001</v>
      </c>
      <c r="G145" s="3">
        <f>IFERROR(VLOOKUP(D145,'Справочник материалов'!$A:$C,3,FALSE()),0)</f>
        <v>11000</v>
      </c>
      <c r="H145" s="3">
        <f t="shared" si="8"/>
        <v>4928</v>
      </c>
      <c r="I145" t="str">
        <f t="shared" si="9"/>
        <v>Да</v>
      </c>
    </row>
    <row r="146" spans="1:9" ht="15" customHeight="1" x14ac:dyDescent="0.25">
      <c r="A146" t="s">
        <v>165</v>
      </c>
      <c r="B146">
        <v>3</v>
      </c>
      <c r="C146" t="s">
        <v>133</v>
      </c>
      <c r="D146" t="s">
        <v>133</v>
      </c>
      <c r="E146" t="s">
        <v>146</v>
      </c>
      <c r="F146" s="2">
        <v>0.18479999999999999</v>
      </c>
      <c r="G146" s="3">
        <f>IFERROR(VLOOKUP(D146,'Справочник материалов'!$A:$C,3,FALSE()),0)</f>
        <v>11000</v>
      </c>
      <c r="H146" s="3">
        <f t="shared" si="8"/>
        <v>2032.8</v>
      </c>
      <c r="I146" t="str">
        <f t="shared" si="9"/>
        <v>Да</v>
      </c>
    </row>
    <row r="147" spans="1:9" ht="15" customHeight="1" x14ac:dyDescent="0.25">
      <c r="A147" t="s">
        <v>165</v>
      </c>
      <c r="B147">
        <v>4</v>
      </c>
      <c r="C147" t="s">
        <v>133</v>
      </c>
      <c r="D147" t="s">
        <v>133</v>
      </c>
      <c r="E147" t="s">
        <v>146</v>
      </c>
      <c r="F147" s="2">
        <v>2.3519999999999999E-2</v>
      </c>
      <c r="G147" s="3">
        <f>IFERROR(VLOOKUP(D147,'Справочник материалов'!$A:$C,3,FALSE()),0)</f>
        <v>11000</v>
      </c>
      <c r="H147" s="3">
        <f t="shared" si="8"/>
        <v>258.71999999999997</v>
      </c>
      <c r="I147" t="str">
        <f t="shared" si="9"/>
        <v>Да</v>
      </c>
    </row>
    <row r="148" spans="1:9" ht="15" customHeight="1" x14ac:dyDescent="0.25">
      <c r="A148" t="s">
        <v>165</v>
      </c>
      <c r="B148">
        <v>5</v>
      </c>
      <c r="C148" t="s">
        <v>133</v>
      </c>
      <c r="D148" t="s">
        <v>133</v>
      </c>
      <c r="E148" t="s">
        <v>146</v>
      </c>
      <c r="F148" s="2">
        <v>2.3519999999999999E-2</v>
      </c>
      <c r="G148" s="3">
        <f>IFERROR(VLOOKUP(D148,'Справочник материалов'!$A:$C,3,FALSE()),0)</f>
        <v>11000</v>
      </c>
      <c r="H148" s="3">
        <f t="shared" si="8"/>
        <v>258.71999999999997</v>
      </c>
      <c r="I148" t="str">
        <f t="shared" si="9"/>
        <v>Да</v>
      </c>
    </row>
    <row r="149" spans="1:9" ht="15" customHeight="1" x14ac:dyDescent="0.25">
      <c r="A149" t="s">
        <v>165</v>
      </c>
      <c r="B149">
        <v>6</v>
      </c>
      <c r="C149" t="s">
        <v>133</v>
      </c>
      <c r="D149" t="s">
        <v>133</v>
      </c>
      <c r="E149" t="s">
        <v>146</v>
      </c>
      <c r="F149" s="2">
        <v>5.8799999999999998E-2</v>
      </c>
      <c r="G149" s="3">
        <f>IFERROR(VLOOKUP(D149,'Справочник материалов'!$A:$C,3,FALSE()),0)</f>
        <v>11000</v>
      </c>
      <c r="H149" s="3">
        <f t="shared" si="8"/>
        <v>646.79999999999995</v>
      </c>
      <c r="I149" t="str">
        <f t="shared" si="9"/>
        <v>Да</v>
      </c>
    </row>
    <row r="150" spans="1:9" ht="15" customHeight="1" x14ac:dyDescent="0.25">
      <c r="A150" t="s">
        <v>165</v>
      </c>
      <c r="B150">
        <v>7</v>
      </c>
      <c r="C150" t="s">
        <v>133</v>
      </c>
      <c r="D150" t="s">
        <v>133</v>
      </c>
      <c r="E150" t="s">
        <v>146</v>
      </c>
      <c r="F150" s="2">
        <v>2.3519999999999999E-2</v>
      </c>
      <c r="G150" s="3">
        <f>IFERROR(VLOOKUP(D150,'Справочник материалов'!$A:$C,3,FALSE()),0)</f>
        <v>11000</v>
      </c>
      <c r="H150" s="3">
        <f t="shared" si="8"/>
        <v>258.71999999999997</v>
      </c>
      <c r="I150" t="str">
        <f t="shared" si="9"/>
        <v>Да</v>
      </c>
    </row>
    <row r="151" spans="1:9" ht="15" customHeight="1" x14ac:dyDescent="0.25">
      <c r="A151" s="13" t="s">
        <v>54</v>
      </c>
      <c r="B151" s="13"/>
      <c r="C151" s="13"/>
      <c r="D151" s="13"/>
      <c r="E151" s="13"/>
      <c r="F151" s="13"/>
      <c r="G151" s="13"/>
      <c r="H151" s="10">
        <f>SUM(H2:H150)</f>
        <v>16335892.406588007</v>
      </c>
      <c r="I151" s="13"/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5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42" customWidth="1"/>
    <col min="2" max="2" width="22" customWidth="1"/>
    <col min="3" max="3" width="70" customWidth="1"/>
  </cols>
  <sheetData>
    <row r="1" spans="1:3" ht="15" customHeight="1" x14ac:dyDescent="0.25">
      <c r="A1" s="15" t="s">
        <v>169</v>
      </c>
      <c r="B1" s="15" t="s">
        <v>170</v>
      </c>
      <c r="C1" s="15" t="s">
        <v>80</v>
      </c>
    </row>
    <row r="2" spans="1:3" ht="15" customHeight="1" x14ac:dyDescent="0.25">
      <c r="A2" t="s">
        <v>2</v>
      </c>
      <c r="B2" s="2">
        <f>'Первые 7 участков'!C9</f>
        <v>3494</v>
      </c>
      <c r="C2" t="s">
        <v>171</v>
      </c>
    </row>
    <row r="3" spans="1:3" ht="15" customHeight="1" x14ac:dyDescent="0.25">
      <c r="A3" t="s">
        <v>172</v>
      </c>
      <c r="B3" s="3">
        <v>13275442.801200001</v>
      </c>
      <c r="C3" t="s">
        <v>173</v>
      </c>
    </row>
    <row r="4" spans="1:3" ht="15" customHeight="1" x14ac:dyDescent="0.25">
      <c r="A4" t="s">
        <v>174</v>
      </c>
      <c r="B4" s="3">
        <f>B3/B2</f>
        <v>3799.4970810532341</v>
      </c>
      <c r="C4" t="s">
        <v>175</v>
      </c>
    </row>
    <row r="5" spans="1:3" ht="15" customHeight="1" x14ac:dyDescent="0.25">
      <c r="A5" t="s">
        <v>3</v>
      </c>
      <c r="B5" s="2">
        <f>'Сводный CashFlow'!B5</f>
        <v>11707</v>
      </c>
      <c r="C5" t="s">
        <v>176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85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44" customWidth="1"/>
    <col min="2" max="2" width="42" customWidth="1"/>
    <col min="3" max="3" width="10" customWidth="1"/>
    <col min="4" max="4" width="72" customWidth="1"/>
    <col min="5" max="5" width="10" customWidth="1"/>
    <col min="6" max="6" width="14" customWidth="1"/>
    <col min="7" max="7" width="20" customWidth="1"/>
    <col min="8" max="8" width="22" customWidth="1"/>
    <col min="9" max="9" width="20" customWidth="1"/>
    <col min="10" max="10" width="18" customWidth="1"/>
    <col min="11" max="11" width="20" customWidth="1"/>
  </cols>
  <sheetData>
    <row r="1" spans="1:11" ht="27.75" customHeight="1" x14ac:dyDescent="0.25">
      <c r="A1" s="9" t="s">
        <v>177</v>
      </c>
      <c r="B1" s="9" t="s">
        <v>178</v>
      </c>
      <c r="C1" s="9" t="s">
        <v>179</v>
      </c>
      <c r="D1" s="9" t="s">
        <v>180</v>
      </c>
      <c r="E1" s="9" t="s">
        <v>139</v>
      </c>
      <c r="F1" s="9" t="s">
        <v>140</v>
      </c>
      <c r="G1" s="9" t="s">
        <v>97</v>
      </c>
      <c r="H1" s="9" t="s">
        <v>98</v>
      </c>
      <c r="I1" s="9" t="s">
        <v>99</v>
      </c>
      <c r="J1" s="9" t="s">
        <v>181</v>
      </c>
      <c r="K1" s="9" t="s">
        <v>100</v>
      </c>
    </row>
    <row r="2" spans="1:11" ht="15" customHeight="1" x14ac:dyDescent="0.25">
      <c r="A2" t="s">
        <v>101</v>
      </c>
      <c r="B2" t="s">
        <v>182</v>
      </c>
      <c r="C2">
        <v>1</v>
      </c>
      <c r="D2" t="s">
        <v>183</v>
      </c>
      <c r="E2" t="s">
        <v>112</v>
      </c>
      <c r="F2" s="2">
        <v>32440</v>
      </c>
      <c r="G2" s="3">
        <v>1896442.4</v>
      </c>
      <c r="H2" s="3">
        <v>0</v>
      </c>
      <c r="I2" s="3">
        <v>1896442.4</v>
      </c>
      <c r="J2" s="3">
        <f t="shared" ref="J2:J33" si="0">I2*22%</f>
        <v>417217.32799999998</v>
      </c>
      <c r="K2" s="3">
        <f t="shared" ref="K2:K33" si="1">I2+J2</f>
        <v>2313659.7280000001</v>
      </c>
    </row>
    <row r="3" spans="1:11" ht="15" customHeight="1" x14ac:dyDescent="0.25">
      <c r="A3" t="s">
        <v>101</v>
      </c>
      <c r="B3" t="s">
        <v>184</v>
      </c>
      <c r="C3">
        <v>2</v>
      </c>
      <c r="D3" t="s">
        <v>185</v>
      </c>
      <c r="E3" t="s">
        <v>146</v>
      </c>
      <c r="F3" s="2">
        <v>4824</v>
      </c>
      <c r="G3" s="3">
        <v>33579140.399999999</v>
      </c>
      <c r="H3" s="3">
        <v>0</v>
      </c>
      <c r="I3" s="3">
        <v>33579140.399999999</v>
      </c>
      <c r="J3" s="3">
        <f t="shared" si="0"/>
        <v>7387410.8879999993</v>
      </c>
      <c r="K3" s="3">
        <f t="shared" si="1"/>
        <v>40966551.287999995</v>
      </c>
    </row>
    <row r="4" spans="1:11" ht="15" customHeight="1" x14ac:dyDescent="0.25">
      <c r="A4" t="s">
        <v>101</v>
      </c>
      <c r="B4" t="s">
        <v>184</v>
      </c>
      <c r="C4">
        <v>3</v>
      </c>
      <c r="D4" t="s">
        <v>186</v>
      </c>
      <c r="E4" t="s">
        <v>146</v>
      </c>
      <c r="F4" s="2">
        <v>2400.3000000000002</v>
      </c>
      <c r="G4" s="3">
        <v>3646415.7450000001</v>
      </c>
      <c r="H4" s="3">
        <v>0</v>
      </c>
      <c r="I4" s="3">
        <v>3646415.7450000001</v>
      </c>
      <c r="J4" s="3">
        <f t="shared" si="0"/>
        <v>802211.46389999997</v>
      </c>
      <c r="K4" s="3">
        <f t="shared" si="1"/>
        <v>4448627.2089</v>
      </c>
    </row>
    <row r="5" spans="1:11" ht="15" customHeight="1" x14ac:dyDescent="0.25">
      <c r="A5" t="s">
        <v>101</v>
      </c>
      <c r="B5" t="s">
        <v>184</v>
      </c>
      <c r="C5">
        <v>4</v>
      </c>
      <c r="D5" t="s">
        <v>187</v>
      </c>
      <c r="E5" t="s">
        <v>188</v>
      </c>
      <c r="F5" s="2">
        <v>14938</v>
      </c>
      <c r="G5" s="3">
        <v>42829785.460000001</v>
      </c>
      <c r="H5" s="3">
        <v>0</v>
      </c>
      <c r="I5" s="3">
        <v>42829785.460000001</v>
      </c>
      <c r="J5" s="3">
        <f t="shared" si="0"/>
        <v>9422552.8012000006</v>
      </c>
      <c r="K5" s="3">
        <f t="shared" si="1"/>
        <v>52252338.261200003</v>
      </c>
    </row>
    <row r="6" spans="1:11" ht="15" customHeight="1" x14ac:dyDescent="0.25">
      <c r="A6" t="s">
        <v>101</v>
      </c>
      <c r="B6" t="s">
        <v>189</v>
      </c>
      <c r="C6">
        <v>5</v>
      </c>
      <c r="D6" t="s">
        <v>190</v>
      </c>
      <c r="E6" t="s">
        <v>191</v>
      </c>
      <c r="F6" s="2">
        <v>95.1</v>
      </c>
      <c r="G6" s="3">
        <v>5357.9340000000002</v>
      </c>
      <c r="H6" s="3">
        <v>0</v>
      </c>
      <c r="I6" s="3">
        <v>5357.9340000000002</v>
      </c>
      <c r="J6" s="3">
        <f t="shared" si="0"/>
        <v>1178.74548</v>
      </c>
      <c r="K6" s="3">
        <f t="shared" si="1"/>
        <v>6536.6794800000007</v>
      </c>
    </row>
    <row r="7" spans="1:11" ht="15" customHeight="1" x14ac:dyDescent="0.25">
      <c r="A7" t="s">
        <v>101</v>
      </c>
      <c r="B7" t="s">
        <v>189</v>
      </c>
      <c r="C7">
        <v>6</v>
      </c>
      <c r="D7" t="s">
        <v>192</v>
      </c>
      <c r="E7" t="s">
        <v>193</v>
      </c>
      <c r="F7" s="2">
        <v>9</v>
      </c>
      <c r="G7" s="3">
        <v>94597.92</v>
      </c>
      <c r="H7" s="3">
        <v>0</v>
      </c>
      <c r="I7" s="3">
        <v>94597.92</v>
      </c>
      <c r="J7" s="3">
        <f t="shared" si="0"/>
        <v>20811.542399999998</v>
      </c>
      <c r="K7" s="3">
        <f t="shared" si="1"/>
        <v>115409.46239999999</v>
      </c>
    </row>
    <row r="8" spans="1:11" ht="15" customHeight="1" x14ac:dyDescent="0.25">
      <c r="A8" t="s">
        <v>101</v>
      </c>
      <c r="B8" t="s">
        <v>189</v>
      </c>
      <c r="C8">
        <v>7</v>
      </c>
      <c r="D8" t="s">
        <v>194</v>
      </c>
      <c r="E8" t="s">
        <v>112</v>
      </c>
      <c r="F8" s="2">
        <v>1477.7</v>
      </c>
      <c r="G8" s="3">
        <v>135106.111</v>
      </c>
      <c r="H8" s="3">
        <v>0</v>
      </c>
      <c r="I8" s="3">
        <v>135106.111</v>
      </c>
      <c r="J8" s="3">
        <f t="shared" si="0"/>
        <v>29723.344420000001</v>
      </c>
      <c r="K8" s="3">
        <f t="shared" si="1"/>
        <v>164829.45542000001</v>
      </c>
    </row>
    <row r="9" spans="1:11" ht="15" customHeight="1" x14ac:dyDescent="0.25">
      <c r="A9" t="s">
        <v>101</v>
      </c>
      <c r="B9" t="s">
        <v>189</v>
      </c>
      <c r="C9">
        <v>8</v>
      </c>
      <c r="D9" t="s">
        <v>195</v>
      </c>
      <c r="E9" t="s">
        <v>146</v>
      </c>
      <c r="F9" s="2">
        <v>15.8</v>
      </c>
      <c r="G9" s="3">
        <v>109981.43</v>
      </c>
      <c r="H9" s="3">
        <v>0</v>
      </c>
      <c r="I9" s="3">
        <v>109981.43</v>
      </c>
      <c r="J9" s="3">
        <f t="shared" si="0"/>
        <v>24195.9146</v>
      </c>
      <c r="K9" s="3">
        <f t="shared" si="1"/>
        <v>134177.34459999998</v>
      </c>
    </row>
    <row r="10" spans="1:11" ht="15" customHeight="1" x14ac:dyDescent="0.25">
      <c r="A10" t="s">
        <v>101</v>
      </c>
      <c r="B10" t="s">
        <v>189</v>
      </c>
      <c r="C10">
        <v>9</v>
      </c>
      <c r="D10" t="s">
        <v>196</v>
      </c>
      <c r="E10" t="s">
        <v>112</v>
      </c>
      <c r="F10" s="2">
        <v>104.9</v>
      </c>
      <c r="G10" s="3">
        <v>9591.0069999999996</v>
      </c>
      <c r="H10" s="3">
        <v>0</v>
      </c>
      <c r="I10" s="3">
        <v>9591.0069999999996</v>
      </c>
      <c r="J10" s="3">
        <f t="shared" si="0"/>
        <v>2110.0215399999997</v>
      </c>
      <c r="K10" s="3">
        <f t="shared" si="1"/>
        <v>11701.028539999999</v>
      </c>
    </row>
    <row r="11" spans="1:11" ht="15" customHeight="1" x14ac:dyDescent="0.25">
      <c r="A11" t="s">
        <v>101</v>
      </c>
      <c r="B11" t="s">
        <v>189</v>
      </c>
      <c r="C11">
        <v>10</v>
      </c>
      <c r="D11" t="s">
        <v>197</v>
      </c>
      <c r="E11" t="s">
        <v>145</v>
      </c>
      <c r="F11" s="2">
        <v>41.5</v>
      </c>
      <c r="G11" s="3">
        <v>3794.3449999999998</v>
      </c>
      <c r="H11" s="3">
        <v>0</v>
      </c>
      <c r="I11" s="3">
        <v>3794.3449999999998</v>
      </c>
      <c r="J11" s="3">
        <f t="shared" si="0"/>
        <v>834.7559</v>
      </c>
      <c r="K11" s="3">
        <f t="shared" si="1"/>
        <v>4629.1008999999995</v>
      </c>
    </row>
    <row r="12" spans="1:11" ht="15" customHeight="1" x14ac:dyDescent="0.25">
      <c r="A12" t="s">
        <v>101</v>
      </c>
      <c r="B12" t="s">
        <v>189</v>
      </c>
      <c r="C12">
        <v>11</v>
      </c>
      <c r="D12" t="s">
        <v>198</v>
      </c>
      <c r="E12" t="s">
        <v>112</v>
      </c>
      <c r="F12" s="2">
        <v>15.2</v>
      </c>
      <c r="G12" s="3">
        <v>1389.7360000000001</v>
      </c>
      <c r="H12" s="3">
        <v>0</v>
      </c>
      <c r="I12" s="3">
        <v>1389.7360000000001</v>
      </c>
      <c r="J12" s="3">
        <f t="shared" si="0"/>
        <v>305.74192000000005</v>
      </c>
      <c r="K12" s="3">
        <f t="shared" si="1"/>
        <v>1695.4779200000003</v>
      </c>
    </row>
    <row r="13" spans="1:11" ht="15" customHeight="1" x14ac:dyDescent="0.25">
      <c r="A13" t="s">
        <v>101</v>
      </c>
      <c r="B13" t="s">
        <v>189</v>
      </c>
      <c r="C13">
        <v>12</v>
      </c>
      <c r="D13" t="s">
        <v>199</v>
      </c>
      <c r="E13" t="s">
        <v>112</v>
      </c>
      <c r="F13" s="2">
        <v>7.9</v>
      </c>
      <c r="G13" s="3">
        <v>722.29700000000003</v>
      </c>
      <c r="H13" s="3">
        <v>0</v>
      </c>
      <c r="I13" s="3">
        <v>722.29700000000003</v>
      </c>
      <c r="J13" s="3">
        <f t="shared" si="0"/>
        <v>158.90534</v>
      </c>
      <c r="K13" s="3">
        <f t="shared" si="1"/>
        <v>881.20234000000005</v>
      </c>
    </row>
    <row r="14" spans="1:11" ht="15" customHeight="1" x14ac:dyDescent="0.25">
      <c r="A14" t="s">
        <v>101</v>
      </c>
      <c r="B14" t="s">
        <v>189</v>
      </c>
      <c r="C14">
        <v>13</v>
      </c>
      <c r="D14" t="s">
        <v>200</v>
      </c>
      <c r="E14" t="s">
        <v>112</v>
      </c>
      <c r="F14" s="2">
        <v>48.1</v>
      </c>
      <c r="G14" s="3">
        <v>4397.7830000000004</v>
      </c>
      <c r="H14" s="3">
        <v>0</v>
      </c>
      <c r="I14" s="3">
        <v>4397.7830000000004</v>
      </c>
      <c r="J14" s="3">
        <f t="shared" si="0"/>
        <v>967.51226000000008</v>
      </c>
      <c r="K14" s="3">
        <f t="shared" si="1"/>
        <v>5365.2952600000008</v>
      </c>
    </row>
    <row r="15" spans="1:11" ht="15" customHeight="1" x14ac:dyDescent="0.25">
      <c r="A15" t="s">
        <v>101</v>
      </c>
      <c r="B15" t="s">
        <v>189</v>
      </c>
      <c r="C15">
        <v>14</v>
      </c>
      <c r="D15" t="s">
        <v>201</v>
      </c>
      <c r="E15" t="s">
        <v>112</v>
      </c>
      <c r="F15" s="2">
        <v>41.4</v>
      </c>
      <c r="G15" s="3">
        <v>3785.2020000000002</v>
      </c>
      <c r="H15" s="3">
        <v>0</v>
      </c>
      <c r="I15" s="3">
        <v>3785.2020000000002</v>
      </c>
      <c r="J15" s="3">
        <f t="shared" si="0"/>
        <v>832.74444000000005</v>
      </c>
      <c r="K15" s="3">
        <f t="shared" si="1"/>
        <v>4617.9464400000006</v>
      </c>
    </row>
    <row r="16" spans="1:11" ht="15" customHeight="1" x14ac:dyDescent="0.25">
      <c r="A16" t="s">
        <v>101</v>
      </c>
      <c r="B16" t="s">
        <v>189</v>
      </c>
      <c r="C16">
        <v>15</v>
      </c>
      <c r="D16" t="s">
        <v>202</v>
      </c>
      <c r="E16" t="s">
        <v>112</v>
      </c>
      <c r="F16" s="2">
        <v>12.9</v>
      </c>
      <c r="G16" s="3">
        <v>1179.4469999999999</v>
      </c>
      <c r="H16" s="3">
        <v>0</v>
      </c>
      <c r="I16" s="3">
        <v>1179.4469999999999</v>
      </c>
      <c r="J16" s="3">
        <f t="shared" si="0"/>
        <v>259.47834</v>
      </c>
      <c r="K16" s="3">
        <f t="shared" si="1"/>
        <v>1438.9253399999998</v>
      </c>
    </row>
    <row r="17" spans="1:11" ht="15" customHeight="1" x14ac:dyDescent="0.25">
      <c r="A17" t="s">
        <v>101</v>
      </c>
      <c r="B17" t="s">
        <v>189</v>
      </c>
      <c r="C17">
        <v>16</v>
      </c>
      <c r="D17" t="s">
        <v>203</v>
      </c>
      <c r="E17" t="s">
        <v>112</v>
      </c>
      <c r="F17" s="2">
        <v>78.2</v>
      </c>
      <c r="G17" s="3">
        <v>7149.826</v>
      </c>
      <c r="H17" s="3">
        <v>0</v>
      </c>
      <c r="I17" s="3">
        <v>7149.826</v>
      </c>
      <c r="J17" s="3">
        <f t="shared" si="0"/>
        <v>1572.96172</v>
      </c>
      <c r="K17" s="3">
        <f t="shared" si="1"/>
        <v>8722.7877200000003</v>
      </c>
    </row>
    <row r="18" spans="1:11" ht="15" customHeight="1" x14ac:dyDescent="0.25">
      <c r="A18" t="s">
        <v>101</v>
      </c>
      <c r="B18" t="s">
        <v>189</v>
      </c>
      <c r="C18">
        <v>17</v>
      </c>
      <c r="D18" t="s">
        <v>204</v>
      </c>
      <c r="E18" t="s">
        <v>112</v>
      </c>
      <c r="F18" s="2">
        <v>64.400000000000006</v>
      </c>
      <c r="G18" s="3">
        <v>5888.0919999999996</v>
      </c>
      <c r="H18" s="3">
        <v>0</v>
      </c>
      <c r="I18" s="3">
        <v>5888.0919999999996</v>
      </c>
      <c r="J18" s="3">
        <f t="shared" si="0"/>
        <v>1295.38024</v>
      </c>
      <c r="K18" s="3">
        <f t="shared" si="1"/>
        <v>7183.4722399999991</v>
      </c>
    </row>
    <row r="19" spans="1:11" ht="15" customHeight="1" x14ac:dyDescent="0.25">
      <c r="A19" t="s">
        <v>101</v>
      </c>
      <c r="B19" t="s">
        <v>189</v>
      </c>
      <c r="C19">
        <v>18</v>
      </c>
      <c r="D19" t="s">
        <v>205</v>
      </c>
      <c r="E19" t="s">
        <v>112</v>
      </c>
      <c r="F19" s="2">
        <v>33.9</v>
      </c>
      <c r="G19" s="3">
        <v>3099.4769999999999</v>
      </c>
      <c r="H19" s="3">
        <v>0</v>
      </c>
      <c r="I19" s="3">
        <v>3099.4769999999999</v>
      </c>
      <c r="J19" s="3">
        <f t="shared" si="0"/>
        <v>681.88494000000003</v>
      </c>
      <c r="K19" s="3">
        <f t="shared" si="1"/>
        <v>3781.3619399999998</v>
      </c>
    </row>
    <row r="20" spans="1:11" ht="15" customHeight="1" x14ac:dyDescent="0.25">
      <c r="A20" t="s">
        <v>101</v>
      </c>
      <c r="B20" t="s">
        <v>206</v>
      </c>
      <c r="C20">
        <v>19</v>
      </c>
      <c r="D20" t="s">
        <v>207</v>
      </c>
      <c r="E20" t="s">
        <v>112</v>
      </c>
      <c r="F20" s="2">
        <v>65.8</v>
      </c>
      <c r="G20" s="3">
        <v>6016.0940000000001</v>
      </c>
      <c r="H20" s="3">
        <v>0</v>
      </c>
      <c r="I20" s="3">
        <v>6016.0940000000001</v>
      </c>
      <c r="J20" s="3">
        <f t="shared" si="0"/>
        <v>1323.5406800000001</v>
      </c>
      <c r="K20" s="3">
        <f t="shared" si="1"/>
        <v>7339.6346800000001</v>
      </c>
    </row>
    <row r="21" spans="1:11" ht="15" customHeight="1" x14ac:dyDescent="0.25">
      <c r="A21" t="s">
        <v>101</v>
      </c>
      <c r="B21" t="s">
        <v>206</v>
      </c>
      <c r="C21">
        <v>20</v>
      </c>
      <c r="D21" t="s">
        <v>208</v>
      </c>
      <c r="E21" t="s">
        <v>112</v>
      </c>
      <c r="F21" s="2">
        <v>66.8</v>
      </c>
      <c r="G21" s="3">
        <v>6107.5240000000003</v>
      </c>
      <c r="H21" s="3">
        <v>0</v>
      </c>
      <c r="I21" s="3">
        <v>6107.5240000000003</v>
      </c>
      <c r="J21" s="3">
        <f t="shared" si="0"/>
        <v>1343.6552800000002</v>
      </c>
      <c r="K21" s="3">
        <f t="shared" si="1"/>
        <v>7451.1792800000003</v>
      </c>
    </row>
    <row r="22" spans="1:11" ht="15" customHeight="1" x14ac:dyDescent="0.25">
      <c r="A22" t="s">
        <v>101</v>
      </c>
      <c r="B22" t="s">
        <v>206</v>
      </c>
      <c r="C22">
        <v>21</v>
      </c>
      <c r="D22" t="s">
        <v>209</v>
      </c>
      <c r="E22" t="s">
        <v>112</v>
      </c>
      <c r="F22" s="2">
        <v>164.7</v>
      </c>
      <c r="G22" s="3">
        <v>15058.521000000001</v>
      </c>
      <c r="H22" s="3">
        <v>0</v>
      </c>
      <c r="I22" s="3">
        <v>15058.521000000001</v>
      </c>
      <c r="J22" s="3">
        <f t="shared" si="0"/>
        <v>3312.87462</v>
      </c>
      <c r="K22" s="3">
        <f t="shared" si="1"/>
        <v>18371.395619999999</v>
      </c>
    </row>
    <row r="23" spans="1:11" ht="15" customHeight="1" x14ac:dyDescent="0.25">
      <c r="A23" t="s">
        <v>101</v>
      </c>
      <c r="B23" t="s">
        <v>206</v>
      </c>
      <c r="C23">
        <v>22</v>
      </c>
      <c r="D23" t="s">
        <v>210</v>
      </c>
      <c r="E23" t="s">
        <v>146</v>
      </c>
      <c r="F23" s="2">
        <v>3.7</v>
      </c>
      <c r="G23" s="3">
        <v>25755.145</v>
      </c>
      <c r="H23" s="3">
        <v>0</v>
      </c>
      <c r="I23" s="3">
        <v>25755.145</v>
      </c>
      <c r="J23" s="3">
        <f t="shared" si="0"/>
        <v>5666.1319000000003</v>
      </c>
      <c r="K23" s="3">
        <f t="shared" si="1"/>
        <v>31421.276900000001</v>
      </c>
    </row>
    <row r="24" spans="1:11" ht="15" customHeight="1" x14ac:dyDescent="0.25">
      <c r="A24" t="s">
        <v>101</v>
      </c>
      <c r="B24" t="s">
        <v>206</v>
      </c>
      <c r="C24">
        <v>23</v>
      </c>
      <c r="D24" t="s">
        <v>211</v>
      </c>
      <c r="E24" t="s">
        <v>112</v>
      </c>
      <c r="F24" s="2">
        <v>50</v>
      </c>
      <c r="G24" s="3">
        <v>4571.5</v>
      </c>
      <c r="H24" s="3">
        <v>0</v>
      </c>
      <c r="I24" s="3">
        <v>4571.5</v>
      </c>
      <c r="J24" s="3">
        <f t="shared" si="0"/>
        <v>1005.73</v>
      </c>
      <c r="K24" s="3">
        <f t="shared" si="1"/>
        <v>5577.23</v>
      </c>
    </row>
    <row r="25" spans="1:11" ht="15" customHeight="1" x14ac:dyDescent="0.25">
      <c r="A25" t="s">
        <v>101</v>
      </c>
      <c r="B25" t="s">
        <v>206</v>
      </c>
      <c r="C25">
        <v>24</v>
      </c>
      <c r="D25" t="s">
        <v>212</v>
      </c>
      <c r="E25" t="s">
        <v>112</v>
      </c>
      <c r="F25" s="2">
        <v>20.399999999999999</v>
      </c>
      <c r="G25" s="3">
        <v>1865.172</v>
      </c>
      <c r="H25" s="3">
        <v>0</v>
      </c>
      <c r="I25" s="3">
        <v>1865.172</v>
      </c>
      <c r="J25" s="3">
        <f t="shared" si="0"/>
        <v>410.33784000000003</v>
      </c>
      <c r="K25" s="3">
        <f t="shared" si="1"/>
        <v>2275.5098400000002</v>
      </c>
    </row>
    <row r="26" spans="1:11" ht="15" customHeight="1" x14ac:dyDescent="0.25">
      <c r="A26" t="s">
        <v>101</v>
      </c>
      <c r="B26" t="s">
        <v>206</v>
      </c>
      <c r="C26">
        <v>25</v>
      </c>
      <c r="D26" t="s">
        <v>213</v>
      </c>
      <c r="E26" t="s">
        <v>112</v>
      </c>
      <c r="F26" s="2">
        <v>48.3</v>
      </c>
      <c r="G26" s="3">
        <v>4416.0690000000004</v>
      </c>
      <c r="H26" s="3">
        <v>0</v>
      </c>
      <c r="I26" s="3">
        <v>4416.0690000000004</v>
      </c>
      <c r="J26" s="3">
        <f t="shared" si="0"/>
        <v>971.53518000000008</v>
      </c>
      <c r="K26" s="3">
        <f t="shared" si="1"/>
        <v>5387.6041800000003</v>
      </c>
    </row>
    <row r="27" spans="1:11" ht="15" customHeight="1" x14ac:dyDescent="0.25">
      <c r="A27" t="s">
        <v>101</v>
      </c>
      <c r="B27" t="s">
        <v>214</v>
      </c>
      <c r="C27">
        <v>26</v>
      </c>
      <c r="D27" t="s">
        <v>215</v>
      </c>
      <c r="E27" t="s">
        <v>146</v>
      </c>
      <c r="F27" s="2">
        <v>5</v>
      </c>
      <c r="G27" s="3">
        <v>34804.25</v>
      </c>
      <c r="H27" s="3">
        <v>0</v>
      </c>
      <c r="I27" s="3">
        <v>34804.25</v>
      </c>
      <c r="J27" s="3">
        <f t="shared" si="0"/>
        <v>7656.9350000000004</v>
      </c>
      <c r="K27" s="3">
        <f t="shared" si="1"/>
        <v>42461.184999999998</v>
      </c>
    </row>
    <row r="28" spans="1:11" ht="15" customHeight="1" x14ac:dyDescent="0.25">
      <c r="A28" t="s">
        <v>101</v>
      </c>
      <c r="B28" t="s">
        <v>214</v>
      </c>
      <c r="C28">
        <v>27</v>
      </c>
      <c r="D28" t="s">
        <v>216</v>
      </c>
      <c r="E28" t="s">
        <v>112</v>
      </c>
      <c r="F28" s="2">
        <v>356</v>
      </c>
      <c r="G28" s="3">
        <v>32549.08</v>
      </c>
      <c r="H28" s="3">
        <v>0</v>
      </c>
      <c r="I28" s="3">
        <v>32549.08</v>
      </c>
      <c r="J28" s="3">
        <f t="shared" si="0"/>
        <v>7160.7976000000008</v>
      </c>
      <c r="K28" s="3">
        <f t="shared" si="1"/>
        <v>39709.8776</v>
      </c>
    </row>
    <row r="29" spans="1:11" ht="15" customHeight="1" x14ac:dyDescent="0.25">
      <c r="A29" t="s">
        <v>101</v>
      </c>
      <c r="B29" t="s">
        <v>214</v>
      </c>
      <c r="C29">
        <v>28</v>
      </c>
      <c r="D29" t="s">
        <v>217</v>
      </c>
      <c r="E29" t="s">
        <v>146</v>
      </c>
      <c r="F29" s="2">
        <v>13.5</v>
      </c>
      <c r="G29" s="3">
        <v>93971.475000000006</v>
      </c>
      <c r="H29" s="3">
        <v>0</v>
      </c>
      <c r="I29" s="3">
        <v>93971.475000000006</v>
      </c>
      <c r="J29" s="3">
        <f t="shared" si="0"/>
        <v>20673.7245</v>
      </c>
      <c r="K29" s="3">
        <f t="shared" si="1"/>
        <v>114645.1995</v>
      </c>
    </row>
    <row r="30" spans="1:11" ht="15" customHeight="1" x14ac:dyDescent="0.25">
      <c r="A30" t="s">
        <v>101</v>
      </c>
      <c r="B30" t="s">
        <v>214</v>
      </c>
      <c r="C30">
        <v>29</v>
      </c>
      <c r="D30" t="s">
        <v>218</v>
      </c>
      <c r="E30" t="s">
        <v>145</v>
      </c>
      <c r="F30" s="2">
        <v>7.56</v>
      </c>
      <c r="G30" s="3">
        <v>8203.0535999999993</v>
      </c>
      <c r="H30" s="3">
        <v>0</v>
      </c>
      <c r="I30" s="3">
        <v>8203.0535999999993</v>
      </c>
      <c r="J30" s="3">
        <f t="shared" si="0"/>
        <v>1804.6717919999999</v>
      </c>
      <c r="K30" s="3">
        <f t="shared" si="1"/>
        <v>10007.725391999998</v>
      </c>
    </row>
    <row r="31" spans="1:11" ht="15" customHeight="1" x14ac:dyDescent="0.25">
      <c r="A31" t="s">
        <v>101</v>
      </c>
      <c r="B31" t="s">
        <v>214</v>
      </c>
      <c r="C31">
        <v>30</v>
      </c>
      <c r="D31" t="s">
        <v>219</v>
      </c>
      <c r="E31" t="s">
        <v>146</v>
      </c>
      <c r="F31" s="2">
        <v>3.4</v>
      </c>
      <c r="G31" s="3">
        <v>23666.89</v>
      </c>
      <c r="H31" s="3">
        <v>0</v>
      </c>
      <c r="I31" s="3">
        <v>23666.89</v>
      </c>
      <c r="J31" s="3">
        <f t="shared" si="0"/>
        <v>5206.7157999999999</v>
      </c>
      <c r="K31" s="3">
        <f t="shared" si="1"/>
        <v>28873.605799999998</v>
      </c>
    </row>
    <row r="32" spans="1:11" ht="15" customHeight="1" x14ac:dyDescent="0.25">
      <c r="A32" t="s">
        <v>101</v>
      </c>
      <c r="B32" t="s">
        <v>214</v>
      </c>
      <c r="C32">
        <v>31</v>
      </c>
      <c r="D32" t="s">
        <v>220</v>
      </c>
      <c r="E32" t="s">
        <v>112</v>
      </c>
      <c r="F32" s="2">
        <v>614.4</v>
      </c>
      <c r="G32" s="3">
        <v>56174.591999999997</v>
      </c>
      <c r="H32" s="3">
        <v>0</v>
      </c>
      <c r="I32" s="3">
        <v>56174.591999999997</v>
      </c>
      <c r="J32" s="3">
        <f t="shared" si="0"/>
        <v>12358.410239999999</v>
      </c>
      <c r="K32" s="3">
        <f t="shared" si="1"/>
        <v>68533.002240000002</v>
      </c>
    </row>
    <row r="33" spans="1:11" ht="15" customHeight="1" x14ac:dyDescent="0.25">
      <c r="A33" t="s">
        <v>101</v>
      </c>
      <c r="B33" t="s">
        <v>214</v>
      </c>
      <c r="C33">
        <v>32</v>
      </c>
      <c r="D33" t="s">
        <v>221</v>
      </c>
      <c r="E33" t="s">
        <v>146</v>
      </c>
      <c r="F33" s="2">
        <v>11.1</v>
      </c>
      <c r="G33" s="3">
        <v>77265.434999999998</v>
      </c>
      <c r="H33" s="3">
        <v>0</v>
      </c>
      <c r="I33" s="3">
        <v>77265.434999999998</v>
      </c>
      <c r="J33" s="3">
        <f t="shared" si="0"/>
        <v>16998.395700000001</v>
      </c>
      <c r="K33" s="3">
        <f t="shared" si="1"/>
        <v>94263.830699999991</v>
      </c>
    </row>
    <row r="34" spans="1:11" ht="15" customHeight="1" x14ac:dyDescent="0.25">
      <c r="A34" t="s">
        <v>101</v>
      </c>
      <c r="B34" t="s">
        <v>214</v>
      </c>
      <c r="C34">
        <v>33</v>
      </c>
      <c r="D34" t="s">
        <v>222</v>
      </c>
      <c r="E34" t="s">
        <v>112</v>
      </c>
      <c r="F34" s="2">
        <v>111</v>
      </c>
      <c r="G34" s="3">
        <v>10148.73</v>
      </c>
      <c r="H34" s="3">
        <v>0</v>
      </c>
      <c r="I34" s="3">
        <v>10148.73</v>
      </c>
      <c r="J34" s="3">
        <f t="shared" ref="J34:J65" si="2">I34*22%</f>
        <v>2232.7206000000001</v>
      </c>
      <c r="K34" s="3">
        <f t="shared" ref="K34:K65" si="3">I34+J34</f>
        <v>12381.4506</v>
      </c>
    </row>
    <row r="35" spans="1:11" ht="15" customHeight="1" x14ac:dyDescent="0.25">
      <c r="A35" t="s">
        <v>101</v>
      </c>
      <c r="B35" t="s">
        <v>214</v>
      </c>
      <c r="C35">
        <v>34</v>
      </c>
      <c r="D35" t="s">
        <v>223</v>
      </c>
      <c r="E35" t="s">
        <v>112</v>
      </c>
      <c r="F35" s="2">
        <v>43.2</v>
      </c>
      <c r="G35" s="3">
        <v>3949.7759999999998</v>
      </c>
      <c r="H35" s="3">
        <v>0</v>
      </c>
      <c r="I35" s="3">
        <v>3949.7759999999998</v>
      </c>
      <c r="J35" s="3">
        <f t="shared" si="2"/>
        <v>868.95071999999993</v>
      </c>
      <c r="K35" s="3">
        <f t="shared" si="3"/>
        <v>4818.7267199999997</v>
      </c>
    </row>
    <row r="36" spans="1:11" ht="15" customHeight="1" x14ac:dyDescent="0.25">
      <c r="A36" t="s">
        <v>101</v>
      </c>
      <c r="B36" t="s">
        <v>224</v>
      </c>
      <c r="C36">
        <v>35</v>
      </c>
      <c r="D36" t="s">
        <v>225</v>
      </c>
      <c r="E36" t="s">
        <v>193</v>
      </c>
      <c r="F36" s="2">
        <v>30</v>
      </c>
      <c r="G36" s="3">
        <v>82048.800000000003</v>
      </c>
      <c r="H36" s="3">
        <v>0</v>
      </c>
      <c r="I36" s="3">
        <v>82048.800000000003</v>
      </c>
      <c r="J36" s="3">
        <f t="shared" si="2"/>
        <v>18050.736000000001</v>
      </c>
      <c r="K36" s="3">
        <f t="shared" si="3"/>
        <v>100099.53600000001</v>
      </c>
    </row>
    <row r="37" spans="1:11" ht="15" customHeight="1" x14ac:dyDescent="0.25">
      <c r="A37" t="s">
        <v>101</v>
      </c>
      <c r="B37" t="s">
        <v>224</v>
      </c>
      <c r="C37">
        <v>36</v>
      </c>
      <c r="D37" t="s">
        <v>226</v>
      </c>
      <c r="E37" t="s">
        <v>112</v>
      </c>
      <c r="F37" s="2">
        <v>48</v>
      </c>
      <c r="G37" s="3">
        <v>4388.6400000000003</v>
      </c>
      <c r="H37" s="3">
        <v>0</v>
      </c>
      <c r="I37" s="3">
        <v>4388.6400000000003</v>
      </c>
      <c r="J37" s="3">
        <f t="shared" si="2"/>
        <v>965.50080000000003</v>
      </c>
      <c r="K37" s="3">
        <f t="shared" si="3"/>
        <v>5354.1408000000001</v>
      </c>
    </row>
    <row r="38" spans="1:11" ht="15" customHeight="1" x14ac:dyDescent="0.25">
      <c r="A38" t="s">
        <v>101</v>
      </c>
      <c r="B38" t="s">
        <v>224</v>
      </c>
      <c r="C38">
        <v>37</v>
      </c>
      <c r="D38" t="s">
        <v>227</v>
      </c>
      <c r="E38" t="s">
        <v>112</v>
      </c>
      <c r="F38" s="2">
        <v>18</v>
      </c>
      <c r="G38" s="3">
        <v>1645.74</v>
      </c>
      <c r="H38" s="3">
        <v>0</v>
      </c>
      <c r="I38" s="3">
        <v>1645.74</v>
      </c>
      <c r="J38" s="3">
        <f t="shared" si="2"/>
        <v>362.06279999999998</v>
      </c>
      <c r="K38" s="3">
        <f t="shared" si="3"/>
        <v>2007.8027999999999</v>
      </c>
    </row>
    <row r="39" spans="1:11" ht="15" customHeight="1" x14ac:dyDescent="0.25">
      <c r="A39" t="s">
        <v>101</v>
      </c>
      <c r="B39" t="s">
        <v>224</v>
      </c>
      <c r="C39">
        <v>38</v>
      </c>
      <c r="D39" t="s">
        <v>228</v>
      </c>
      <c r="E39" t="s">
        <v>112</v>
      </c>
      <c r="F39" s="2">
        <v>1864</v>
      </c>
      <c r="G39" s="3">
        <v>170425.52</v>
      </c>
      <c r="H39" s="3">
        <v>0</v>
      </c>
      <c r="I39" s="3">
        <v>170425.52</v>
      </c>
      <c r="J39" s="3">
        <f t="shared" si="2"/>
        <v>37493.614399999999</v>
      </c>
      <c r="K39" s="3">
        <f t="shared" si="3"/>
        <v>207919.13439999998</v>
      </c>
    </row>
    <row r="40" spans="1:11" ht="15" customHeight="1" x14ac:dyDescent="0.25">
      <c r="A40" t="s">
        <v>101</v>
      </c>
      <c r="B40" t="s">
        <v>224</v>
      </c>
      <c r="C40">
        <v>39</v>
      </c>
      <c r="D40" t="s">
        <v>229</v>
      </c>
      <c r="E40" t="s">
        <v>146</v>
      </c>
      <c r="F40" s="2">
        <v>28.3</v>
      </c>
      <c r="G40" s="3">
        <v>196992.05499999999</v>
      </c>
      <c r="H40" s="3">
        <v>0</v>
      </c>
      <c r="I40" s="3">
        <v>196992.05499999999</v>
      </c>
      <c r="J40" s="3">
        <f t="shared" si="2"/>
        <v>43338.252099999998</v>
      </c>
      <c r="K40" s="3">
        <f t="shared" si="3"/>
        <v>240330.30709999998</v>
      </c>
    </row>
    <row r="41" spans="1:11" ht="15" customHeight="1" x14ac:dyDescent="0.25">
      <c r="A41" t="s">
        <v>101</v>
      </c>
      <c r="B41" t="s">
        <v>224</v>
      </c>
      <c r="C41">
        <v>40</v>
      </c>
      <c r="D41" t="s">
        <v>230</v>
      </c>
      <c r="E41" t="s">
        <v>112</v>
      </c>
      <c r="F41" s="2">
        <v>94</v>
      </c>
      <c r="G41" s="3">
        <v>8594.42</v>
      </c>
      <c r="H41" s="3">
        <v>0</v>
      </c>
      <c r="I41" s="3">
        <v>8594.42</v>
      </c>
      <c r="J41" s="3">
        <f t="shared" si="2"/>
        <v>1890.7724000000001</v>
      </c>
      <c r="K41" s="3">
        <f t="shared" si="3"/>
        <v>10485.1924</v>
      </c>
    </row>
    <row r="42" spans="1:11" ht="15" customHeight="1" x14ac:dyDescent="0.25">
      <c r="A42" t="s">
        <v>101</v>
      </c>
      <c r="B42" t="s">
        <v>224</v>
      </c>
      <c r="C42">
        <v>41</v>
      </c>
      <c r="D42" t="s">
        <v>231</v>
      </c>
      <c r="E42" t="s">
        <v>112</v>
      </c>
      <c r="F42" s="2">
        <v>208</v>
      </c>
      <c r="G42" s="3">
        <v>19017.439999999999</v>
      </c>
      <c r="H42" s="3">
        <v>0</v>
      </c>
      <c r="I42" s="3">
        <v>19017.439999999999</v>
      </c>
      <c r="J42" s="3">
        <f t="shared" si="2"/>
        <v>4183.8368</v>
      </c>
      <c r="K42" s="3">
        <f t="shared" si="3"/>
        <v>23201.2768</v>
      </c>
    </row>
    <row r="43" spans="1:11" ht="15" customHeight="1" x14ac:dyDescent="0.25">
      <c r="A43" t="s">
        <v>101</v>
      </c>
      <c r="B43" t="s">
        <v>224</v>
      </c>
      <c r="C43">
        <v>42</v>
      </c>
      <c r="D43" t="s">
        <v>232</v>
      </c>
      <c r="E43" t="s">
        <v>112</v>
      </c>
      <c r="F43" s="2">
        <v>221.6</v>
      </c>
      <c r="G43" s="3">
        <v>20260.887999999999</v>
      </c>
      <c r="H43" s="3">
        <v>0</v>
      </c>
      <c r="I43" s="3">
        <v>20260.887999999999</v>
      </c>
      <c r="J43" s="3">
        <f t="shared" si="2"/>
        <v>4457.3953599999995</v>
      </c>
      <c r="K43" s="3">
        <f t="shared" si="3"/>
        <v>24718.283359999998</v>
      </c>
    </row>
    <row r="44" spans="1:11" ht="15" customHeight="1" x14ac:dyDescent="0.25">
      <c r="A44" t="s">
        <v>101</v>
      </c>
      <c r="B44" t="s">
        <v>224</v>
      </c>
      <c r="C44">
        <v>43</v>
      </c>
      <c r="D44" t="s">
        <v>233</v>
      </c>
      <c r="E44" t="s">
        <v>112</v>
      </c>
      <c r="F44" s="2">
        <v>64.400000000000006</v>
      </c>
      <c r="G44" s="3">
        <v>5888.0919999999996</v>
      </c>
      <c r="H44" s="3">
        <v>0</v>
      </c>
      <c r="I44" s="3">
        <v>5888.0919999999996</v>
      </c>
      <c r="J44" s="3">
        <f t="shared" si="2"/>
        <v>1295.38024</v>
      </c>
      <c r="K44" s="3">
        <f t="shared" si="3"/>
        <v>7183.4722399999991</v>
      </c>
    </row>
    <row r="45" spans="1:11" ht="15" customHeight="1" x14ac:dyDescent="0.25">
      <c r="A45" t="s">
        <v>101</v>
      </c>
      <c r="B45" t="s">
        <v>224</v>
      </c>
      <c r="C45">
        <v>44</v>
      </c>
      <c r="D45" t="s">
        <v>234</v>
      </c>
      <c r="E45" t="s">
        <v>112</v>
      </c>
      <c r="F45" s="2">
        <v>125</v>
      </c>
      <c r="G45" s="3">
        <v>11428.75</v>
      </c>
      <c r="H45" s="3">
        <v>0</v>
      </c>
      <c r="I45" s="3">
        <v>11428.75</v>
      </c>
      <c r="J45" s="3">
        <f t="shared" si="2"/>
        <v>2514.3249999999998</v>
      </c>
      <c r="K45" s="3">
        <f t="shared" si="3"/>
        <v>13943.075000000001</v>
      </c>
    </row>
    <row r="46" spans="1:11" ht="15" customHeight="1" x14ac:dyDescent="0.25">
      <c r="A46" t="s">
        <v>101</v>
      </c>
      <c r="B46" t="s">
        <v>224</v>
      </c>
      <c r="C46">
        <v>45</v>
      </c>
      <c r="D46" t="s">
        <v>235</v>
      </c>
      <c r="E46" t="s">
        <v>112</v>
      </c>
      <c r="F46" s="2">
        <v>264.10000000000002</v>
      </c>
      <c r="G46" s="3">
        <v>24146.663</v>
      </c>
      <c r="H46" s="3">
        <v>0</v>
      </c>
      <c r="I46" s="3">
        <v>24146.663</v>
      </c>
      <c r="J46" s="3">
        <f t="shared" si="2"/>
        <v>5312.2658600000004</v>
      </c>
      <c r="K46" s="3">
        <f t="shared" si="3"/>
        <v>29458.92886</v>
      </c>
    </row>
    <row r="47" spans="1:11" ht="15" customHeight="1" x14ac:dyDescent="0.25">
      <c r="A47" t="s">
        <v>101</v>
      </c>
      <c r="B47" t="s">
        <v>236</v>
      </c>
      <c r="C47">
        <v>46</v>
      </c>
      <c r="D47" t="s">
        <v>237</v>
      </c>
      <c r="E47" t="s">
        <v>193</v>
      </c>
      <c r="F47" s="2">
        <v>12</v>
      </c>
      <c r="G47" s="3">
        <v>139497.35999999999</v>
      </c>
      <c r="H47" s="3">
        <v>0</v>
      </c>
      <c r="I47" s="3">
        <v>139497.35999999999</v>
      </c>
      <c r="J47" s="3">
        <f t="shared" si="2"/>
        <v>30689.419199999997</v>
      </c>
      <c r="K47" s="3">
        <f t="shared" si="3"/>
        <v>170186.77919999999</v>
      </c>
    </row>
    <row r="48" spans="1:11" ht="15" customHeight="1" x14ac:dyDescent="0.25">
      <c r="A48" t="s">
        <v>101</v>
      </c>
      <c r="B48" t="s">
        <v>236</v>
      </c>
      <c r="C48">
        <v>47</v>
      </c>
      <c r="D48" t="s">
        <v>238</v>
      </c>
      <c r="E48" t="s">
        <v>112</v>
      </c>
      <c r="F48" s="2">
        <v>1308.2</v>
      </c>
      <c r="G48" s="3">
        <v>119608.726</v>
      </c>
      <c r="H48" s="3">
        <v>0</v>
      </c>
      <c r="I48" s="3">
        <v>119608.726</v>
      </c>
      <c r="J48" s="3">
        <f t="shared" si="2"/>
        <v>26313.919719999998</v>
      </c>
      <c r="K48" s="3">
        <f t="shared" si="3"/>
        <v>145922.64572</v>
      </c>
    </row>
    <row r="49" spans="1:11" ht="15" customHeight="1" x14ac:dyDescent="0.25">
      <c r="A49" t="s">
        <v>101</v>
      </c>
      <c r="B49" t="s">
        <v>236</v>
      </c>
      <c r="C49">
        <v>48</v>
      </c>
      <c r="D49" t="s">
        <v>239</v>
      </c>
      <c r="E49" t="s">
        <v>112</v>
      </c>
      <c r="F49" s="2">
        <v>183.6</v>
      </c>
      <c r="G49" s="3">
        <v>16786.547999999999</v>
      </c>
      <c r="H49" s="3">
        <v>0</v>
      </c>
      <c r="I49" s="3">
        <v>16786.547999999999</v>
      </c>
      <c r="J49" s="3">
        <f t="shared" si="2"/>
        <v>3693.0405599999999</v>
      </c>
      <c r="K49" s="3">
        <f t="shared" si="3"/>
        <v>20479.58856</v>
      </c>
    </row>
    <row r="50" spans="1:11" ht="15" customHeight="1" x14ac:dyDescent="0.25">
      <c r="A50" t="s">
        <v>101</v>
      </c>
      <c r="B50" t="s">
        <v>236</v>
      </c>
      <c r="C50">
        <v>49</v>
      </c>
      <c r="D50" t="s">
        <v>240</v>
      </c>
      <c r="E50" t="s">
        <v>112</v>
      </c>
      <c r="F50" s="2">
        <v>176</v>
      </c>
      <c r="G50" s="3">
        <v>16091.68</v>
      </c>
      <c r="H50" s="3">
        <v>0</v>
      </c>
      <c r="I50" s="3">
        <v>16091.68</v>
      </c>
      <c r="J50" s="3">
        <f t="shared" si="2"/>
        <v>3540.1696000000002</v>
      </c>
      <c r="K50" s="3">
        <f t="shared" si="3"/>
        <v>19631.849600000001</v>
      </c>
    </row>
    <row r="51" spans="1:11" ht="15" customHeight="1" x14ac:dyDescent="0.25">
      <c r="A51" t="s">
        <v>101</v>
      </c>
      <c r="B51" t="s">
        <v>236</v>
      </c>
      <c r="C51">
        <v>50</v>
      </c>
      <c r="D51" t="s">
        <v>241</v>
      </c>
      <c r="E51" t="s">
        <v>146</v>
      </c>
      <c r="F51" s="2">
        <v>11.4</v>
      </c>
      <c r="G51" s="3">
        <v>79353.69</v>
      </c>
      <c r="H51" s="3">
        <v>0</v>
      </c>
      <c r="I51" s="3">
        <v>79353.69</v>
      </c>
      <c r="J51" s="3">
        <f t="shared" si="2"/>
        <v>17457.811799999999</v>
      </c>
      <c r="K51" s="3">
        <f t="shared" si="3"/>
        <v>96811.501799999998</v>
      </c>
    </row>
    <row r="52" spans="1:11" ht="15" customHeight="1" x14ac:dyDescent="0.25">
      <c r="A52" t="s">
        <v>101</v>
      </c>
      <c r="B52" t="s">
        <v>236</v>
      </c>
      <c r="C52">
        <v>51</v>
      </c>
      <c r="D52" t="s">
        <v>242</v>
      </c>
      <c r="E52" t="s">
        <v>145</v>
      </c>
      <c r="F52" s="2">
        <v>3.78</v>
      </c>
      <c r="G52" s="3">
        <v>4101.5267999999996</v>
      </c>
      <c r="H52" s="3">
        <v>0</v>
      </c>
      <c r="I52" s="3">
        <v>4101.5267999999996</v>
      </c>
      <c r="J52" s="3">
        <f t="shared" si="2"/>
        <v>902.33589599999993</v>
      </c>
      <c r="K52" s="3">
        <f t="shared" si="3"/>
        <v>5003.8626959999992</v>
      </c>
    </row>
    <row r="53" spans="1:11" ht="15" customHeight="1" x14ac:dyDescent="0.25">
      <c r="A53" t="s">
        <v>101</v>
      </c>
      <c r="B53" t="s">
        <v>243</v>
      </c>
      <c r="C53">
        <v>52</v>
      </c>
      <c r="D53" t="s">
        <v>244</v>
      </c>
      <c r="E53" t="s">
        <v>146</v>
      </c>
      <c r="F53" s="2">
        <v>175.6</v>
      </c>
      <c r="G53" s="3">
        <v>266762.74</v>
      </c>
      <c r="H53" s="3">
        <v>0</v>
      </c>
      <c r="I53" s="3">
        <v>266762.74</v>
      </c>
      <c r="J53" s="3">
        <f t="shared" si="2"/>
        <v>58687.802799999998</v>
      </c>
      <c r="K53" s="3">
        <f t="shared" si="3"/>
        <v>325450.5428</v>
      </c>
    </row>
    <row r="54" spans="1:11" ht="15" customHeight="1" x14ac:dyDescent="0.25">
      <c r="A54" t="s">
        <v>101</v>
      </c>
      <c r="B54" t="s">
        <v>243</v>
      </c>
      <c r="C54">
        <v>53</v>
      </c>
      <c r="D54" t="s">
        <v>245</v>
      </c>
      <c r="E54" t="s">
        <v>188</v>
      </c>
      <c r="F54" s="2">
        <v>245.84</v>
      </c>
      <c r="G54" s="3">
        <v>704865.07279999997</v>
      </c>
      <c r="H54" s="3">
        <v>0</v>
      </c>
      <c r="I54" s="3">
        <v>704865.07279999997</v>
      </c>
      <c r="J54" s="3">
        <f t="shared" si="2"/>
        <v>155070.316016</v>
      </c>
      <c r="K54" s="3">
        <f t="shared" si="3"/>
        <v>859935.38881599996</v>
      </c>
    </row>
    <row r="55" spans="1:11" ht="15" customHeight="1" x14ac:dyDescent="0.25">
      <c r="A55" t="s">
        <v>101</v>
      </c>
      <c r="B55" t="s">
        <v>246</v>
      </c>
      <c r="C55">
        <v>54</v>
      </c>
      <c r="D55" t="s">
        <v>247</v>
      </c>
      <c r="E55" t="s">
        <v>145</v>
      </c>
      <c r="F55" s="2">
        <v>1050.4000000000001</v>
      </c>
      <c r="G55" s="3">
        <v>515326.24</v>
      </c>
      <c r="H55" s="3">
        <v>0</v>
      </c>
      <c r="I55" s="3">
        <v>515326.24</v>
      </c>
      <c r="J55" s="3">
        <f t="shared" si="2"/>
        <v>113371.77279999999</v>
      </c>
      <c r="K55" s="3">
        <f t="shared" si="3"/>
        <v>628698.01280000003</v>
      </c>
    </row>
    <row r="56" spans="1:11" ht="15" customHeight="1" x14ac:dyDescent="0.25">
      <c r="A56" t="s">
        <v>101</v>
      </c>
      <c r="B56" t="s">
        <v>246</v>
      </c>
      <c r="C56">
        <v>55</v>
      </c>
      <c r="D56" t="s">
        <v>248</v>
      </c>
      <c r="E56" t="s">
        <v>146</v>
      </c>
      <c r="F56" s="2">
        <v>52.5</v>
      </c>
      <c r="G56" s="3">
        <v>144087.29999999999</v>
      </c>
      <c r="H56" s="3">
        <v>82320</v>
      </c>
      <c r="I56" s="3">
        <v>226407.3</v>
      </c>
      <c r="J56" s="3">
        <f t="shared" si="2"/>
        <v>49809.606</v>
      </c>
      <c r="K56" s="3">
        <f t="shared" si="3"/>
        <v>276216.90599999996</v>
      </c>
    </row>
    <row r="57" spans="1:11" ht="15" customHeight="1" x14ac:dyDescent="0.25">
      <c r="A57" t="s">
        <v>101</v>
      </c>
      <c r="B57" t="s">
        <v>246</v>
      </c>
      <c r="C57">
        <v>56</v>
      </c>
      <c r="D57" t="s">
        <v>249</v>
      </c>
      <c r="E57" t="s">
        <v>146</v>
      </c>
      <c r="F57" s="2">
        <v>105</v>
      </c>
      <c r="G57" s="3">
        <v>321959.40000000002</v>
      </c>
      <c r="H57" s="3">
        <v>540960</v>
      </c>
      <c r="I57" s="3">
        <v>862919.4</v>
      </c>
      <c r="J57" s="3">
        <f t="shared" si="2"/>
        <v>189842.26800000001</v>
      </c>
      <c r="K57" s="3">
        <f t="shared" si="3"/>
        <v>1052761.6680000001</v>
      </c>
    </row>
    <row r="58" spans="1:11" ht="15" customHeight="1" x14ac:dyDescent="0.25">
      <c r="A58" t="s">
        <v>101</v>
      </c>
      <c r="B58" t="s">
        <v>246</v>
      </c>
      <c r="C58">
        <v>57</v>
      </c>
      <c r="D58" t="s">
        <v>250</v>
      </c>
      <c r="E58" t="s">
        <v>146</v>
      </c>
      <c r="F58" s="2">
        <v>253.66</v>
      </c>
      <c r="G58" s="3">
        <v>6089204.6908</v>
      </c>
      <c r="H58" s="3">
        <v>9442886.6730000004</v>
      </c>
      <c r="I58" s="3">
        <v>15532091.3638</v>
      </c>
      <c r="J58" s="3">
        <f t="shared" si="2"/>
        <v>3417060.1000359999</v>
      </c>
      <c r="K58" s="3">
        <f t="shared" si="3"/>
        <v>18949151.463835999</v>
      </c>
    </row>
    <row r="59" spans="1:11" ht="15" customHeight="1" x14ac:dyDescent="0.25">
      <c r="A59" t="s">
        <v>101</v>
      </c>
      <c r="B59" t="s">
        <v>246</v>
      </c>
      <c r="C59">
        <v>58</v>
      </c>
      <c r="D59" t="s">
        <v>251</v>
      </c>
      <c r="E59" t="s">
        <v>145</v>
      </c>
      <c r="F59" s="2">
        <v>719.5</v>
      </c>
      <c r="G59" s="3">
        <v>601689.06999999995</v>
      </c>
      <c r="H59" s="3">
        <v>515737.59999999998</v>
      </c>
      <c r="I59" s="3">
        <v>1117426.67</v>
      </c>
      <c r="J59" s="3">
        <f t="shared" si="2"/>
        <v>245833.86739999999</v>
      </c>
      <c r="K59" s="3">
        <f t="shared" si="3"/>
        <v>1363260.5373999998</v>
      </c>
    </row>
    <row r="60" spans="1:11" ht="15" customHeight="1" x14ac:dyDescent="0.25">
      <c r="A60" t="s">
        <v>101</v>
      </c>
      <c r="B60" t="s">
        <v>246</v>
      </c>
      <c r="C60">
        <v>59</v>
      </c>
      <c r="D60" t="s">
        <v>252</v>
      </c>
      <c r="E60" t="s">
        <v>112</v>
      </c>
      <c r="F60" s="2">
        <v>52518</v>
      </c>
      <c r="G60" s="3">
        <v>3011382.12</v>
      </c>
      <c r="H60" s="3">
        <v>17991091.260000002</v>
      </c>
      <c r="I60" s="3">
        <v>21002473.379999999</v>
      </c>
      <c r="J60" s="3">
        <f t="shared" si="2"/>
        <v>4620544.1436000001</v>
      </c>
      <c r="K60" s="3">
        <f t="shared" si="3"/>
        <v>25623017.523599997</v>
      </c>
    </row>
    <row r="61" spans="1:11" ht="15" customHeight="1" x14ac:dyDescent="0.25">
      <c r="A61" t="s">
        <v>101</v>
      </c>
      <c r="B61" t="s">
        <v>253</v>
      </c>
      <c r="C61">
        <v>60</v>
      </c>
      <c r="D61" t="s">
        <v>247</v>
      </c>
      <c r="E61" t="s">
        <v>145</v>
      </c>
      <c r="F61" s="2">
        <v>15201</v>
      </c>
      <c r="G61" s="3">
        <v>7457610.5999999996</v>
      </c>
      <c r="H61" s="3">
        <v>0</v>
      </c>
      <c r="I61" s="3">
        <v>7457610.5999999996</v>
      </c>
      <c r="J61" s="3">
        <f t="shared" si="2"/>
        <v>1640674.3319999999</v>
      </c>
      <c r="K61" s="3">
        <f t="shared" si="3"/>
        <v>9098284.932</v>
      </c>
    </row>
    <row r="62" spans="1:11" ht="15" customHeight="1" x14ac:dyDescent="0.25">
      <c r="A62" t="s">
        <v>101</v>
      </c>
      <c r="B62" t="s">
        <v>253</v>
      </c>
      <c r="C62">
        <v>61</v>
      </c>
      <c r="D62" t="s">
        <v>254</v>
      </c>
      <c r="E62" t="s">
        <v>146</v>
      </c>
      <c r="F62" s="2">
        <v>1520.1</v>
      </c>
      <c r="G62" s="3">
        <v>4171944.852</v>
      </c>
      <c r="H62" s="3">
        <v>2383516.7999999998</v>
      </c>
      <c r="I62" s="3">
        <v>6555461.6519999998</v>
      </c>
      <c r="J62" s="3">
        <f t="shared" si="2"/>
        <v>1442201.5634399999</v>
      </c>
      <c r="K62" s="3">
        <f t="shared" si="3"/>
        <v>7997663.2154399995</v>
      </c>
    </row>
    <row r="63" spans="1:11" ht="15" customHeight="1" x14ac:dyDescent="0.25">
      <c r="A63" t="s">
        <v>101</v>
      </c>
      <c r="B63" t="s">
        <v>253</v>
      </c>
      <c r="C63">
        <v>62</v>
      </c>
      <c r="D63" t="s">
        <v>255</v>
      </c>
      <c r="E63" t="s">
        <v>146</v>
      </c>
      <c r="F63" s="2">
        <v>760.05</v>
      </c>
      <c r="G63" s="3">
        <v>8111436.0120000001</v>
      </c>
      <c r="H63" s="3">
        <v>4767033.5999999996</v>
      </c>
      <c r="I63" s="3">
        <v>12878469.612</v>
      </c>
      <c r="J63" s="3">
        <f t="shared" si="2"/>
        <v>2833263.31464</v>
      </c>
      <c r="K63" s="3">
        <f t="shared" si="3"/>
        <v>15711732.92664</v>
      </c>
    </row>
    <row r="64" spans="1:11" ht="15" customHeight="1" x14ac:dyDescent="0.25">
      <c r="A64" t="s">
        <v>101</v>
      </c>
      <c r="B64" t="s">
        <v>253</v>
      </c>
      <c r="C64">
        <v>63</v>
      </c>
      <c r="D64" t="s">
        <v>256</v>
      </c>
      <c r="E64" t="s">
        <v>145</v>
      </c>
      <c r="F64" s="2">
        <v>15201</v>
      </c>
      <c r="G64" s="3">
        <v>10805174.82</v>
      </c>
      <c r="H64" s="3">
        <v>10896076.800000001</v>
      </c>
      <c r="I64" s="3">
        <v>21701251.620000001</v>
      </c>
      <c r="J64" s="3">
        <f t="shared" si="2"/>
        <v>4774275.3563999999</v>
      </c>
      <c r="K64" s="3">
        <f t="shared" si="3"/>
        <v>26475526.976400003</v>
      </c>
    </row>
    <row r="65" spans="1:11" ht="15" customHeight="1" x14ac:dyDescent="0.25">
      <c r="A65" t="s">
        <v>101</v>
      </c>
      <c r="B65" t="s">
        <v>253</v>
      </c>
      <c r="C65">
        <v>64</v>
      </c>
      <c r="D65" t="s">
        <v>257</v>
      </c>
      <c r="E65" t="s">
        <v>112</v>
      </c>
      <c r="F65" s="2">
        <v>190619</v>
      </c>
      <c r="G65" s="3">
        <v>14574728.74</v>
      </c>
      <c r="H65" s="3">
        <v>8581667.3800000008</v>
      </c>
      <c r="I65" s="3">
        <v>23156396.120000001</v>
      </c>
      <c r="J65" s="3">
        <f t="shared" si="2"/>
        <v>5094407.1464</v>
      </c>
      <c r="K65" s="3">
        <f t="shared" si="3"/>
        <v>28250803.266400002</v>
      </c>
    </row>
    <row r="66" spans="1:11" ht="15" customHeight="1" x14ac:dyDescent="0.25">
      <c r="A66" t="s">
        <v>101</v>
      </c>
      <c r="B66" t="s">
        <v>253</v>
      </c>
      <c r="C66">
        <v>65</v>
      </c>
      <c r="D66" t="s">
        <v>258</v>
      </c>
      <c r="E66" t="s">
        <v>146</v>
      </c>
      <c r="F66" s="2">
        <v>4560.3</v>
      </c>
      <c r="G66" s="3">
        <v>68470213.922999993</v>
      </c>
      <c r="H66" s="3">
        <v>33277147.541999999</v>
      </c>
      <c r="I66" s="3">
        <v>101747361.465</v>
      </c>
      <c r="J66" s="3">
        <f t="shared" ref="J66:J84" si="4">I66*22%</f>
        <v>22384419.522300001</v>
      </c>
      <c r="K66" s="3">
        <f t="shared" ref="K66:K84" si="5">I66+J66</f>
        <v>124131780.98730001</v>
      </c>
    </row>
    <row r="67" spans="1:11" ht="15" customHeight="1" x14ac:dyDescent="0.25">
      <c r="A67" t="s">
        <v>101</v>
      </c>
      <c r="B67" t="s">
        <v>253</v>
      </c>
      <c r="C67">
        <v>66</v>
      </c>
      <c r="D67" t="s">
        <v>259</v>
      </c>
      <c r="E67" t="s">
        <v>145</v>
      </c>
      <c r="F67" s="2">
        <v>15201</v>
      </c>
      <c r="G67" s="3">
        <v>26634584.16</v>
      </c>
      <c r="H67" s="3">
        <v>5157395.28</v>
      </c>
      <c r="I67" s="3">
        <v>31791979.440000001</v>
      </c>
      <c r="J67" s="3">
        <f t="shared" si="4"/>
        <v>6994235.4768000003</v>
      </c>
      <c r="K67" s="3">
        <f t="shared" si="5"/>
        <v>38786214.9168</v>
      </c>
    </row>
    <row r="68" spans="1:11" ht="15" customHeight="1" x14ac:dyDescent="0.25">
      <c r="A68" t="s">
        <v>101</v>
      </c>
      <c r="B68" t="s">
        <v>260</v>
      </c>
      <c r="C68">
        <v>80</v>
      </c>
      <c r="D68" t="s">
        <v>261</v>
      </c>
      <c r="E68" t="s">
        <v>145</v>
      </c>
      <c r="F68" s="2">
        <v>4.05</v>
      </c>
      <c r="G68" s="3">
        <v>1986.93</v>
      </c>
      <c r="H68" s="3">
        <v>0</v>
      </c>
      <c r="I68" s="3">
        <v>1986.93</v>
      </c>
      <c r="J68" s="3">
        <f t="shared" si="4"/>
        <v>437.12460000000004</v>
      </c>
      <c r="K68" s="3">
        <f t="shared" si="5"/>
        <v>2424.0545999999999</v>
      </c>
    </row>
    <row r="69" spans="1:11" ht="15" customHeight="1" x14ac:dyDescent="0.25">
      <c r="A69" t="s">
        <v>101</v>
      </c>
      <c r="B69" t="s">
        <v>260</v>
      </c>
      <c r="C69">
        <v>81</v>
      </c>
      <c r="D69" t="s">
        <v>262</v>
      </c>
      <c r="E69" t="s">
        <v>146</v>
      </c>
      <c r="F69" s="2">
        <v>3</v>
      </c>
      <c r="G69" s="3">
        <v>90243.06</v>
      </c>
      <c r="H69" s="3">
        <v>30420.39</v>
      </c>
      <c r="I69" s="3">
        <v>120663.45</v>
      </c>
      <c r="J69" s="3">
        <f t="shared" si="4"/>
        <v>26545.958999999999</v>
      </c>
      <c r="K69" s="3">
        <f t="shared" si="5"/>
        <v>147209.40899999999</v>
      </c>
    </row>
    <row r="70" spans="1:11" ht="15" customHeight="1" x14ac:dyDescent="0.25">
      <c r="A70" t="s">
        <v>101</v>
      </c>
      <c r="B70" t="s">
        <v>260</v>
      </c>
      <c r="C70">
        <v>82</v>
      </c>
      <c r="D70" t="s">
        <v>263</v>
      </c>
      <c r="E70" t="s">
        <v>191</v>
      </c>
      <c r="F70" s="2">
        <v>18</v>
      </c>
      <c r="G70" s="3">
        <v>4845.6000000000004</v>
      </c>
      <c r="H70" s="3">
        <v>2136.96</v>
      </c>
      <c r="I70" s="3">
        <v>6982.56</v>
      </c>
      <c r="J70" s="3">
        <f t="shared" si="4"/>
        <v>1536.1632000000002</v>
      </c>
      <c r="K70" s="3">
        <f t="shared" si="5"/>
        <v>8518.7232000000004</v>
      </c>
    </row>
    <row r="71" spans="1:11" ht="15" customHeight="1" x14ac:dyDescent="0.25">
      <c r="A71" t="s">
        <v>101</v>
      </c>
      <c r="B71" t="s">
        <v>264</v>
      </c>
      <c r="C71">
        <v>84</v>
      </c>
      <c r="D71" t="s">
        <v>264</v>
      </c>
      <c r="E71" t="s">
        <v>123</v>
      </c>
      <c r="F71" s="2">
        <v>3641.8</v>
      </c>
      <c r="G71" s="3">
        <v>980372.56</v>
      </c>
      <c r="H71" s="3">
        <v>72617.491999999998</v>
      </c>
      <c r="I71" s="3">
        <v>1052990.0519999999</v>
      </c>
      <c r="J71" s="3">
        <f t="shared" si="4"/>
        <v>231657.81143999999</v>
      </c>
      <c r="K71" s="3">
        <f t="shared" si="5"/>
        <v>1284647.86344</v>
      </c>
    </row>
    <row r="72" spans="1:11" ht="15" customHeight="1" x14ac:dyDescent="0.25">
      <c r="A72" t="s">
        <v>102</v>
      </c>
      <c r="B72" t="s">
        <v>265</v>
      </c>
      <c r="C72">
        <v>67</v>
      </c>
      <c r="D72" t="s">
        <v>261</v>
      </c>
      <c r="E72" t="s">
        <v>145</v>
      </c>
      <c r="F72" s="2">
        <v>11.9</v>
      </c>
      <c r="G72" s="3">
        <v>5838.14</v>
      </c>
      <c r="H72" s="3">
        <v>0</v>
      </c>
      <c r="I72" s="3">
        <v>5838.14</v>
      </c>
      <c r="J72" s="3">
        <f t="shared" si="4"/>
        <v>1284.3908000000001</v>
      </c>
      <c r="K72" s="3">
        <f t="shared" si="5"/>
        <v>7122.5308000000005</v>
      </c>
    </row>
    <row r="73" spans="1:11" ht="15" customHeight="1" x14ac:dyDescent="0.25">
      <c r="A73" t="s">
        <v>102</v>
      </c>
      <c r="B73" t="s">
        <v>265</v>
      </c>
      <c r="C73">
        <v>68</v>
      </c>
      <c r="D73" t="s">
        <v>266</v>
      </c>
      <c r="E73" t="s">
        <v>146</v>
      </c>
      <c r="F73" s="2">
        <v>1.19</v>
      </c>
      <c r="G73" s="3">
        <v>3648.8732</v>
      </c>
      <c r="H73" s="3">
        <v>6130.88</v>
      </c>
      <c r="I73" s="3">
        <v>9779.7531999999992</v>
      </c>
      <c r="J73" s="3">
        <f t="shared" si="4"/>
        <v>2151.5457039999997</v>
      </c>
      <c r="K73" s="3">
        <f t="shared" si="5"/>
        <v>11931.298903999999</v>
      </c>
    </row>
    <row r="74" spans="1:11" ht="15" customHeight="1" x14ac:dyDescent="0.25">
      <c r="A74" t="s">
        <v>102</v>
      </c>
      <c r="B74" t="s">
        <v>265</v>
      </c>
      <c r="C74">
        <v>69</v>
      </c>
      <c r="D74" t="s">
        <v>267</v>
      </c>
      <c r="E74" t="s">
        <v>146</v>
      </c>
      <c r="F74" s="2">
        <v>1.19</v>
      </c>
      <c r="G74" s="3">
        <v>16712.7765</v>
      </c>
      <c r="H74" s="3">
        <v>7463.68</v>
      </c>
      <c r="I74" s="3">
        <v>24176.4565</v>
      </c>
      <c r="J74" s="3">
        <f t="shared" si="4"/>
        <v>5318.8204299999998</v>
      </c>
      <c r="K74" s="3">
        <f t="shared" si="5"/>
        <v>29495.27693</v>
      </c>
    </row>
    <row r="75" spans="1:11" ht="15" customHeight="1" x14ac:dyDescent="0.25">
      <c r="A75" t="s">
        <v>102</v>
      </c>
      <c r="B75" t="s">
        <v>265</v>
      </c>
      <c r="C75">
        <v>70</v>
      </c>
      <c r="D75" t="s">
        <v>268</v>
      </c>
      <c r="E75" t="s">
        <v>145</v>
      </c>
      <c r="F75" s="2">
        <v>11.9</v>
      </c>
      <c r="G75" s="3">
        <v>9951.4940000000006</v>
      </c>
      <c r="H75" s="3">
        <v>8529.92</v>
      </c>
      <c r="I75" s="3">
        <v>18481.414000000001</v>
      </c>
      <c r="J75" s="3">
        <f t="shared" si="4"/>
        <v>4065.9110800000003</v>
      </c>
      <c r="K75" s="3">
        <f t="shared" si="5"/>
        <v>22547.325080000002</v>
      </c>
    </row>
    <row r="76" spans="1:11" ht="15" customHeight="1" x14ac:dyDescent="0.25">
      <c r="A76" t="s">
        <v>102</v>
      </c>
      <c r="B76" t="s">
        <v>265</v>
      </c>
      <c r="C76">
        <v>71</v>
      </c>
      <c r="D76" t="s">
        <v>262</v>
      </c>
      <c r="E76" t="s">
        <v>146</v>
      </c>
      <c r="F76" s="2">
        <v>10.3</v>
      </c>
      <c r="G76" s="3">
        <v>309834.50599999999</v>
      </c>
      <c r="H76" s="3">
        <v>123669.93700000001</v>
      </c>
      <c r="I76" s="3">
        <v>433504.44300000003</v>
      </c>
      <c r="J76" s="3">
        <f t="shared" si="4"/>
        <v>95370.977460000009</v>
      </c>
      <c r="K76" s="3">
        <f t="shared" si="5"/>
        <v>528875.42046000005</v>
      </c>
    </row>
    <row r="77" spans="1:11" ht="15" customHeight="1" x14ac:dyDescent="0.25">
      <c r="A77" t="s">
        <v>102</v>
      </c>
      <c r="B77" t="s">
        <v>265</v>
      </c>
      <c r="C77">
        <v>72</v>
      </c>
      <c r="D77" t="s">
        <v>269</v>
      </c>
      <c r="E77" t="s">
        <v>112</v>
      </c>
      <c r="F77" s="2">
        <v>8.75</v>
      </c>
      <c r="G77" s="3">
        <v>3137.4</v>
      </c>
      <c r="H77" s="3">
        <v>539.17499999999995</v>
      </c>
      <c r="I77" s="3">
        <v>3676.5749999999998</v>
      </c>
      <c r="J77" s="3">
        <f t="shared" si="4"/>
        <v>808.84649999999999</v>
      </c>
      <c r="K77" s="3">
        <f t="shared" si="5"/>
        <v>4485.4214999999995</v>
      </c>
    </row>
    <row r="78" spans="1:11" ht="15" customHeight="1" x14ac:dyDescent="0.25">
      <c r="A78" t="s">
        <v>102</v>
      </c>
      <c r="B78" t="s">
        <v>265</v>
      </c>
      <c r="C78">
        <v>73</v>
      </c>
      <c r="D78" t="s">
        <v>270</v>
      </c>
      <c r="E78" t="s">
        <v>123</v>
      </c>
      <c r="F78" s="2">
        <v>13.8</v>
      </c>
      <c r="G78" s="3">
        <v>3714.96</v>
      </c>
      <c r="H78" s="3">
        <v>1638.336</v>
      </c>
      <c r="I78" s="3">
        <v>5353.2960000000003</v>
      </c>
      <c r="J78" s="3">
        <f t="shared" si="4"/>
        <v>1177.7251200000001</v>
      </c>
      <c r="K78" s="3">
        <f t="shared" si="5"/>
        <v>6531.0211200000003</v>
      </c>
    </row>
    <row r="79" spans="1:11" ht="15" customHeight="1" x14ac:dyDescent="0.25">
      <c r="A79" t="s">
        <v>102</v>
      </c>
      <c r="B79" t="s">
        <v>271</v>
      </c>
      <c r="C79">
        <v>74</v>
      </c>
      <c r="D79" t="s">
        <v>261</v>
      </c>
      <c r="E79" t="s">
        <v>145</v>
      </c>
      <c r="F79" s="2">
        <v>49.64</v>
      </c>
      <c r="G79" s="3">
        <v>24353.383999999998</v>
      </c>
      <c r="H79" s="3">
        <v>0</v>
      </c>
      <c r="I79" s="3">
        <v>24353.383999999998</v>
      </c>
      <c r="J79" s="3">
        <f t="shared" si="4"/>
        <v>5357.7444799999994</v>
      </c>
      <c r="K79" s="3">
        <f t="shared" si="5"/>
        <v>29711.128479999999</v>
      </c>
    </row>
    <row r="80" spans="1:11" ht="15" customHeight="1" x14ac:dyDescent="0.25">
      <c r="A80" t="s">
        <v>102</v>
      </c>
      <c r="B80" t="s">
        <v>271</v>
      </c>
      <c r="C80">
        <v>75</v>
      </c>
      <c r="D80" t="s">
        <v>272</v>
      </c>
      <c r="E80" t="s">
        <v>146</v>
      </c>
      <c r="F80" s="2">
        <v>10</v>
      </c>
      <c r="G80" s="3">
        <v>30662.799999999999</v>
      </c>
      <c r="H80" s="3">
        <v>51520</v>
      </c>
      <c r="I80" s="3">
        <v>82182.8</v>
      </c>
      <c r="J80" s="3">
        <f t="shared" si="4"/>
        <v>18080.216</v>
      </c>
      <c r="K80" s="3">
        <f t="shared" si="5"/>
        <v>100263.016</v>
      </c>
    </row>
    <row r="81" spans="1:11" ht="15" customHeight="1" x14ac:dyDescent="0.25">
      <c r="A81" t="s">
        <v>102</v>
      </c>
      <c r="B81" t="s">
        <v>271</v>
      </c>
      <c r="C81">
        <v>76</v>
      </c>
      <c r="D81" t="s">
        <v>273</v>
      </c>
      <c r="E81" t="s">
        <v>146</v>
      </c>
      <c r="F81" s="2">
        <v>2.48</v>
      </c>
      <c r="G81" s="3">
        <v>34829.987999999998</v>
      </c>
      <c r="H81" s="3">
        <v>15554.56</v>
      </c>
      <c r="I81" s="3">
        <v>50384.548000000003</v>
      </c>
      <c r="J81" s="3">
        <f t="shared" si="4"/>
        <v>11084.600560000001</v>
      </c>
      <c r="K81" s="3">
        <f t="shared" si="5"/>
        <v>61469.148560000001</v>
      </c>
    </row>
    <row r="82" spans="1:11" ht="15" customHeight="1" x14ac:dyDescent="0.25">
      <c r="A82" t="s">
        <v>102</v>
      </c>
      <c r="B82" t="s">
        <v>271</v>
      </c>
      <c r="C82">
        <v>77</v>
      </c>
      <c r="D82" t="s">
        <v>268</v>
      </c>
      <c r="E82" t="s">
        <v>145</v>
      </c>
      <c r="F82" s="2">
        <v>49.64</v>
      </c>
      <c r="G82" s="3">
        <v>41511.946400000001</v>
      </c>
      <c r="H82" s="3">
        <v>35581.951999999997</v>
      </c>
      <c r="I82" s="3">
        <v>77093.898400000005</v>
      </c>
      <c r="J82" s="3">
        <f t="shared" si="4"/>
        <v>16960.657648</v>
      </c>
      <c r="K82" s="3">
        <f t="shared" si="5"/>
        <v>94054.556047999999</v>
      </c>
    </row>
    <row r="83" spans="1:11" ht="15" customHeight="1" x14ac:dyDescent="0.25">
      <c r="A83" t="s">
        <v>102</v>
      </c>
      <c r="B83" t="s">
        <v>271</v>
      </c>
      <c r="C83">
        <v>78</v>
      </c>
      <c r="D83" t="s">
        <v>262</v>
      </c>
      <c r="E83" t="s">
        <v>146</v>
      </c>
      <c r="F83" s="2">
        <v>30</v>
      </c>
      <c r="G83" s="3">
        <v>822519.3</v>
      </c>
      <c r="H83" s="3">
        <v>317505.90000000002</v>
      </c>
      <c r="I83" s="3">
        <v>1140025.2</v>
      </c>
      <c r="J83" s="3">
        <f t="shared" si="4"/>
        <v>250805.54399999999</v>
      </c>
      <c r="K83" s="3">
        <f t="shared" si="5"/>
        <v>1390830.7439999999</v>
      </c>
    </row>
    <row r="84" spans="1:11" ht="15" customHeight="1" x14ac:dyDescent="0.25">
      <c r="A84" t="s">
        <v>102</v>
      </c>
      <c r="B84" t="s">
        <v>271</v>
      </c>
      <c r="C84">
        <v>79</v>
      </c>
      <c r="D84" t="s">
        <v>274</v>
      </c>
      <c r="E84" t="s">
        <v>145</v>
      </c>
      <c r="F84" s="2">
        <v>36</v>
      </c>
      <c r="G84" s="3">
        <v>9691.2000000000007</v>
      </c>
      <c r="H84" s="3">
        <v>386265.59999999998</v>
      </c>
      <c r="I84" s="3">
        <v>395956.8</v>
      </c>
      <c r="J84" s="3">
        <f t="shared" si="4"/>
        <v>87110.495999999999</v>
      </c>
      <c r="K84" s="3">
        <f t="shared" si="5"/>
        <v>483067.29599999997</v>
      </c>
    </row>
    <row r="85" spans="1:11" ht="15" customHeight="1" x14ac:dyDescent="0.25">
      <c r="A85" s="13" t="s">
        <v>54</v>
      </c>
      <c r="B85" s="13"/>
      <c r="C85" s="13"/>
      <c r="D85" s="13"/>
      <c r="E85" s="13"/>
      <c r="F85" s="13"/>
      <c r="G85" s="10">
        <f>SUM(G2:G84)</f>
        <v>237937449.11609998</v>
      </c>
      <c r="H85" s="10">
        <f>SUM(H2:H84)</f>
        <v>94695407.717000008</v>
      </c>
      <c r="I85" s="10">
        <f>SUM(I2:I84)</f>
        <v>332632856.8330999</v>
      </c>
      <c r="J85" s="10">
        <f>SUM(J2:J84)</f>
        <v>73179228.503281996</v>
      </c>
      <c r="K85" s="10">
        <f>SUM(K2:K84)</f>
        <v>405812085.33638191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97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42" customWidth="1"/>
    <col min="2" max="2" width="30" customWidth="1"/>
    <col min="3" max="3" width="70" customWidth="1"/>
  </cols>
  <sheetData>
    <row r="1" spans="1:3" ht="15" customHeight="1" x14ac:dyDescent="0.25">
      <c r="A1" s="15" t="s">
        <v>169</v>
      </c>
      <c r="B1" s="15" t="s">
        <v>275</v>
      </c>
      <c r="C1" s="15" t="s">
        <v>80</v>
      </c>
    </row>
    <row r="2" spans="1:3" ht="15" customHeight="1" x14ac:dyDescent="0.25">
      <c r="A2" t="s">
        <v>276</v>
      </c>
      <c r="B2" s="2">
        <f>'Сводный CashFlow'!B3</f>
        <v>15201</v>
      </c>
      <c r="C2" t="s">
        <v>277</v>
      </c>
    </row>
    <row r="3" spans="1:3" ht="15" customHeight="1" x14ac:dyDescent="0.25">
      <c r="A3" t="s">
        <v>66</v>
      </c>
      <c r="B3" s="2">
        <f>'Сводный CashFlow'!B4</f>
        <v>3494</v>
      </c>
      <c r="C3" t="s">
        <v>278</v>
      </c>
    </row>
    <row r="4" spans="1:3" ht="15" customHeight="1" x14ac:dyDescent="0.25">
      <c r="A4" t="s">
        <v>279</v>
      </c>
      <c r="B4" s="2">
        <f>'Сводный CashFlow'!B5</f>
        <v>11707</v>
      </c>
      <c r="C4" t="s">
        <v>280</v>
      </c>
    </row>
    <row r="5" spans="1:3" ht="15" customHeight="1" x14ac:dyDescent="0.25">
      <c r="A5" t="s">
        <v>281</v>
      </c>
      <c r="B5" s="2">
        <f>'Этапы и участки'!D13</f>
        <v>15201</v>
      </c>
      <c r="C5" t="s">
        <v>277</v>
      </c>
    </row>
    <row r="6" spans="1:3" ht="15" customHeight="1" x14ac:dyDescent="0.25">
      <c r="A6" t="s">
        <v>282</v>
      </c>
      <c r="B6" s="3">
        <f>'Сводный CashFlow'!B8</f>
        <v>405812085.33638197</v>
      </c>
      <c r="C6" t="s">
        <v>283</v>
      </c>
    </row>
    <row r="7" spans="1:3" ht="15" customHeight="1" x14ac:dyDescent="0.25">
      <c r="A7" t="s">
        <v>284</v>
      </c>
      <c r="B7" s="3">
        <f>'Этапы и участки'!E13</f>
        <v>405812085.33638203</v>
      </c>
      <c r="C7" t="s">
        <v>285</v>
      </c>
    </row>
    <row r="8" spans="1:3" ht="15" customHeight="1" x14ac:dyDescent="0.25">
      <c r="A8" t="s">
        <v>286</v>
      </c>
      <c r="B8" s="3">
        <f>B6-B7</f>
        <v>0</v>
      </c>
      <c r="C8" t="s">
        <v>287</v>
      </c>
    </row>
    <row r="9" spans="1:3" ht="15" customHeight="1" x14ac:dyDescent="0.25">
      <c r="A9" t="s">
        <v>26</v>
      </c>
      <c r="B9" s="3">
        <f>'Этапы и участки'!L13</f>
        <v>385521481.06956285</v>
      </c>
      <c r="C9" t="s">
        <v>288</v>
      </c>
    </row>
    <row r="10" spans="1:3" ht="15" customHeight="1" x14ac:dyDescent="0.25">
      <c r="A10" t="s">
        <v>59</v>
      </c>
      <c r="B10" s="3">
        <f>'Этапы и участки'!K13</f>
        <v>20290604.266819101</v>
      </c>
      <c r="C10" t="s">
        <v>289</v>
      </c>
    </row>
    <row r="11" spans="1:3" ht="15" customHeight="1" x14ac:dyDescent="0.25">
      <c r="A11" t="s">
        <v>290</v>
      </c>
      <c r="B11" s="3">
        <f>'ФОТ по месяцам'!I9</f>
        <v>0</v>
      </c>
      <c r="C11" t="s">
        <v>291</v>
      </c>
    </row>
    <row r="12" spans="1:3" ht="15" customHeight="1" x14ac:dyDescent="0.25">
      <c r="A12" t="s">
        <v>292</v>
      </c>
      <c r="B12" s="3">
        <f>'Сводный CashFlow'!M23</f>
        <v>-7082812.8197865337</v>
      </c>
      <c r="C12" t="s">
        <v>293</v>
      </c>
    </row>
    <row r="14" spans="1:3" ht="15" customHeight="1" x14ac:dyDescent="0.25">
      <c r="A14" s="16" t="s">
        <v>294</v>
      </c>
      <c r="B14" s="8">
        <f>'Сводный CashFlow'!B11</f>
        <v>121743625.60091458</v>
      </c>
      <c r="C14" t="s">
        <v>295</v>
      </c>
    </row>
    <row r="15" spans="1:3" ht="15" customHeight="1" x14ac:dyDescent="0.25">
      <c r="A15" t="s">
        <v>282</v>
      </c>
      <c r="B15" s="3">
        <f>'Сводный CashFlow'!B8</f>
        <v>405812085.33638197</v>
      </c>
      <c r="C15" t="s">
        <v>296</v>
      </c>
    </row>
    <row r="16" spans="1:3" ht="15" customHeight="1" x14ac:dyDescent="0.25">
      <c r="A16" t="s">
        <v>297</v>
      </c>
      <c r="B16" s="3">
        <f>'Сводный CashFlow'!B8*'Сводный CashFlow'!B9</f>
        <v>121743625.60091458</v>
      </c>
      <c r="C16" t="s">
        <v>298</v>
      </c>
    </row>
    <row r="17" spans="1:3" ht="15" customHeight="1" x14ac:dyDescent="0.25">
      <c r="A17" t="s">
        <v>299</v>
      </c>
      <c r="B17" s="3">
        <f>B14-B16</f>
        <v>0</v>
      </c>
      <c r="C17" t="s">
        <v>287</v>
      </c>
    </row>
    <row r="18" spans="1:3" ht="15" customHeight="1" x14ac:dyDescent="0.25">
      <c r="A18" t="s">
        <v>300</v>
      </c>
      <c r="B18" s="3">
        <f>'Этапы и участки'!K13</f>
        <v>20290604.266819101</v>
      </c>
      <c r="C18" t="s">
        <v>301</v>
      </c>
    </row>
    <row r="19" spans="1:3" ht="15" customHeight="1" x14ac:dyDescent="0.25">
      <c r="A19" t="s">
        <v>302</v>
      </c>
      <c r="B19" s="3">
        <f>'Сводный CashFlow'!L23</f>
        <v>66882764.872513041</v>
      </c>
      <c r="C19" t="s">
        <v>303</v>
      </c>
    </row>
    <row r="20" spans="1:3" ht="15" customHeight="1" x14ac:dyDescent="0.25">
      <c r="A20" t="s">
        <v>292</v>
      </c>
      <c r="B20" s="3">
        <f>'Сводный CashFlow'!M23</f>
        <v>-7082812.8197865337</v>
      </c>
      <c r="C20" t="s">
        <v>304</v>
      </c>
    </row>
    <row r="22" spans="1:3" ht="15" customHeight="1" x14ac:dyDescent="0.25">
      <c r="A22" t="s">
        <v>305</v>
      </c>
      <c r="B22" s="3">
        <f>'Налоги по месяцам'!J9</f>
        <v>0</v>
      </c>
      <c r="C22" t="s">
        <v>306</v>
      </c>
    </row>
    <row r="23" spans="1:3" ht="15" customHeight="1" x14ac:dyDescent="0.25">
      <c r="A23" t="s">
        <v>307</v>
      </c>
      <c r="B23" s="3">
        <f>'Налоги по месяцам'!I9</f>
        <v>0</v>
      </c>
      <c r="C23" t="s">
        <v>308</v>
      </c>
    </row>
    <row r="24" spans="1:3" ht="15" customHeight="1" x14ac:dyDescent="0.25">
      <c r="A24" t="s">
        <v>309</v>
      </c>
      <c r="B24" s="3">
        <f>'Налоги по месяцам'!K9</f>
        <v>0</v>
      </c>
      <c r="C24" t="s">
        <v>310</v>
      </c>
    </row>
    <row r="25" spans="1:3" ht="15" customHeight="1" x14ac:dyDescent="0.25">
      <c r="A25" t="s">
        <v>311</v>
      </c>
      <c r="B25" s="3">
        <f>'Сводный CashFlow'!O23</f>
        <v>2583730.4423918836</v>
      </c>
      <c r="C25" t="s">
        <v>312</v>
      </c>
    </row>
    <row r="27" spans="1:3" ht="15" customHeight="1" x14ac:dyDescent="0.25">
      <c r="A27" t="s">
        <v>313</v>
      </c>
      <c r="B27" s="3">
        <f>'Свод выполнений'!F12</f>
        <v>405812085.33638203</v>
      </c>
      <c r="C27" t="s">
        <v>314</v>
      </c>
    </row>
    <row r="28" spans="1:3" ht="15" customHeight="1" x14ac:dyDescent="0.25">
      <c r="A28" t="s">
        <v>315</v>
      </c>
      <c r="B28" s="3">
        <f>'Свод выполнений'!H12</f>
        <v>0</v>
      </c>
      <c r="C28" t="s">
        <v>316</v>
      </c>
    </row>
    <row r="29" spans="1:3" ht="15" customHeight="1" x14ac:dyDescent="0.25">
      <c r="A29" t="s">
        <v>317</v>
      </c>
      <c r="B29" t="s">
        <v>318</v>
      </c>
      <c r="C29" t="s">
        <v>319</v>
      </c>
    </row>
    <row r="31" spans="1:3" ht="15" customHeight="1" x14ac:dyDescent="0.25">
      <c r="A31" t="s">
        <v>320</v>
      </c>
      <c r="B31" s="3">
        <f>'Лотки - оплачиваются'!C55</f>
        <v>28061713.039475694</v>
      </c>
      <c r="C31" t="s">
        <v>321</v>
      </c>
    </row>
    <row r="32" spans="1:3" ht="15" customHeight="1" x14ac:dyDescent="0.25">
      <c r="A32" t="s">
        <v>322</v>
      </c>
      <c r="B32" s="3">
        <f>'Сводный CashFlow'!B14</f>
        <v>60871812.800457291</v>
      </c>
      <c r="C32" t="s">
        <v>323</v>
      </c>
    </row>
    <row r="33" spans="1:3" ht="15" customHeight="1" x14ac:dyDescent="0.25">
      <c r="A33" t="s">
        <v>324</v>
      </c>
      <c r="B33" s="3">
        <f>'Этапы и участки'!E13</f>
        <v>405812085.33638203</v>
      </c>
      <c r="C33" t="s">
        <v>325</v>
      </c>
    </row>
    <row r="34" spans="1:3" ht="15" customHeight="1" x14ac:dyDescent="0.25">
      <c r="A34" t="s">
        <v>326</v>
      </c>
      <c r="B34" s="3">
        <f>'Этапы и участки'!P13</f>
        <v>0</v>
      </c>
      <c r="C34" t="s">
        <v>327</v>
      </c>
    </row>
    <row r="36" spans="1:3" ht="15" customHeight="1" x14ac:dyDescent="0.25">
      <c r="A36" t="s">
        <v>328</v>
      </c>
      <c r="B36" t="s">
        <v>329</v>
      </c>
      <c r="C36" t="s">
        <v>330</v>
      </c>
    </row>
    <row r="37" spans="1:3" ht="15" customHeight="1" x14ac:dyDescent="0.25">
      <c r="A37" t="s">
        <v>331</v>
      </c>
      <c r="B37" t="s">
        <v>332</v>
      </c>
      <c r="C37" t="s">
        <v>333</v>
      </c>
    </row>
    <row r="38" spans="1:3" ht="15" customHeight="1" x14ac:dyDescent="0.25">
      <c r="A38" t="s">
        <v>334</v>
      </c>
      <c r="B38" t="s">
        <v>335</v>
      </c>
      <c r="C38" t="s">
        <v>336</v>
      </c>
    </row>
    <row r="40" spans="1:3" ht="15" customHeight="1" x14ac:dyDescent="0.25">
      <c r="A40" t="s">
        <v>337</v>
      </c>
      <c r="B40" s="3">
        <f>'Сводный CashFlow'!B13</f>
        <v>60871812.800457291</v>
      </c>
      <c r="C40" t="s">
        <v>338</v>
      </c>
    </row>
    <row r="41" spans="1:3" ht="15" customHeight="1" x14ac:dyDescent="0.25">
      <c r="A41" t="s">
        <v>339</v>
      </c>
      <c r="B41" s="3">
        <f>'Сводный CashFlow'!B14</f>
        <v>60871812.800457291</v>
      </c>
      <c r="C41" t="s">
        <v>340</v>
      </c>
    </row>
    <row r="42" spans="1:3" ht="15" customHeight="1" x14ac:dyDescent="0.25">
      <c r="A42" t="s">
        <v>36</v>
      </c>
      <c r="B42" s="3">
        <f>Q27</f>
        <v>0</v>
      </c>
      <c r="C42" t="s">
        <v>341</v>
      </c>
    </row>
    <row r="43" spans="1:3" ht="15" customHeight="1" x14ac:dyDescent="0.25">
      <c r="A43" t="s">
        <v>342</v>
      </c>
      <c r="B43" s="3">
        <f>S27</f>
        <v>0</v>
      </c>
      <c r="C43" t="s">
        <v>343</v>
      </c>
    </row>
    <row r="45" spans="1:3" ht="15" customHeight="1" x14ac:dyDescent="0.25">
      <c r="A45" t="s">
        <v>294</v>
      </c>
      <c r="B45" s="3">
        <f>'Сводный CashFlow'!B11</f>
        <v>121743625.60091458</v>
      </c>
      <c r="C45" t="s">
        <v>344</v>
      </c>
    </row>
    <row r="46" spans="1:3" ht="15" customHeight="1" x14ac:dyDescent="0.25">
      <c r="A46" t="s">
        <v>345</v>
      </c>
      <c r="B46" s="3" t="str">
        <f>'Сводный CashFlow'!B18</f>
        <v>31.10.2026</v>
      </c>
      <c r="C46" t="s">
        <v>296</v>
      </c>
    </row>
    <row r="47" spans="1:3" ht="15" customHeight="1" x14ac:dyDescent="0.25">
      <c r="A47" t="s">
        <v>337</v>
      </c>
      <c r="B47" s="3">
        <f>'Сводный CashFlow'!B13</f>
        <v>60871812.800457291</v>
      </c>
      <c r="C47" t="s">
        <v>346</v>
      </c>
    </row>
    <row r="48" spans="1:3" ht="15" customHeight="1" x14ac:dyDescent="0.25">
      <c r="A48" t="s">
        <v>339</v>
      </c>
      <c r="B48" s="3">
        <f>'Сводный CashFlow'!B14</f>
        <v>60871812.800457291</v>
      </c>
      <c r="C48" t="s">
        <v>347</v>
      </c>
    </row>
    <row r="49" spans="1:3" ht="15" customHeight="1" x14ac:dyDescent="0.25">
      <c r="A49" t="s">
        <v>342</v>
      </c>
      <c r="B49" s="3">
        <f>'Сводный CashFlow'!S27</f>
        <v>20290604.266819105</v>
      </c>
      <c r="C49" t="s">
        <v>348</v>
      </c>
    </row>
    <row r="50" spans="1:3" ht="15" customHeight="1" x14ac:dyDescent="0.25">
      <c r="A50" t="s">
        <v>32</v>
      </c>
      <c r="B50" s="3">
        <f>'Сводный CashFlow'!O27</f>
        <v>119808868.63633363</v>
      </c>
      <c r="C50" t="s">
        <v>349</v>
      </c>
    </row>
    <row r="52" spans="1:3" ht="15" customHeight="1" x14ac:dyDescent="0.25">
      <c r="A52" t="s">
        <v>317</v>
      </c>
      <c r="B52" t="s">
        <v>318</v>
      </c>
    </row>
    <row r="54" spans="1:3" ht="15" customHeight="1" x14ac:dyDescent="0.25">
      <c r="A54" t="s">
        <v>40</v>
      </c>
      <c r="B54" s="3">
        <f>'Ежемесячные расходы'!E8</f>
        <v>750000</v>
      </c>
      <c r="C54" t="s">
        <v>350</v>
      </c>
    </row>
    <row r="55" spans="1:3" ht="15" customHeight="1" x14ac:dyDescent="0.25">
      <c r="A55" t="s">
        <v>351</v>
      </c>
      <c r="B55" s="3">
        <f>'Ежемесячные расходы'!B19</f>
        <v>800000</v>
      </c>
      <c r="C55" t="s">
        <v>352</v>
      </c>
    </row>
    <row r="57" spans="1:3" ht="15" customHeight="1" x14ac:dyDescent="0.25">
      <c r="A57" t="s">
        <v>353</v>
      </c>
      <c r="B57" s="3">
        <f>'Ежемесячные расходы'!E8</f>
        <v>750000</v>
      </c>
      <c r="C57" t="s">
        <v>354</v>
      </c>
    </row>
    <row r="58" spans="1:3" ht="15" customHeight="1" x14ac:dyDescent="0.25">
      <c r="A58" t="s">
        <v>355</v>
      </c>
      <c r="B58" s="3">
        <f>'Ежемесячные расходы'!F27</f>
        <v>0</v>
      </c>
      <c r="C58" t="s">
        <v>356</v>
      </c>
    </row>
    <row r="59" spans="1:3" ht="15" customHeight="1" x14ac:dyDescent="0.25">
      <c r="A59" t="s">
        <v>357</v>
      </c>
      <c r="B59" s="3">
        <f>'Ежемесячные расходы'!G29</f>
        <v>0</v>
      </c>
      <c r="C59" t="s">
        <v>316</v>
      </c>
    </row>
    <row r="61" spans="1:3" ht="15" customHeight="1" x14ac:dyDescent="0.25">
      <c r="A61" t="s">
        <v>44</v>
      </c>
      <c r="B61" s="3">
        <f>'Разовые затраты'!E15</f>
        <v>7190000</v>
      </c>
      <c r="C61" t="s">
        <v>358</v>
      </c>
    </row>
    <row r="63" spans="1:3" ht="15" customHeight="1" x14ac:dyDescent="0.25">
      <c r="A63" t="s">
        <v>359</v>
      </c>
      <c r="B63" s="3">
        <f>'Лотки - оплачиваются'!C55</f>
        <v>28061713.039475694</v>
      </c>
      <c r="C63" t="s">
        <v>360</v>
      </c>
    </row>
    <row r="64" spans="1:3" ht="15" customHeight="1" x14ac:dyDescent="0.25">
      <c r="A64" t="s">
        <v>361</v>
      </c>
      <c r="B64" s="3" t="str">
        <f>'Сводный CashFlow'!B17</f>
        <v>Через 10 дней после подписания выполнения</v>
      </c>
      <c r="C64" t="s">
        <v>316</v>
      </c>
    </row>
    <row r="65" spans="1:3" ht="15" customHeight="1" x14ac:dyDescent="0.25">
      <c r="A65" t="s">
        <v>345</v>
      </c>
      <c r="B65" s="3" t="str">
        <f>'Сводный CashFlow'!B18</f>
        <v>31.10.2026</v>
      </c>
      <c r="C65" t="s">
        <v>362</v>
      </c>
    </row>
    <row r="67" spans="1:3" ht="15" customHeight="1" x14ac:dyDescent="0.25">
      <c r="A67" t="s">
        <v>363</v>
      </c>
      <c r="B67" t="s">
        <v>364</v>
      </c>
      <c r="C67" t="s">
        <v>365</v>
      </c>
    </row>
    <row r="68" spans="1:3" ht="15" customHeight="1" x14ac:dyDescent="0.25">
      <c r="A68" t="s">
        <v>366</v>
      </c>
      <c r="B68" t="s">
        <v>21</v>
      </c>
      <c r="C68" t="s">
        <v>367</v>
      </c>
    </row>
    <row r="69" spans="1:3" ht="15" customHeight="1" x14ac:dyDescent="0.25">
      <c r="A69" t="s">
        <v>368</v>
      </c>
      <c r="B69" s="3">
        <f>'Ежемесячные расходы'!G17</f>
        <v>500000</v>
      </c>
      <c r="C69" t="s">
        <v>369</v>
      </c>
    </row>
    <row r="70" spans="1:3" ht="15" customHeight="1" x14ac:dyDescent="0.25">
      <c r="A70" t="s">
        <v>370</v>
      </c>
      <c r="B70" s="3">
        <f>ДДС!H20</f>
        <v>97650828.636333644</v>
      </c>
      <c r="C70" t="s">
        <v>371</v>
      </c>
    </row>
    <row r="72" spans="1:3" ht="15" customHeight="1" x14ac:dyDescent="0.25">
      <c r="A72" t="s">
        <v>317</v>
      </c>
      <c r="B72" t="s">
        <v>318</v>
      </c>
      <c r="C72" t="s">
        <v>372</v>
      </c>
    </row>
    <row r="74" spans="1:3" ht="15" customHeight="1" x14ac:dyDescent="0.25">
      <c r="A74" t="s">
        <v>363</v>
      </c>
      <c r="B74" t="s">
        <v>364</v>
      </c>
      <c r="C74" t="s">
        <v>365</v>
      </c>
    </row>
    <row r="75" spans="1:3" ht="15" customHeight="1" x14ac:dyDescent="0.25">
      <c r="A75" t="s">
        <v>373</v>
      </c>
      <c r="B75" t="s">
        <v>374</v>
      </c>
      <c r="C75" t="s">
        <v>375</v>
      </c>
    </row>
    <row r="76" spans="1:3" ht="15" customHeight="1" x14ac:dyDescent="0.25">
      <c r="A76" t="s">
        <v>376</v>
      </c>
      <c r="B76" t="s">
        <v>377</v>
      </c>
      <c r="C76" t="s">
        <v>378</v>
      </c>
    </row>
    <row r="77" spans="1:3" ht="15" customHeight="1" x14ac:dyDescent="0.25">
      <c r="A77" t="s">
        <v>379</v>
      </c>
      <c r="B77" t="s">
        <v>380</v>
      </c>
      <c r="C77" t="s">
        <v>381</v>
      </c>
    </row>
    <row r="78" spans="1:3" ht="15" customHeight="1" x14ac:dyDescent="0.25">
      <c r="A78" t="s">
        <v>38</v>
      </c>
      <c r="B78" s="3">
        <f>'Сводный CashFlow'!S26</f>
        <v>20290604.266819105</v>
      </c>
      <c r="C78" t="s">
        <v>382</v>
      </c>
    </row>
    <row r="79" spans="1:3" ht="15" customHeight="1" x14ac:dyDescent="0.25">
      <c r="A79" t="s">
        <v>370</v>
      </c>
      <c r="B79" s="3">
        <f>ДДС!H20</f>
        <v>97650828.636333644</v>
      </c>
      <c r="C79" t="s">
        <v>371</v>
      </c>
    </row>
    <row r="81" spans="1:3" ht="15" customHeight="1" x14ac:dyDescent="0.25">
      <c r="A81" t="s">
        <v>317</v>
      </c>
      <c r="B81" t="s">
        <v>318</v>
      </c>
      <c r="C81" t="s">
        <v>383</v>
      </c>
    </row>
    <row r="83" spans="1:3" ht="15" customHeight="1" x14ac:dyDescent="0.25">
      <c r="A83" t="s">
        <v>384</v>
      </c>
      <c r="B83" s="3">
        <f>'Материалы по месяцам'!C40</f>
        <v>185941424.54771608</v>
      </c>
      <c r="C83" t="s">
        <v>385</v>
      </c>
    </row>
    <row r="84" spans="1:3" ht="15" customHeight="1" x14ac:dyDescent="0.25">
      <c r="A84" t="s">
        <v>386</v>
      </c>
      <c r="B84" s="3">
        <f>'Материалы по месяцам'!X30</f>
        <v>0</v>
      </c>
      <c r="C84" t="s">
        <v>387</v>
      </c>
    </row>
    <row r="86" spans="1:3" ht="15" customHeight="1" x14ac:dyDescent="0.25">
      <c r="A86" t="s">
        <v>388</v>
      </c>
      <c r="B86" s="3">
        <f>'Материалы себестоимость'!G31</f>
        <v>185941424.54771608</v>
      </c>
      <c r="C86" t="s">
        <v>389</v>
      </c>
    </row>
    <row r="87" spans="1:3" ht="15" customHeight="1" x14ac:dyDescent="0.25">
      <c r="A87" t="s">
        <v>98</v>
      </c>
      <c r="B87" s="3">
        <f>'Материалы себестоимость'!I31</f>
        <v>163058638.78848344</v>
      </c>
      <c r="C87" t="s">
        <v>390</v>
      </c>
    </row>
    <row r="88" spans="1:3" ht="15" customHeight="1" x14ac:dyDescent="0.25">
      <c r="A88" t="s">
        <v>391</v>
      </c>
      <c r="B88" s="3">
        <f>'Материалы по месяцам'!D9</f>
        <v>185941424.54771611</v>
      </c>
      <c r="C88" t="s">
        <v>392</v>
      </c>
    </row>
    <row r="90" spans="1:3" ht="15" customHeight="1" x14ac:dyDescent="0.25">
      <c r="A90" t="s">
        <v>393</v>
      </c>
      <c r="B90" t="s">
        <v>394</v>
      </c>
      <c r="C90" t="s">
        <v>365</v>
      </c>
    </row>
    <row r="91" spans="1:3" ht="15" customHeight="1" x14ac:dyDescent="0.25">
      <c r="A91" t="s">
        <v>395</v>
      </c>
      <c r="B91" s="3">
        <f>150000*5</f>
        <v>750000</v>
      </c>
      <c r="C91" t="s">
        <v>396</v>
      </c>
    </row>
    <row r="92" spans="1:3" ht="15" customHeight="1" x14ac:dyDescent="0.25">
      <c r="A92" t="s">
        <v>397</v>
      </c>
      <c r="B92" s="3">
        <f>500000*5</f>
        <v>2500000</v>
      </c>
      <c r="C92" t="s">
        <v>398</v>
      </c>
    </row>
    <row r="93" spans="1:3" ht="15" customHeight="1" x14ac:dyDescent="0.25">
      <c r="A93" t="s">
        <v>41</v>
      </c>
      <c r="B93" s="3">
        <f>'Утилизация демонтажа'!F9</f>
        <v>8208540</v>
      </c>
      <c r="C93" t="s">
        <v>399</v>
      </c>
    </row>
    <row r="94" spans="1:3" ht="15" customHeight="1" x14ac:dyDescent="0.25">
      <c r="A94" t="s">
        <v>370</v>
      </c>
      <c r="B94" s="3">
        <f>ДДС!H21</f>
        <v>97650828.636333644</v>
      </c>
      <c r="C94" t="s">
        <v>400</v>
      </c>
    </row>
    <row r="96" spans="1:3" ht="15" customHeight="1" x14ac:dyDescent="0.25">
      <c r="A96" t="s">
        <v>36</v>
      </c>
      <c r="B96" t="s">
        <v>401</v>
      </c>
      <c r="C96" t="s">
        <v>402</v>
      </c>
    </row>
    <row r="97" spans="1:3" ht="15" customHeight="1" x14ac:dyDescent="0.25">
      <c r="A97" t="s">
        <v>403</v>
      </c>
      <c r="B97" t="s">
        <v>404</v>
      </c>
      <c r="C97" t="s">
        <v>405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37</vt:i4>
      </vt:variant>
    </vt:vector>
  </HeadingPairs>
  <TitlesOfParts>
    <vt:vector size="37" baseType="lpstr">
      <vt:lpstr>Сводный CashFlow</vt:lpstr>
      <vt:lpstr>Этапы и участки</vt:lpstr>
      <vt:lpstr>Первые 7 участков</vt:lpstr>
      <vt:lpstr>Итоги ценовых таблиц</vt:lpstr>
      <vt:lpstr>Справочник материалов</vt:lpstr>
      <vt:lpstr>Расходы материалов</vt:lpstr>
      <vt:lpstr>Материалы - допущения</vt:lpstr>
      <vt:lpstr>Состав работ по сметам</vt:lpstr>
      <vt:lpstr>Контроль</vt:lpstr>
      <vt:lpstr>ФОТ - допущения</vt:lpstr>
      <vt:lpstr>ФОТ по месяцам</vt:lpstr>
      <vt:lpstr>ФОТ по видам работ</vt:lpstr>
      <vt:lpstr>Налоги - допущения</vt:lpstr>
      <vt:lpstr>Налоги по месяцам</vt:lpstr>
      <vt:lpstr>Методика формирования</vt:lpstr>
      <vt:lpstr>Вып 01</vt:lpstr>
      <vt:lpstr>Вып 02</vt:lpstr>
      <vt:lpstr>Вып 03</vt:lpstr>
      <vt:lpstr>Вып 04</vt:lpstr>
      <vt:lpstr>Вып 05</vt:lpstr>
      <vt:lpstr>Вып 06</vt:lpstr>
      <vt:lpstr>Вып 07</vt:lpstr>
      <vt:lpstr>Вып 08</vt:lpstr>
      <vt:lpstr>Вып 09</vt:lpstr>
      <vt:lpstr>Вып 10</vt:lpstr>
      <vt:lpstr>Свод выполнений</vt:lpstr>
      <vt:lpstr>Лотки - оплачиваются</vt:lpstr>
      <vt:lpstr>Финансовые условия</vt:lpstr>
      <vt:lpstr>Ежемесячные расходы</vt:lpstr>
      <vt:lpstr>Разовые затраты</vt:lpstr>
      <vt:lpstr>Финансовый анализ</vt:lpstr>
      <vt:lpstr>Производственный план 5м</vt:lpstr>
      <vt:lpstr>Проверка ошибок</vt:lpstr>
      <vt:lpstr>Материалы себестоимость</vt:lpstr>
      <vt:lpstr>Материалы по месяцам</vt:lpstr>
      <vt:lpstr>Утилизация демонтажа</vt:lpstr>
      <vt:lpstr>ДДС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Сергей Лихачёв</cp:lastModifiedBy>
  <cp:revision>2</cp:revision>
  <dcterms:created xsi:type="dcterms:W3CDTF">2026-05-14T18:59:06Z</dcterms:created>
  <dcterms:modified xsi:type="dcterms:W3CDTF">2026-06-22T20:27:15Z</dcterms:modified>
  <dc:language>en-US</dc:language>
</cp:coreProperties>
</file>