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xr:revisionPtr revIDLastSave="0" documentId="13_ncr:1_{E8F49098-2B7C-4748-9C36-E7688CA23DBE}" xr6:coauthVersionLast="47" xr6:coauthVersionMax="47" xr10:uidLastSave="{00000000-0000-0000-0000-000000000000}"/>
  <bookViews>
    <workbookView xWindow="-120" yWindow="-120" windowWidth="29040" windowHeight="15840" tabRatio="940" activeTab="1" xr2:uid="{00000000-000D-0000-FFFF-FFFF00000000}"/>
  </bookViews>
  <sheets>
    <sheet name="Промпт" sheetId="19" r:id="rId1"/>
    <sheet name="FIN_PnL_Финальный" sheetId="22" r:id="rId2"/>
    <sheet name="Субподряд" sheetId="27" r:id="rId3"/>
    <sheet name="Материалы" sheetId="28" r:id="rId4"/>
    <sheet name="Инструмент" sheetId="30" r:id="rId5"/>
    <sheet name="Аренда_машин" sheetId="26" r:id="rId6"/>
    <sheet name="ФОТ_производственный" sheetId="31" r:id="rId7"/>
    <sheet name="Разовые_расходы" sheetId="29" r:id="rId8"/>
    <sheet name="Прочие_расходы_DC" sheetId="35" r:id="rId9"/>
    <sheet name="Аренда_транспорта" sheetId="25" r:id="rId10"/>
    <sheet name="ФОТ_управленческий" sheetId="32" r:id="rId11"/>
    <sheet name="Аутсорсинг" sheetId="24" r:id="rId12"/>
    <sheet name="Прочие_OPEX" sheetId="23" r:id="rId13"/>
    <sheet name="ФОТ_управленческий_ГО" sheetId="33" r:id="rId14"/>
    <sheet name="Содержание_офиса" sheetId="34" r:id="rId15"/>
    <sheet name="FIN_0_Параметры" sheetId="3" r:id="rId16"/>
    <sheet name="ежемесячные расходы" sheetId="8" r:id="rId17"/>
    <sheet name="Сводка" sheetId="9" r:id="rId18"/>
    <sheet name="График" sheetId="10" r:id="rId19"/>
    <sheet name="Гантт" sheetId="11" r:id="rId20"/>
    <sheet name="Логика построения" sheetId="12" r:id="rId21"/>
    <sheet name="Риски и меры" sheetId="13" r:id="rId22"/>
    <sheet name="FIN_1_Затраты" sheetId="14" r:id="rId23"/>
    <sheet name="FIN_3_PnL" sheetId="15" r:id="rId24"/>
    <sheet name="FIN_4_CashFlow" sheetId="16" r:id="rId25"/>
    <sheet name="FIN_2_Календарь" sheetId="17" r:id="rId26"/>
    <sheet name="FIN_6_Проверка" sheetId="18" r:id="rId27"/>
    <sheet name="общие параметры" sheetId="5" r:id="rId28"/>
    <sheet name="FIN_5_Dashboard" sheetId="1" r:id="rId29"/>
    <sheet name="себестоимость прямая" sheetId="4" r:id="rId30"/>
    <sheet name="P&amp;L_Прямая_себестоимость" sheetId="21" r:id="rId31"/>
    <sheet name="разовые расходы" sheetId="6" r:id="rId32"/>
    <sheet name="Объемы из ценовой" sheetId="7" r:id="rId33"/>
    <sheet name="Финансовые_расходы" sheetId="36" r:id="rId34"/>
    <sheet name="CashFlow_PnL" sheetId="37" r:id="rId35"/>
  </sheets>
  <definedNames>
    <definedName name="_xlnm._FilterDatabase" localSheetId="22" hidden="1">FIN_1_Затраты!$A$1:$M$72</definedName>
  </definedNames>
  <calcPr calcId="181029" forceFullCalc="1"/>
</workbook>
</file>

<file path=xl/calcChain.xml><?xml version="1.0" encoding="utf-8"?>
<calcChain xmlns="http://schemas.openxmlformats.org/spreadsheetml/2006/main">
  <c r="D51" i="37" l="1"/>
  <c r="C39" i="37"/>
  <c r="C38" i="37"/>
  <c r="C40" i="37" s="1"/>
  <c r="C29" i="37"/>
  <c r="C20" i="37"/>
  <c r="C7" i="37"/>
  <c r="C6" i="37"/>
  <c r="C4" i="36"/>
  <c r="B4" i="22"/>
  <c r="B1" i="36"/>
  <c r="C5" i="35"/>
  <c r="D4" i="35"/>
  <c r="D5" i="35" s="1"/>
  <c r="B16" i="22" s="1"/>
  <c r="C14" i="37" s="1"/>
  <c r="B1" i="35"/>
  <c r="C5" i="31"/>
  <c r="C4" i="31"/>
  <c r="C6" i="31" s="1"/>
  <c r="C5" i="34"/>
  <c r="D4" i="34"/>
  <c r="D5" i="34" s="1"/>
  <c r="B30" i="22" s="1"/>
  <c r="B1" i="34"/>
  <c r="C4" i="33"/>
  <c r="D14" i="33"/>
  <c r="E14" i="33" s="1"/>
  <c r="D13" i="33"/>
  <c r="E13" i="33" s="1"/>
  <c r="D12" i="33"/>
  <c r="E12" i="33" s="1"/>
  <c r="D11" i="33"/>
  <c r="E11" i="33" s="1"/>
  <c r="D10" i="33"/>
  <c r="E10" i="33" s="1"/>
  <c r="D9" i="33"/>
  <c r="E9" i="33" s="1"/>
  <c r="D8" i="33"/>
  <c r="E8" i="33" s="1"/>
  <c r="D7" i="33"/>
  <c r="E7" i="33" s="1"/>
  <c r="D6" i="33"/>
  <c r="E6" i="33" s="1"/>
  <c r="D5" i="33"/>
  <c r="E5" i="33" s="1"/>
  <c r="B1" i="33"/>
  <c r="C4" i="32"/>
  <c r="D10" i="32"/>
  <c r="E10" i="32" s="1"/>
  <c r="D9" i="32"/>
  <c r="E9" i="32" s="1"/>
  <c r="D8" i="32"/>
  <c r="E8" i="32" s="1"/>
  <c r="D7" i="32"/>
  <c r="E7" i="32" s="1"/>
  <c r="D6" i="32"/>
  <c r="E6" i="32" s="1"/>
  <c r="D5" i="32"/>
  <c r="E5" i="32" s="1"/>
  <c r="B1" i="32"/>
  <c r="B1" i="31"/>
  <c r="D7" i="23"/>
  <c r="D6" i="23"/>
  <c r="D5" i="23"/>
  <c r="I83" i="8"/>
  <c r="B6" i="21"/>
  <c r="B5" i="21"/>
  <c r="F8" i="18"/>
  <c r="F6" i="18"/>
  <c r="F5" i="18"/>
  <c r="B26" i="16"/>
  <c r="B2" i="16"/>
  <c r="B10" i="15"/>
  <c r="B6" i="15"/>
  <c r="B5" i="15"/>
  <c r="B4" i="15"/>
  <c r="H70" i="14"/>
  <c r="H66" i="14"/>
  <c r="H59" i="14"/>
  <c r="L56" i="14"/>
  <c r="J56" i="14"/>
  <c r="K56" i="14" s="1"/>
  <c r="L55" i="14"/>
  <c r="J55" i="14"/>
  <c r="K55" i="14" s="1"/>
  <c r="H52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C18" i="11"/>
  <c r="B18" i="11"/>
  <c r="A18" i="11"/>
  <c r="C17" i="11"/>
  <c r="B17" i="11"/>
  <c r="A17" i="11"/>
  <c r="C16" i="11"/>
  <c r="B16" i="11"/>
  <c r="A16" i="11"/>
  <c r="C15" i="11"/>
  <c r="B15" i="11"/>
  <c r="A15" i="11"/>
  <c r="C14" i="11"/>
  <c r="B14" i="11"/>
  <c r="A14" i="11"/>
  <c r="C13" i="11"/>
  <c r="B13" i="11"/>
  <c r="A13" i="11"/>
  <c r="C12" i="11"/>
  <c r="B12" i="11"/>
  <c r="A12" i="11"/>
  <c r="C11" i="11"/>
  <c r="B11" i="11"/>
  <c r="A11" i="11"/>
  <c r="C10" i="11"/>
  <c r="B10" i="11"/>
  <c r="A10" i="11"/>
  <c r="C9" i="11"/>
  <c r="B9" i="11"/>
  <c r="A9" i="11"/>
  <c r="C8" i="11"/>
  <c r="B8" i="11"/>
  <c r="A8" i="11"/>
  <c r="C7" i="11"/>
  <c r="B7" i="11"/>
  <c r="A7" i="11"/>
  <c r="C6" i="11"/>
  <c r="B6" i="11"/>
  <c r="A6" i="11"/>
  <c r="C5" i="11"/>
  <c r="B5" i="11"/>
  <c r="A5" i="11"/>
  <c r="C4" i="11"/>
  <c r="B4" i="11"/>
  <c r="A4" i="11"/>
  <c r="C3" i="11"/>
  <c r="B3" i="11"/>
  <c r="A3" i="11"/>
  <c r="C2" i="11"/>
  <c r="B2" i="11"/>
  <c r="A2" i="11"/>
  <c r="AZ1" i="11"/>
  <c r="AY1" i="11"/>
  <c r="AX1" i="11"/>
  <c r="AW1" i="11"/>
  <c r="AV1" i="11"/>
  <c r="AU1" i="11"/>
  <c r="AT1" i="11"/>
  <c r="AS1" i="11"/>
  <c r="AR1" i="11"/>
  <c r="AQ1" i="11"/>
  <c r="AP1" i="11"/>
  <c r="AO1" i="11"/>
  <c r="AN1" i="11"/>
  <c r="AM1" i="11"/>
  <c r="AL1" i="11"/>
  <c r="AK1" i="11"/>
  <c r="AJ1" i="11"/>
  <c r="AI1" i="11"/>
  <c r="AH1" i="11"/>
  <c r="AG1" i="11"/>
  <c r="AF1" i="11"/>
  <c r="AE1" i="11"/>
  <c r="AD1" i="11"/>
  <c r="AC1" i="11"/>
  <c r="AB1" i="11"/>
  <c r="AA1" i="11"/>
  <c r="Z1" i="11"/>
  <c r="Y1" i="11"/>
  <c r="X1" i="11"/>
  <c r="W1" i="11"/>
  <c r="V1" i="11"/>
  <c r="U1" i="11"/>
  <c r="T1" i="11"/>
  <c r="S1" i="11"/>
  <c r="R1" i="11"/>
  <c r="Q1" i="11"/>
  <c r="P1" i="11"/>
  <c r="O1" i="11"/>
  <c r="N1" i="11"/>
  <c r="M1" i="11"/>
  <c r="L1" i="11"/>
  <c r="K1" i="11"/>
  <c r="J1" i="11"/>
  <c r="I1" i="11"/>
  <c r="H1" i="11"/>
  <c r="G1" i="11"/>
  <c r="F33" i="10"/>
  <c r="E33" i="10"/>
  <c r="F32" i="10"/>
  <c r="E32" i="11" s="1"/>
  <c r="E32" i="10"/>
  <c r="F31" i="10"/>
  <c r="E31" i="11" s="1"/>
  <c r="E31" i="10"/>
  <c r="F30" i="10"/>
  <c r="E30" i="10"/>
  <c r="F29" i="10"/>
  <c r="E29" i="11" s="1"/>
  <c r="E29" i="10"/>
  <c r="F28" i="10"/>
  <c r="E28" i="11" s="1"/>
  <c r="E28" i="10"/>
  <c r="F27" i="10"/>
  <c r="E27" i="10"/>
  <c r="F26" i="10"/>
  <c r="E26" i="10"/>
  <c r="F25" i="10"/>
  <c r="E25" i="11" s="1"/>
  <c r="E25" i="10"/>
  <c r="F24" i="10"/>
  <c r="E24" i="11" s="1"/>
  <c r="E24" i="10"/>
  <c r="F23" i="10"/>
  <c r="E23" i="10"/>
  <c r="F22" i="10"/>
  <c r="E22" i="11" s="1"/>
  <c r="E22" i="10"/>
  <c r="F21" i="10"/>
  <c r="E21" i="11" s="1"/>
  <c r="E21" i="10"/>
  <c r="F20" i="10"/>
  <c r="E20" i="11" s="1"/>
  <c r="E20" i="10"/>
  <c r="F19" i="10"/>
  <c r="E19" i="11" s="1"/>
  <c r="E19" i="10"/>
  <c r="F18" i="10"/>
  <c r="E18" i="10"/>
  <c r="F17" i="10"/>
  <c r="E17" i="10"/>
  <c r="F16" i="10"/>
  <c r="E16" i="10"/>
  <c r="F15" i="10"/>
  <c r="B31" i="9" s="1"/>
  <c r="C31" i="9" s="1"/>
  <c r="E15" i="10"/>
  <c r="F14" i="10"/>
  <c r="E14" i="10"/>
  <c r="F13" i="10"/>
  <c r="E13" i="10"/>
  <c r="F12" i="10"/>
  <c r="E12" i="10"/>
  <c r="F11" i="10"/>
  <c r="E11" i="11" s="1"/>
  <c r="E11" i="10"/>
  <c r="F10" i="10"/>
  <c r="E10" i="10"/>
  <c r="F9" i="10"/>
  <c r="E9" i="10"/>
  <c r="F8" i="10"/>
  <c r="E8" i="10"/>
  <c r="F7" i="10"/>
  <c r="E7" i="10"/>
  <c r="F6" i="10"/>
  <c r="E6" i="10"/>
  <c r="E5" i="10"/>
  <c r="D5" i="11" s="1"/>
  <c r="E4" i="10"/>
  <c r="D4" i="11" s="1"/>
  <c r="F3" i="10"/>
  <c r="E3" i="11" s="1"/>
  <c r="E3" i="10"/>
  <c r="F2" i="10"/>
  <c r="E2" i="11" s="1"/>
  <c r="E2" i="10"/>
  <c r="B28" i="9"/>
  <c r="C28" i="9" s="1"/>
  <c r="B4" i="9"/>
  <c r="B3" i="9"/>
  <c r="E101" i="8"/>
  <c r="E100" i="8"/>
  <c r="E99" i="8"/>
  <c r="E98" i="8"/>
  <c r="E97" i="8"/>
  <c r="E96" i="8"/>
  <c r="E95" i="8"/>
  <c r="E94" i="8"/>
  <c r="E93" i="8"/>
  <c r="E92" i="8"/>
  <c r="D91" i="8"/>
  <c r="E91" i="8" s="1"/>
  <c r="D90" i="8"/>
  <c r="E90" i="8" s="1"/>
  <c r="H85" i="8"/>
  <c r="I85" i="8" s="1"/>
  <c r="H84" i="8"/>
  <c r="I84" i="8" s="1"/>
  <c r="H83" i="8"/>
  <c r="H82" i="8"/>
  <c r="I82" i="8" s="1"/>
  <c r="H81" i="8"/>
  <c r="I81" i="8" s="1"/>
  <c r="E74" i="8"/>
  <c r="E73" i="8"/>
  <c r="E72" i="8"/>
  <c r="E71" i="8"/>
  <c r="E70" i="8"/>
  <c r="E65" i="8"/>
  <c r="E64" i="8"/>
  <c r="D5" i="26" s="1"/>
  <c r="E63" i="8"/>
  <c r="E62" i="8"/>
  <c r="E56" i="8"/>
  <c r="E55" i="8"/>
  <c r="E54" i="8"/>
  <c r="E49" i="8"/>
  <c r="C7" i="24" s="1"/>
  <c r="D7" i="24" s="1"/>
  <c r="E48" i="8"/>
  <c r="C6" i="24" s="1"/>
  <c r="D6" i="24" s="1"/>
  <c r="E47" i="8"/>
  <c r="C5" i="24" s="1"/>
  <c r="D5" i="24" s="1"/>
  <c r="E46" i="8"/>
  <c r="C4" i="24" s="1"/>
  <c r="F40" i="8"/>
  <c r="F39" i="8"/>
  <c r="C20" i="8"/>
  <c r="E162" i="6"/>
  <c r="E158" i="6"/>
  <c r="E157" i="6"/>
  <c r="E151" i="6"/>
  <c r="E150" i="6"/>
  <c r="E149" i="6"/>
  <c r="D144" i="6"/>
  <c r="D143" i="6"/>
  <c r="D142" i="6"/>
  <c r="D141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B122" i="6"/>
  <c r="D122" i="6" s="1"/>
  <c r="B121" i="6"/>
  <c r="D121" i="6" s="1"/>
  <c r="B120" i="6"/>
  <c r="D120" i="6" s="1"/>
  <c r="B119" i="6"/>
  <c r="D119" i="6" s="1"/>
  <c r="D114" i="6"/>
  <c r="D113" i="6"/>
  <c r="D112" i="6"/>
  <c r="B111" i="6"/>
  <c r="D111" i="6" s="1"/>
  <c r="D110" i="6"/>
  <c r="D109" i="6"/>
  <c r="D108" i="6"/>
  <c r="D107" i="6"/>
  <c r="D106" i="6"/>
  <c r="D105" i="6"/>
  <c r="D104" i="6"/>
  <c r="D103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6" i="6"/>
  <c r="D55" i="6"/>
  <c r="D54" i="6"/>
  <c r="D53" i="6"/>
  <c r="D52" i="6"/>
  <c r="D51" i="6"/>
  <c r="D50" i="6"/>
  <c r="D49" i="6"/>
  <c r="D48" i="6"/>
  <c r="D47" i="6"/>
  <c r="D46" i="6"/>
  <c r="D45" i="6"/>
  <c r="D39" i="6"/>
  <c r="D38" i="6"/>
  <c r="D37" i="6"/>
  <c r="B35" i="6"/>
  <c r="D35" i="6" s="1"/>
  <c r="D34" i="6"/>
  <c r="D30" i="6"/>
  <c r="D29" i="6"/>
  <c r="D28" i="6"/>
  <c r="D27" i="6"/>
  <c r="D26" i="6"/>
  <c r="D25" i="6"/>
  <c r="D21" i="6"/>
  <c r="D20" i="6"/>
  <c r="D19" i="6"/>
  <c r="D18" i="6"/>
  <c r="D17" i="6"/>
  <c r="D16" i="6"/>
  <c r="D15" i="6"/>
  <c r="D14" i="6"/>
  <c r="D13" i="6"/>
  <c r="D12" i="6"/>
  <c r="D11" i="6"/>
  <c r="D7" i="6"/>
  <c r="D6" i="6"/>
  <c r="D5" i="6"/>
  <c r="D4" i="6"/>
  <c r="E62" i="5"/>
  <c r="E61" i="5"/>
  <c r="E60" i="5"/>
  <c r="E59" i="5"/>
  <c r="E58" i="5"/>
  <c r="E56" i="5"/>
  <c r="E55" i="5"/>
  <c r="E54" i="5"/>
  <c r="E53" i="5"/>
  <c r="E52" i="5"/>
  <c r="E51" i="5"/>
  <c r="J65" i="4"/>
  <c r="F65" i="4"/>
  <c r="E65" i="4"/>
  <c r="F64" i="4"/>
  <c r="E64" i="4"/>
  <c r="J63" i="4"/>
  <c r="F63" i="4"/>
  <c r="E63" i="4"/>
  <c r="F62" i="4"/>
  <c r="E62" i="4"/>
  <c r="J61" i="4"/>
  <c r="F61" i="4"/>
  <c r="E61" i="4"/>
  <c r="F60" i="4"/>
  <c r="E60" i="4"/>
  <c r="J59" i="4"/>
  <c r="F59" i="4"/>
  <c r="E59" i="4"/>
  <c r="J58" i="4"/>
  <c r="F58" i="4"/>
  <c r="E58" i="4"/>
  <c r="J55" i="4"/>
  <c r="F55" i="4"/>
  <c r="E55" i="4"/>
  <c r="J54" i="4"/>
  <c r="F54" i="4"/>
  <c r="E54" i="4"/>
  <c r="J53" i="4"/>
  <c r="F53" i="4"/>
  <c r="E53" i="4"/>
  <c r="J51" i="4"/>
  <c r="F51" i="4"/>
  <c r="E51" i="4"/>
  <c r="J50" i="4"/>
  <c r="F50" i="4"/>
  <c r="E50" i="4"/>
  <c r="J49" i="4"/>
  <c r="F49" i="4"/>
  <c r="E49" i="4"/>
  <c r="J47" i="4"/>
  <c r="F47" i="4"/>
  <c r="E47" i="4"/>
  <c r="J46" i="4"/>
  <c r="F46" i="4"/>
  <c r="E46" i="4"/>
  <c r="J44" i="4"/>
  <c r="F44" i="4"/>
  <c r="E44" i="4"/>
  <c r="J43" i="4"/>
  <c r="F43" i="4"/>
  <c r="E43" i="4"/>
  <c r="J42" i="4"/>
  <c r="F42" i="4"/>
  <c r="E42" i="4"/>
  <c r="J41" i="4"/>
  <c r="F41" i="4"/>
  <c r="E41" i="4"/>
  <c r="I40" i="4"/>
  <c r="E40" i="4"/>
  <c r="J39" i="4"/>
  <c r="F39" i="4"/>
  <c r="E39" i="4"/>
  <c r="J38" i="4"/>
  <c r="F38" i="4"/>
  <c r="E38" i="4"/>
  <c r="J37" i="4"/>
  <c r="F37" i="4"/>
  <c r="E37" i="4"/>
  <c r="J36" i="4"/>
  <c r="F36" i="4"/>
  <c r="E36" i="4"/>
  <c r="D11" i="27" s="1"/>
  <c r="C11" i="27" s="1"/>
  <c r="J34" i="4"/>
  <c r="F34" i="4"/>
  <c r="E34" i="4"/>
  <c r="J32" i="4"/>
  <c r="F32" i="4"/>
  <c r="E32" i="4"/>
  <c r="F31" i="4"/>
  <c r="E31" i="4"/>
  <c r="J30" i="4"/>
  <c r="F30" i="4"/>
  <c r="E30" i="4"/>
  <c r="J29" i="4"/>
  <c r="F29" i="4"/>
  <c r="E29" i="4"/>
  <c r="J28" i="4"/>
  <c r="F28" i="4"/>
  <c r="E28" i="4"/>
  <c r="J27" i="4"/>
  <c r="F27" i="4"/>
  <c r="E27" i="4"/>
  <c r="J26" i="4"/>
  <c r="F26" i="4"/>
  <c r="E26" i="4"/>
  <c r="J25" i="4"/>
  <c r="F25" i="4"/>
  <c r="E25" i="4"/>
  <c r="J23" i="4"/>
  <c r="F23" i="4"/>
  <c r="E23" i="4"/>
  <c r="J22" i="4"/>
  <c r="F22" i="4"/>
  <c r="E22" i="4"/>
  <c r="J21" i="4"/>
  <c r="F21" i="4"/>
  <c r="E21" i="4"/>
  <c r="J20" i="4"/>
  <c r="F20" i="4"/>
  <c r="E20" i="4"/>
  <c r="D8" i="27" s="1"/>
  <c r="C8" i="27" s="1"/>
  <c r="J17" i="4"/>
  <c r="F17" i="4"/>
  <c r="E17" i="4"/>
  <c r="J16" i="4"/>
  <c r="F16" i="4"/>
  <c r="E16" i="4"/>
  <c r="J15" i="4"/>
  <c r="F15" i="4"/>
  <c r="E15" i="4"/>
  <c r="J14" i="4"/>
  <c r="F14" i="4"/>
  <c r="E14" i="4"/>
  <c r="J12" i="4"/>
  <c r="F12" i="4"/>
  <c r="E12" i="4"/>
  <c r="I11" i="4"/>
  <c r="E11" i="4"/>
  <c r="D6" i="27" s="1"/>
  <c r="C6" i="27" s="1"/>
  <c r="J9" i="4"/>
  <c r="F9" i="4"/>
  <c r="D5" i="28" s="1"/>
  <c r="C5" i="28" s="1"/>
  <c r="E9" i="4"/>
  <c r="D5" i="27" s="1"/>
  <c r="C5" i="27" s="1"/>
  <c r="H7" i="4"/>
  <c r="F7" i="4"/>
  <c r="B45" i="3"/>
  <c r="B40" i="3"/>
  <c r="B39" i="3"/>
  <c r="F7" i="18" s="1"/>
  <c r="B20" i="3"/>
  <c r="B13" i="3"/>
  <c r="B3" i="1"/>
  <c r="C15" i="33" l="1"/>
  <c r="D4" i="33"/>
  <c r="D39" i="37"/>
  <c r="L39" i="37"/>
  <c r="J39" i="37"/>
  <c r="I39" i="37"/>
  <c r="H39" i="37"/>
  <c r="G39" i="37"/>
  <c r="F39" i="37"/>
  <c r="E39" i="37"/>
  <c r="K39" i="37"/>
  <c r="D29" i="37"/>
  <c r="L29" i="37"/>
  <c r="K29" i="37"/>
  <c r="J29" i="37"/>
  <c r="I29" i="37"/>
  <c r="H29" i="37"/>
  <c r="G29" i="37"/>
  <c r="F29" i="37"/>
  <c r="E29" i="37"/>
  <c r="D20" i="37"/>
  <c r="L20" i="37"/>
  <c r="K20" i="37"/>
  <c r="J20" i="37"/>
  <c r="I20" i="37"/>
  <c r="H20" i="37"/>
  <c r="G20" i="37"/>
  <c r="F20" i="37"/>
  <c r="E20" i="37"/>
  <c r="D7" i="27"/>
  <c r="C7" i="27" s="1"/>
  <c r="D14" i="37"/>
  <c r="L14" i="37"/>
  <c r="K14" i="37"/>
  <c r="J14" i="37"/>
  <c r="I14" i="37"/>
  <c r="H14" i="37"/>
  <c r="G14" i="37"/>
  <c r="F14" i="37"/>
  <c r="E14" i="37"/>
  <c r="D7" i="37"/>
  <c r="L7" i="37"/>
  <c r="K7" i="37"/>
  <c r="J7" i="37"/>
  <c r="I7" i="37"/>
  <c r="H7" i="37"/>
  <c r="G7" i="37"/>
  <c r="F7" i="37"/>
  <c r="E7" i="37"/>
  <c r="D6" i="37"/>
  <c r="D8" i="37" s="1"/>
  <c r="L6" i="37"/>
  <c r="L8" i="37" s="1"/>
  <c r="K6" i="37"/>
  <c r="K8" i="37" s="1"/>
  <c r="J6" i="37"/>
  <c r="J8" i="37" s="1"/>
  <c r="I6" i="37"/>
  <c r="I8" i="37" s="1"/>
  <c r="H6" i="37"/>
  <c r="H8" i="37" s="1"/>
  <c r="G6" i="37"/>
  <c r="G8" i="37" s="1"/>
  <c r="F6" i="37"/>
  <c r="F8" i="37" s="1"/>
  <c r="E6" i="37"/>
  <c r="E8" i="37" s="1"/>
  <c r="C8" i="37"/>
  <c r="C11" i="32"/>
  <c r="D4" i="32"/>
  <c r="D4" i="36"/>
  <c r="D5" i="36" s="1"/>
  <c r="B39" i="22" s="1"/>
  <c r="C5" i="36"/>
  <c r="D8" i="28"/>
  <c r="C8" i="28" s="1"/>
  <c r="C13" i="29"/>
  <c r="D13" i="29" s="1"/>
  <c r="E4" i="33"/>
  <c r="E15" i="33" s="1"/>
  <c r="B29" i="22" s="1"/>
  <c r="D15" i="33"/>
  <c r="D5" i="31"/>
  <c r="E5" i="31" s="1"/>
  <c r="D4" i="31"/>
  <c r="D13" i="28"/>
  <c r="C13" i="28" s="1"/>
  <c r="D12" i="28"/>
  <c r="C12" i="28" s="1"/>
  <c r="D12" i="27"/>
  <c r="C12" i="27" s="1"/>
  <c r="C12" i="29"/>
  <c r="D12" i="29" s="1"/>
  <c r="E58" i="8"/>
  <c r="H57" i="14"/>
  <c r="C14" i="29"/>
  <c r="D14" i="29" s="1"/>
  <c r="C11" i="29"/>
  <c r="D11" i="29" s="1"/>
  <c r="D13" i="27"/>
  <c r="C13" i="27" s="1"/>
  <c r="D7" i="28"/>
  <c r="C7" i="28" s="1"/>
  <c r="D25" i="21"/>
  <c r="D18" i="28"/>
  <c r="C18" i="28" s="1"/>
  <c r="D24" i="21"/>
  <c r="D17" i="28"/>
  <c r="C17" i="28" s="1"/>
  <c r="D23" i="21"/>
  <c r="D16" i="28"/>
  <c r="C16" i="28" s="1"/>
  <c r="D9" i="27"/>
  <c r="C9" i="27" s="1"/>
  <c r="D9" i="28"/>
  <c r="C9" i="28" s="1"/>
  <c r="D22" i="21"/>
  <c r="D15" i="28"/>
  <c r="C15" i="28" s="1"/>
  <c r="D21" i="21"/>
  <c r="D14" i="28"/>
  <c r="C14" i="28" s="1"/>
  <c r="D17" i="21"/>
  <c r="D10" i="28"/>
  <c r="C10" i="28" s="1"/>
  <c r="D11" i="21"/>
  <c r="D4" i="28"/>
  <c r="C25" i="21"/>
  <c r="E25" i="21" s="1"/>
  <c r="F25" i="21" s="1"/>
  <c r="G25" i="21" s="1"/>
  <c r="D18" i="27"/>
  <c r="C18" i="27" s="1"/>
  <c r="C24" i="21"/>
  <c r="E24" i="21" s="1"/>
  <c r="D17" i="27"/>
  <c r="C17" i="27" s="1"/>
  <c r="C23" i="21"/>
  <c r="D16" i="27"/>
  <c r="C16" i="27" s="1"/>
  <c r="C22" i="21"/>
  <c r="E22" i="21" s="1"/>
  <c r="F22" i="21" s="1"/>
  <c r="G22" i="21" s="1"/>
  <c r="D15" i="27"/>
  <c r="C15" i="27" s="1"/>
  <c r="C21" i="21"/>
  <c r="E21" i="21" s="1"/>
  <c r="F21" i="21" s="1"/>
  <c r="G21" i="21" s="1"/>
  <c r="D14" i="27"/>
  <c r="C14" i="27" s="1"/>
  <c r="C19" i="21"/>
  <c r="C17" i="21"/>
  <c r="E17" i="21" s="1"/>
  <c r="D10" i="27"/>
  <c r="C10" i="27" s="1"/>
  <c r="D4" i="26"/>
  <c r="D6" i="26" s="1"/>
  <c r="B14" i="22" s="1"/>
  <c r="C12" i="37" s="1"/>
  <c r="C6" i="26"/>
  <c r="D8" i="23"/>
  <c r="B26" i="22" s="1"/>
  <c r="C23" i="37" s="1"/>
  <c r="E102" i="8"/>
  <c r="F102" i="8" s="1"/>
  <c r="C8" i="24"/>
  <c r="D4" i="24"/>
  <c r="D8" i="24" s="1"/>
  <c r="B25" i="22" s="1"/>
  <c r="C22" i="37" s="1"/>
  <c r="D16" i="21"/>
  <c r="C16" i="21"/>
  <c r="D20" i="21"/>
  <c r="F41" i="8"/>
  <c r="C18" i="21"/>
  <c r="C20" i="21"/>
  <c r="D19" i="21"/>
  <c r="D15" i="21"/>
  <c r="C15" i="21"/>
  <c r="D14" i="21"/>
  <c r="C14" i="21"/>
  <c r="C13" i="21"/>
  <c r="D12" i="21"/>
  <c r="D145" i="6"/>
  <c r="C5" i="30" s="1"/>
  <c r="D5" i="30" s="1"/>
  <c r="C12" i="21"/>
  <c r="J7" i="4"/>
  <c r="E7" i="4"/>
  <c r="D4" i="27" s="1"/>
  <c r="E10" i="11"/>
  <c r="B30" i="9"/>
  <c r="C30" i="9" s="1"/>
  <c r="I86" i="8"/>
  <c r="E63" i="5"/>
  <c r="E27" i="11"/>
  <c r="B34" i="9"/>
  <c r="C34" i="9" s="1"/>
  <c r="E26" i="11"/>
  <c r="B33" i="9"/>
  <c r="C33" i="9" s="1"/>
  <c r="E18" i="11"/>
  <c r="B32" i="9"/>
  <c r="C32" i="9" s="1"/>
  <c r="G15" i="4"/>
  <c r="H7" i="14" s="1"/>
  <c r="J40" i="4"/>
  <c r="F40" i="4"/>
  <c r="D57" i="6"/>
  <c r="G14" i="4"/>
  <c r="H6" i="14" s="1"/>
  <c r="G9" i="4"/>
  <c r="H3" i="14" s="1"/>
  <c r="E50" i="8"/>
  <c r="E66" i="8"/>
  <c r="G12" i="4"/>
  <c r="H5" i="14" s="1"/>
  <c r="D8" i="6"/>
  <c r="E75" i="8"/>
  <c r="H67" i="14" s="1"/>
  <c r="D22" i="6"/>
  <c r="H22" i="10"/>
  <c r="D22" i="11"/>
  <c r="H21" i="10"/>
  <c r="D21" i="11"/>
  <c r="H11" i="10"/>
  <c r="D11" i="11"/>
  <c r="D31" i="6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G17" i="4"/>
  <c r="H9" i="14" s="1"/>
  <c r="M31" i="11"/>
  <c r="K31" i="11"/>
  <c r="I31" i="11"/>
  <c r="H31" i="11"/>
  <c r="L31" i="11"/>
  <c r="J31" i="11"/>
  <c r="G31" i="11"/>
  <c r="AZ32" i="11"/>
  <c r="AZ31" i="11"/>
  <c r="AY32" i="11"/>
  <c r="AY31" i="11"/>
  <c r="AX32" i="11"/>
  <c r="AX31" i="11"/>
  <c r="AW32" i="11"/>
  <c r="AW31" i="11"/>
  <c r="AV32" i="11"/>
  <c r="AV31" i="11"/>
  <c r="AU31" i="11"/>
  <c r="AU32" i="11"/>
  <c r="AT31" i="11"/>
  <c r="AT32" i="11"/>
  <c r="AS31" i="11"/>
  <c r="AS32" i="11"/>
  <c r="AR31" i="11"/>
  <c r="AR32" i="11"/>
  <c r="AQ31" i="11"/>
  <c r="AQ32" i="11"/>
  <c r="AP31" i="11"/>
  <c r="AP32" i="11"/>
  <c r="AO32" i="11"/>
  <c r="AO31" i="11"/>
  <c r="AN32" i="11"/>
  <c r="AN31" i="11"/>
  <c r="AM31" i="11"/>
  <c r="AM32" i="11"/>
  <c r="AL31" i="11"/>
  <c r="AL32" i="11"/>
  <c r="AK32" i="11"/>
  <c r="AK31" i="11"/>
  <c r="AJ32" i="11"/>
  <c r="AJ31" i="11"/>
  <c r="AI32" i="11"/>
  <c r="AI31" i="11"/>
  <c r="AH31" i="11"/>
  <c r="AH32" i="11"/>
  <c r="AG31" i="11"/>
  <c r="AG32" i="11"/>
  <c r="AF31" i="11"/>
  <c r="AF32" i="11"/>
  <c r="AE32" i="11"/>
  <c r="AE31" i="11"/>
  <c r="AD32" i="11"/>
  <c r="AD31" i="11"/>
  <c r="AC32" i="11"/>
  <c r="AC31" i="11"/>
  <c r="M21" i="11"/>
  <c r="M32" i="11"/>
  <c r="M22" i="11"/>
  <c r="M33" i="11"/>
  <c r="M11" i="11"/>
  <c r="L21" i="11"/>
  <c r="L32" i="11"/>
  <c r="L22" i="11"/>
  <c r="L33" i="11"/>
  <c r="L11" i="11"/>
  <c r="K33" i="11"/>
  <c r="K32" i="11"/>
  <c r="K21" i="11"/>
  <c r="K22" i="11"/>
  <c r="K11" i="11"/>
  <c r="J32" i="11"/>
  <c r="J33" i="11"/>
  <c r="J22" i="11"/>
  <c r="J21" i="11"/>
  <c r="J11" i="11"/>
  <c r="I33" i="11"/>
  <c r="I22" i="11"/>
  <c r="I21" i="11"/>
  <c r="I32" i="11"/>
  <c r="I11" i="11"/>
  <c r="H32" i="11"/>
  <c r="H22" i="11"/>
  <c r="H21" i="11"/>
  <c r="H33" i="11"/>
  <c r="H11" i="11"/>
  <c r="G32" i="11"/>
  <c r="G22" i="11"/>
  <c r="G33" i="11"/>
  <c r="G21" i="11"/>
  <c r="G11" i="11"/>
  <c r="F11" i="18"/>
  <c r="E33" i="11"/>
  <c r="H33" i="10"/>
  <c r="D33" i="11"/>
  <c r="H32" i="10"/>
  <c r="D32" i="11"/>
  <c r="E30" i="11"/>
  <c r="B35" i="9"/>
  <c r="C35" i="9" s="1"/>
  <c r="M20" i="11"/>
  <c r="L20" i="11"/>
  <c r="K18" i="11"/>
  <c r="J18" i="11"/>
  <c r="I18" i="11"/>
  <c r="H18" i="11"/>
  <c r="G18" i="11"/>
  <c r="D139" i="6"/>
  <c r="C4" i="30" s="1"/>
  <c r="H58" i="14"/>
  <c r="J58" i="14" s="1"/>
  <c r="K58" i="14" s="1"/>
  <c r="AZ33" i="11"/>
  <c r="AZ16" i="11"/>
  <c r="AZ20" i="11"/>
  <c r="AZ30" i="11"/>
  <c r="AZ21" i="11"/>
  <c r="AY33" i="11"/>
  <c r="AY16" i="11"/>
  <c r="AY20" i="11"/>
  <c r="AY30" i="11"/>
  <c r="AY21" i="11"/>
  <c r="AX33" i="11"/>
  <c r="AX21" i="11"/>
  <c r="AX30" i="11"/>
  <c r="AX20" i="11"/>
  <c r="AX11" i="11"/>
  <c r="AX16" i="11"/>
  <c r="AW33" i="11"/>
  <c r="AW20" i="11"/>
  <c r="AW21" i="11"/>
  <c r="AW11" i="11"/>
  <c r="AW30" i="11"/>
  <c r="AW16" i="11"/>
  <c r="AV33" i="11"/>
  <c r="AV21" i="11"/>
  <c r="AV11" i="11"/>
  <c r="AV20" i="11"/>
  <c r="AV30" i="11"/>
  <c r="AV16" i="11"/>
  <c r="AU33" i="11"/>
  <c r="AU21" i="11"/>
  <c r="AU11" i="11"/>
  <c r="AU20" i="11"/>
  <c r="AU16" i="11"/>
  <c r="AU30" i="11"/>
  <c r="AT11" i="11"/>
  <c r="AT16" i="11"/>
  <c r="AT21" i="11"/>
  <c r="AT33" i="11"/>
  <c r="AT30" i="11"/>
  <c r="AT20" i="11"/>
  <c r="AS11" i="11"/>
  <c r="AS33" i="11"/>
  <c r="AS20" i="11"/>
  <c r="AS16" i="11"/>
  <c r="AS30" i="11"/>
  <c r="AS21" i="11"/>
  <c r="AR11" i="11"/>
  <c r="AR33" i="11"/>
  <c r="AR30" i="11"/>
  <c r="AR20" i="11"/>
  <c r="AR21" i="11"/>
  <c r="AR16" i="11"/>
  <c r="AQ21" i="11"/>
  <c r="AQ11" i="11"/>
  <c r="AQ20" i="11"/>
  <c r="AQ33" i="11"/>
  <c r="AQ16" i="11"/>
  <c r="AQ30" i="11"/>
  <c r="AP33" i="11"/>
  <c r="AP20" i="11"/>
  <c r="AP30" i="11"/>
  <c r="AP16" i="11"/>
  <c r="AP11" i="11"/>
  <c r="AP21" i="11"/>
  <c r="AO33" i="11"/>
  <c r="AO11" i="11"/>
  <c r="AO21" i="11"/>
  <c r="AO20" i="11"/>
  <c r="AO30" i="11"/>
  <c r="AO16" i="11"/>
  <c r="AN33" i="11"/>
  <c r="AN11" i="11"/>
  <c r="AN16" i="11"/>
  <c r="AN20" i="11"/>
  <c r="AN21" i="11"/>
  <c r="AN30" i="11"/>
  <c r="AM33" i="11"/>
  <c r="AM20" i="11"/>
  <c r="AM16" i="11"/>
  <c r="AM11" i="11"/>
  <c r="AM21" i="11"/>
  <c r="AM30" i="11"/>
  <c r="AL33" i="11"/>
  <c r="AL16" i="11"/>
  <c r="AL11" i="11"/>
  <c r="AL20" i="11"/>
  <c r="AL21" i="11"/>
  <c r="AL30" i="11"/>
  <c r="AK33" i="11"/>
  <c r="AK16" i="11"/>
  <c r="AK20" i="11"/>
  <c r="AK21" i="11"/>
  <c r="AK30" i="11"/>
  <c r="AK11" i="11"/>
  <c r="AJ21" i="11"/>
  <c r="AJ30" i="11"/>
  <c r="AJ33" i="11"/>
  <c r="AJ20" i="11"/>
  <c r="AJ11" i="11"/>
  <c r="AJ16" i="11"/>
  <c r="AI20" i="11"/>
  <c r="AI11" i="11"/>
  <c r="AI30" i="11"/>
  <c r="AI21" i="11"/>
  <c r="AI16" i="11"/>
  <c r="AI33" i="11"/>
  <c r="AH33" i="11"/>
  <c r="AH21" i="11"/>
  <c r="AH20" i="11"/>
  <c r="AH11" i="11"/>
  <c r="AH16" i="11"/>
  <c r="AH30" i="11"/>
  <c r="AG33" i="11"/>
  <c r="AG16" i="11"/>
  <c r="AG11" i="11"/>
  <c r="AG21" i="11"/>
  <c r="AG20" i="11"/>
  <c r="AG30" i="11"/>
  <c r="AF33" i="11"/>
  <c r="AF30" i="11"/>
  <c r="AF20" i="11"/>
  <c r="AF21" i="11"/>
  <c r="AF11" i="11"/>
  <c r="AF16" i="11"/>
  <c r="AE21" i="11"/>
  <c r="AE30" i="11"/>
  <c r="AE20" i="11"/>
  <c r="AE11" i="11"/>
  <c r="AE33" i="11"/>
  <c r="AE16" i="11"/>
  <c r="AD16" i="11"/>
  <c r="AD30" i="11"/>
  <c r="AD20" i="11"/>
  <c r="AD21" i="11"/>
  <c r="AD33" i="11"/>
  <c r="AD11" i="11"/>
  <c r="AC16" i="11"/>
  <c r="AC30" i="11"/>
  <c r="AC20" i="11"/>
  <c r="AC21" i="11"/>
  <c r="AC33" i="11"/>
  <c r="AC11" i="11"/>
  <c r="AB16" i="11"/>
  <c r="AB30" i="11"/>
  <c r="AB22" i="11"/>
  <c r="AB20" i="11"/>
  <c r="AB31" i="11"/>
  <c r="AB33" i="11"/>
  <c r="AB21" i="11"/>
  <c r="AB11" i="11"/>
  <c r="AA20" i="11"/>
  <c r="AA16" i="11"/>
  <c r="AA30" i="11"/>
  <c r="AA31" i="11"/>
  <c r="AA21" i="11"/>
  <c r="AA22" i="11"/>
  <c r="AA33" i="11"/>
  <c r="AA11" i="11"/>
  <c r="Z22" i="11"/>
  <c r="Z16" i="11"/>
  <c r="Z30" i="11"/>
  <c r="Z33" i="11"/>
  <c r="Z31" i="11"/>
  <c r="Z21" i="11"/>
  <c r="Z20" i="11"/>
  <c r="Z11" i="11"/>
  <c r="Y22" i="11"/>
  <c r="Y16" i="11"/>
  <c r="Y11" i="11"/>
  <c r="Y33" i="11"/>
  <c r="Y30" i="11"/>
  <c r="Y21" i="11"/>
  <c r="Y31" i="11"/>
  <c r="Y20" i="11"/>
  <c r="X16" i="11"/>
  <c r="X33" i="11"/>
  <c r="X21" i="11"/>
  <c r="X11" i="11"/>
  <c r="X20" i="11"/>
  <c r="X22" i="11"/>
  <c r="X31" i="11"/>
  <c r="X30" i="11"/>
  <c r="W31" i="11"/>
  <c r="W11" i="11"/>
  <c r="W33" i="11"/>
  <c r="W21" i="11"/>
  <c r="W20" i="11"/>
  <c r="W22" i="11"/>
  <c r="W30" i="11"/>
  <c r="W16" i="11"/>
  <c r="V20" i="11"/>
  <c r="V11" i="11"/>
  <c r="V31" i="11"/>
  <c r="V21" i="11"/>
  <c r="V30" i="11"/>
  <c r="V22" i="11"/>
  <c r="V33" i="11"/>
  <c r="U20" i="11"/>
  <c r="U33" i="11"/>
  <c r="U21" i="11"/>
  <c r="U22" i="11"/>
  <c r="U31" i="11"/>
  <c r="U11" i="11"/>
  <c r="U30" i="11"/>
  <c r="T20" i="11"/>
  <c r="T21" i="11"/>
  <c r="T31" i="11"/>
  <c r="T30" i="11"/>
  <c r="T22" i="11"/>
  <c r="T33" i="11"/>
  <c r="T11" i="11"/>
  <c r="S20" i="11"/>
  <c r="S21" i="11"/>
  <c r="S33" i="11"/>
  <c r="S22" i="11"/>
  <c r="S30" i="11"/>
  <c r="S31" i="11"/>
  <c r="S11" i="11"/>
  <c r="R20" i="11"/>
  <c r="R21" i="11"/>
  <c r="R33" i="11"/>
  <c r="R30" i="11"/>
  <c r="R22" i="11"/>
  <c r="R31" i="11"/>
  <c r="R11" i="11"/>
  <c r="Q20" i="11"/>
  <c r="Q21" i="11"/>
  <c r="Q22" i="11"/>
  <c r="Q33" i="11"/>
  <c r="Q30" i="11"/>
  <c r="Q31" i="11"/>
  <c r="Q11" i="11"/>
  <c r="P20" i="11"/>
  <c r="P33" i="11"/>
  <c r="P21" i="11"/>
  <c r="P31" i="11"/>
  <c r="P22" i="11"/>
  <c r="P30" i="11"/>
  <c r="P11" i="11"/>
  <c r="O20" i="11"/>
  <c r="O33" i="11"/>
  <c r="O21" i="11"/>
  <c r="O31" i="11"/>
  <c r="O22" i="11"/>
  <c r="O11" i="11"/>
  <c r="N20" i="11"/>
  <c r="N33" i="11"/>
  <c r="N21" i="11"/>
  <c r="N22" i="11"/>
  <c r="N31" i="11"/>
  <c r="N11" i="11"/>
  <c r="H31" i="10"/>
  <c r="D31" i="11"/>
  <c r="H18" i="10"/>
  <c r="D18" i="11"/>
  <c r="AZ17" i="11"/>
  <c r="AY17" i="11"/>
  <c r="AX17" i="11"/>
  <c r="AW17" i="11"/>
  <c r="AV17" i="11"/>
  <c r="AU17" i="11"/>
  <c r="AT17" i="11"/>
  <c r="AS17" i="11"/>
  <c r="AR17" i="11"/>
  <c r="AQ17" i="11"/>
  <c r="AP17" i="11"/>
  <c r="AO17" i="11"/>
  <c r="AN17" i="11"/>
  <c r="AM17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E17" i="11"/>
  <c r="H17" i="10"/>
  <c r="D17" i="11"/>
  <c r="B7" i="15"/>
  <c r="G33" i="10"/>
  <c r="F33" i="11" s="1"/>
  <c r="G32" i="10"/>
  <c r="F32" i="11" s="1"/>
  <c r="G31" i="10"/>
  <c r="F31" i="11" s="1"/>
  <c r="G30" i="10"/>
  <c r="F30" i="11" s="1"/>
  <c r="G29" i="10"/>
  <c r="F29" i="11" s="1"/>
  <c r="G28" i="10"/>
  <c r="F28" i="11" s="1"/>
  <c r="G27" i="10"/>
  <c r="F27" i="11" s="1"/>
  <c r="G26" i="10"/>
  <c r="F26" i="11" s="1"/>
  <c r="G25" i="10"/>
  <c r="F25" i="11" s="1"/>
  <c r="G24" i="10"/>
  <c r="F24" i="11" s="1"/>
  <c r="G23" i="10"/>
  <c r="F23" i="11" s="1"/>
  <c r="G22" i="10"/>
  <c r="F22" i="11" s="1"/>
  <c r="G21" i="10"/>
  <c r="F21" i="11" s="1"/>
  <c r="G20" i="10"/>
  <c r="F20" i="11" s="1"/>
  <c r="G19" i="10"/>
  <c r="F19" i="11" s="1"/>
  <c r="G18" i="10"/>
  <c r="F18" i="11" s="1"/>
  <c r="G17" i="10"/>
  <c r="F17" i="11" s="1"/>
  <c r="G11" i="10"/>
  <c r="F11" i="11" s="1"/>
  <c r="G10" i="10"/>
  <c r="F10" i="11" s="1"/>
  <c r="G3" i="10"/>
  <c r="F3" i="11" s="1"/>
  <c r="G2" i="10"/>
  <c r="F2" i="11" s="1"/>
  <c r="D98" i="6"/>
  <c r="G65" i="4"/>
  <c r="H44" i="14" s="1"/>
  <c r="G64" i="4"/>
  <c r="G63" i="4"/>
  <c r="H43" i="14" s="1"/>
  <c r="G62" i="4"/>
  <c r="G61" i="4"/>
  <c r="H42" i="14" s="1"/>
  <c r="G60" i="4"/>
  <c r="G59" i="4"/>
  <c r="H41" i="14" s="1"/>
  <c r="G58" i="4"/>
  <c r="H40" i="14" s="1"/>
  <c r="G55" i="4"/>
  <c r="H39" i="14" s="1"/>
  <c r="G54" i="4"/>
  <c r="H38" i="14" s="1"/>
  <c r="G53" i="4"/>
  <c r="H37" i="14" s="1"/>
  <c r="G51" i="4"/>
  <c r="H36" i="14" s="1"/>
  <c r="G50" i="4"/>
  <c r="H35" i="14" s="1"/>
  <c r="G49" i="4"/>
  <c r="H34" i="14" s="1"/>
  <c r="G47" i="4"/>
  <c r="H33" i="14" s="1"/>
  <c r="G46" i="4"/>
  <c r="H32" i="14" s="1"/>
  <c r="G44" i="4"/>
  <c r="H31" i="14" s="1"/>
  <c r="G43" i="4"/>
  <c r="H30" i="14" s="1"/>
  <c r="G42" i="4"/>
  <c r="H29" i="14" s="1"/>
  <c r="G41" i="4"/>
  <c r="H28" i="14" s="1"/>
  <c r="G39" i="4"/>
  <c r="H26" i="14" s="1"/>
  <c r="G38" i="4"/>
  <c r="H25" i="14" s="1"/>
  <c r="G37" i="4"/>
  <c r="H24" i="14" s="1"/>
  <c r="G36" i="4"/>
  <c r="H23" i="14" s="1"/>
  <c r="G34" i="4"/>
  <c r="H22" i="14" s="1"/>
  <c r="G32" i="4"/>
  <c r="H21" i="14" s="1"/>
  <c r="G31" i="4"/>
  <c r="H20" i="14" s="1"/>
  <c r="G30" i="4"/>
  <c r="H19" i="14" s="1"/>
  <c r="G29" i="4"/>
  <c r="H18" i="14" s="1"/>
  <c r="G28" i="4"/>
  <c r="H17" i="14" s="1"/>
  <c r="G27" i="4"/>
  <c r="H16" i="14" s="1"/>
  <c r="G26" i="4"/>
  <c r="H15" i="14" s="1"/>
  <c r="G25" i="4"/>
  <c r="H14" i="14" s="1"/>
  <c r="G23" i="4"/>
  <c r="H13" i="14" s="1"/>
  <c r="G22" i="4"/>
  <c r="H12" i="14" s="1"/>
  <c r="G21" i="4"/>
  <c r="H11" i="14" s="1"/>
  <c r="G20" i="4"/>
  <c r="H10" i="14" s="1"/>
  <c r="G16" i="4"/>
  <c r="H8" i="14" s="1"/>
  <c r="AZ28" i="11"/>
  <c r="AZ19" i="11"/>
  <c r="AZ24" i="11"/>
  <c r="AZ27" i="11"/>
  <c r="AZ29" i="11"/>
  <c r="AZ26" i="11"/>
  <c r="AZ25" i="11"/>
  <c r="AY29" i="11"/>
  <c r="AY27" i="11"/>
  <c r="AY28" i="11"/>
  <c r="AY24" i="11"/>
  <c r="AY19" i="11"/>
  <c r="AY26" i="11"/>
  <c r="AY25" i="11"/>
  <c r="AX26" i="11"/>
  <c r="AX27" i="11"/>
  <c r="AX28" i="11"/>
  <c r="AX3" i="11"/>
  <c r="AX24" i="11"/>
  <c r="AX9" i="11"/>
  <c r="AX29" i="11"/>
  <c r="AX10" i="11"/>
  <c r="AX25" i="11"/>
  <c r="AX2" i="11"/>
  <c r="AX19" i="11"/>
  <c r="AW27" i="11"/>
  <c r="AW29" i="11"/>
  <c r="AW25" i="11"/>
  <c r="AW19" i="11"/>
  <c r="AW28" i="11"/>
  <c r="AW26" i="11"/>
  <c r="AW2" i="11"/>
  <c r="AW24" i="11"/>
  <c r="AW9" i="11"/>
  <c r="AW10" i="11"/>
  <c r="AW3" i="11"/>
  <c r="AV26" i="11"/>
  <c r="AV24" i="11"/>
  <c r="AV29" i="11"/>
  <c r="AV9" i="11"/>
  <c r="AV19" i="11"/>
  <c r="AV3" i="11"/>
  <c r="AV25" i="11"/>
  <c r="AV27" i="11"/>
  <c r="AV2" i="11"/>
  <c r="AV28" i="11"/>
  <c r="AV10" i="11"/>
  <c r="AU2" i="11"/>
  <c r="AU29" i="11"/>
  <c r="AU24" i="11"/>
  <c r="AU19" i="11"/>
  <c r="AU10" i="11"/>
  <c r="AU25" i="11"/>
  <c r="AU28" i="11"/>
  <c r="AU3" i="11"/>
  <c r="AU26" i="11"/>
  <c r="AU27" i="11"/>
  <c r="AU9" i="11"/>
  <c r="AT24" i="11"/>
  <c r="AT29" i="11"/>
  <c r="AT26" i="11"/>
  <c r="AT2" i="11"/>
  <c r="AT25" i="11"/>
  <c r="AT28" i="11"/>
  <c r="AT9" i="11"/>
  <c r="AT3" i="11"/>
  <c r="AT19" i="11"/>
  <c r="AT10" i="11"/>
  <c r="AT27" i="11"/>
  <c r="AS25" i="11"/>
  <c r="AS19" i="11"/>
  <c r="AS29" i="11"/>
  <c r="AS27" i="11"/>
  <c r="AS9" i="11"/>
  <c r="AS2" i="11"/>
  <c r="AS24" i="11"/>
  <c r="AS28" i="11"/>
  <c r="AS10" i="11"/>
  <c r="AS26" i="11"/>
  <c r="AS3" i="11"/>
  <c r="AR25" i="11"/>
  <c r="AR3" i="11"/>
  <c r="AR26" i="11"/>
  <c r="AR10" i="11"/>
  <c r="AR27" i="11"/>
  <c r="AR24" i="11"/>
  <c r="AR19" i="11"/>
  <c r="AR2" i="11"/>
  <c r="AR9" i="11"/>
  <c r="AR28" i="11"/>
  <c r="AR29" i="11"/>
  <c r="AQ25" i="11"/>
  <c r="AQ28" i="11"/>
  <c r="AQ9" i="11"/>
  <c r="AQ29" i="11"/>
  <c r="AQ3" i="11"/>
  <c r="AQ2" i="11"/>
  <c r="AQ19" i="11"/>
  <c r="AQ26" i="11"/>
  <c r="AQ10" i="11"/>
  <c r="AQ24" i="11"/>
  <c r="AQ27" i="11"/>
  <c r="AP25" i="11"/>
  <c r="AP3" i="11"/>
  <c r="AP9" i="11"/>
  <c r="AP26" i="11"/>
  <c r="AP28" i="11"/>
  <c r="AP29" i="11"/>
  <c r="AP27" i="11"/>
  <c r="AP19" i="11"/>
  <c r="AP2" i="11"/>
  <c r="AP24" i="11"/>
  <c r="AP10" i="11"/>
  <c r="AO25" i="11"/>
  <c r="AO28" i="11"/>
  <c r="AO29" i="11"/>
  <c r="AO19" i="11"/>
  <c r="AO26" i="11"/>
  <c r="AO2" i="11"/>
  <c r="AO27" i="11"/>
  <c r="AO9" i="11"/>
  <c r="AO24" i="11"/>
  <c r="AO3" i="11"/>
  <c r="AO10" i="11"/>
  <c r="AN25" i="11"/>
  <c r="AN27" i="11"/>
  <c r="AN26" i="11"/>
  <c r="AN29" i="11"/>
  <c r="AN10" i="11"/>
  <c r="AN19" i="11"/>
  <c r="AN2" i="11"/>
  <c r="AN3" i="11"/>
  <c r="AN24" i="11"/>
  <c r="AN28" i="11"/>
  <c r="AN9" i="11"/>
  <c r="AM29" i="11"/>
  <c r="AM24" i="11"/>
  <c r="AM10" i="11"/>
  <c r="AM26" i="11"/>
  <c r="AM27" i="11"/>
  <c r="AM9" i="11"/>
  <c r="AM19" i="11"/>
  <c r="AM2" i="11"/>
  <c r="AM25" i="11"/>
  <c r="AM3" i="11"/>
  <c r="AM28" i="11"/>
  <c r="AL29" i="11"/>
  <c r="AL3" i="11"/>
  <c r="AL9" i="11"/>
  <c r="AL10" i="11"/>
  <c r="AL19" i="11"/>
  <c r="AL27" i="11"/>
  <c r="AL24" i="11"/>
  <c r="AL26" i="11"/>
  <c r="AL28" i="11"/>
  <c r="AL2" i="11"/>
  <c r="AL25" i="11"/>
  <c r="AK27" i="11"/>
  <c r="AK9" i="11"/>
  <c r="AK29" i="11"/>
  <c r="AK3" i="11"/>
  <c r="AK19" i="11"/>
  <c r="AK26" i="11"/>
  <c r="AK28" i="11"/>
  <c r="AK2" i="11"/>
  <c r="AK25" i="11"/>
  <c r="AK10" i="11"/>
  <c r="AK24" i="11"/>
  <c r="AJ26" i="11"/>
  <c r="AJ27" i="11"/>
  <c r="AJ9" i="11"/>
  <c r="AJ29" i="11"/>
  <c r="AJ19" i="11"/>
  <c r="AJ2" i="11"/>
  <c r="AJ3" i="11"/>
  <c r="AJ28" i="11"/>
  <c r="AJ25" i="11"/>
  <c r="AJ10" i="11"/>
  <c r="AJ24" i="11"/>
  <c r="AI19" i="11"/>
  <c r="AI25" i="11"/>
  <c r="AI9" i="11"/>
  <c r="AI26" i="11"/>
  <c r="AI10" i="11"/>
  <c r="AI29" i="11"/>
  <c r="AI28" i="11"/>
  <c r="AI27" i="11"/>
  <c r="AI3" i="11"/>
  <c r="AI2" i="11"/>
  <c r="AI24" i="11"/>
  <c r="AH28" i="11"/>
  <c r="AH19" i="11"/>
  <c r="AH29" i="11"/>
  <c r="AH25" i="11"/>
  <c r="AH2" i="11"/>
  <c r="AH27" i="11"/>
  <c r="AH24" i="11"/>
  <c r="AH10" i="11"/>
  <c r="AH3" i="11"/>
  <c r="AH9" i="11"/>
  <c r="AH26" i="11"/>
  <c r="AG10" i="11"/>
  <c r="AG9" i="11"/>
  <c r="AG29" i="11"/>
  <c r="AG27" i="11"/>
  <c r="AG25" i="11"/>
  <c r="AG26" i="11"/>
  <c r="AG3" i="11"/>
  <c r="AG2" i="11"/>
  <c r="AG28" i="11"/>
  <c r="AG19" i="11"/>
  <c r="AG24" i="11"/>
  <c r="AF3" i="11"/>
  <c r="AF29" i="11"/>
  <c r="AF2" i="11"/>
  <c r="AF25" i="11"/>
  <c r="AF24" i="11"/>
  <c r="AF26" i="11"/>
  <c r="AF10" i="11"/>
  <c r="AF19" i="11"/>
  <c r="AF9" i="11"/>
  <c r="AF28" i="11"/>
  <c r="AF27" i="11"/>
  <c r="AE29" i="11"/>
  <c r="AE3" i="11"/>
  <c r="AE25" i="11"/>
  <c r="AE2" i="11"/>
  <c r="AE19" i="11"/>
  <c r="AE9" i="11"/>
  <c r="AE24" i="11"/>
  <c r="AE10" i="11"/>
  <c r="AE26" i="11"/>
  <c r="AE27" i="11"/>
  <c r="AE28" i="11"/>
  <c r="AD28" i="11"/>
  <c r="AD2" i="11"/>
  <c r="AD25" i="11"/>
  <c r="AD19" i="11"/>
  <c r="AD9" i="11"/>
  <c r="AD26" i="11"/>
  <c r="AD29" i="11"/>
  <c r="AD24" i="11"/>
  <c r="AD3" i="11"/>
  <c r="AD10" i="11"/>
  <c r="AD27" i="11"/>
  <c r="AC9" i="11"/>
  <c r="AC19" i="11"/>
  <c r="AC3" i="11"/>
  <c r="AC26" i="11"/>
  <c r="AC2" i="11"/>
  <c r="AC28" i="11"/>
  <c r="AC27" i="11"/>
  <c r="AC25" i="11"/>
  <c r="AC10" i="11"/>
  <c r="AC24" i="11"/>
  <c r="AC29" i="11"/>
  <c r="AB2" i="11"/>
  <c r="AB3" i="11"/>
  <c r="AB28" i="11"/>
  <c r="AB24" i="11"/>
  <c r="AB26" i="11"/>
  <c r="AB19" i="11"/>
  <c r="AB10" i="11"/>
  <c r="AB27" i="11"/>
  <c r="AB9" i="11"/>
  <c r="AB25" i="11"/>
  <c r="AB29" i="11"/>
  <c r="AA28" i="11"/>
  <c r="AA26" i="11"/>
  <c r="AA2" i="11"/>
  <c r="AA9" i="11"/>
  <c r="AA24" i="11"/>
  <c r="AA3" i="11"/>
  <c r="AA29" i="11"/>
  <c r="AA10" i="11"/>
  <c r="AA27" i="11"/>
  <c r="AA25" i="11"/>
  <c r="AA19" i="11"/>
  <c r="Z10" i="11"/>
  <c r="Z25" i="11"/>
  <c r="Z26" i="11"/>
  <c r="Z28" i="11"/>
  <c r="Z2" i="11"/>
  <c r="Z9" i="11"/>
  <c r="Z24" i="11"/>
  <c r="Z29" i="11"/>
  <c r="Z27" i="11"/>
  <c r="Z3" i="11"/>
  <c r="Z19" i="11"/>
  <c r="Y10" i="11"/>
  <c r="Y9" i="11"/>
  <c r="Y29" i="11"/>
  <c r="Y27" i="11"/>
  <c r="Y26" i="11"/>
  <c r="Y3" i="11"/>
  <c r="Y24" i="11"/>
  <c r="Y2" i="11"/>
  <c r="Y25" i="11"/>
  <c r="Y28" i="11"/>
  <c r="Y19" i="11"/>
  <c r="X24" i="11"/>
  <c r="X2" i="11"/>
  <c r="X29" i="11"/>
  <c r="X28" i="11"/>
  <c r="X10" i="11"/>
  <c r="X27" i="11"/>
  <c r="X25" i="11"/>
  <c r="X3" i="11"/>
  <c r="X9" i="11"/>
  <c r="X26" i="11"/>
  <c r="X19" i="11"/>
  <c r="W27" i="11"/>
  <c r="W25" i="11"/>
  <c r="W29" i="11"/>
  <c r="W3" i="11"/>
  <c r="W26" i="11"/>
  <c r="W24" i="11"/>
  <c r="W2" i="11"/>
  <c r="W28" i="11"/>
  <c r="W9" i="11"/>
  <c r="W10" i="11"/>
  <c r="W19" i="11"/>
  <c r="V28" i="11"/>
  <c r="V27" i="11"/>
  <c r="V25" i="11"/>
  <c r="V26" i="11"/>
  <c r="V10" i="11"/>
  <c r="V24" i="11"/>
  <c r="V9" i="11"/>
  <c r="V3" i="11"/>
  <c r="V29" i="11"/>
  <c r="V2" i="11"/>
  <c r="V19" i="11"/>
  <c r="U25" i="11"/>
  <c r="U27" i="11"/>
  <c r="U28" i="11"/>
  <c r="U2" i="11"/>
  <c r="U9" i="11"/>
  <c r="U3" i="11"/>
  <c r="U24" i="11"/>
  <c r="U29" i="11"/>
  <c r="U10" i="11"/>
  <c r="U26" i="11"/>
  <c r="U19" i="11"/>
  <c r="T27" i="11"/>
  <c r="T25" i="11"/>
  <c r="T2" i="11"/>
  <c r="T9" i="11"/>
  <c r="T3" i="11"/>
  <c r="T28" i="11"/>
  <c r="T29" i="11"/>
  <c r="T24" i="11"/>
  <c r="T10" i="11"/>
  <c r="T26" i="11"/>
  <c r="T19" i="11"/>
  <c r="S24" i="11"/>
  <c r="S25" i="11"/>
  <c r="S2" i="11"/>
  <c r="S9" i="11"/>
  <c r="S28" i="11"/>
  <c r="S27" i="11"/>
  <c r="S26" i="11"/>
  <c r="S10" i="11"/>
  <c r="S3" i="11"/>
  <c r="S29" i="11"/>
  <c r="S19" i="11"/>
  <c r="R10" i="11"/>
  <c r="R2" i="11"/>
  <c r="R9" i="11"/>
  <c r="R26" i="11"/>
  <c r="R24" i="11"/>
  <c r="R19" i="11"/>
  <c r="R3" i="11"/>
  <c r="R29" i="11"/>
  <c r="R27" i="11"/>
  <c r="R25" i="11"/>
  <c r="R28" i="11"/>
  <c r="Q28" i="11"/>
  <c r="Q9" i="11"/>
  <c r="Q10" i="11"/>
  <c r="Q19" i="11"/>
  <c r="Q2" i="11"/>
  <c r="Q3" i="11"/>
  <c r="Q26" i="11"/>
  <c r="Q25" i="11"/>
  <c r="Q27" i="11"/>
  <c r="Q29" i="11"/>
  <c r="Q24" i="11"/>
  <c r="P10" i="11"/>
  <c r="P9" i="11"/>
  <c r="P3" i="11"/>
  <c r="P27" i="11"/>
  <c r="P28" i="11"/>
  <c r="P2" i="11"/>
  <c r="P24" i="11"/>
  <c r="P29" i="11"/>
  <c r="P26" i="11"/>
  <c r="P25" i="11"/>
  <c r="P19" i="11"/>
  <c r="O27" i="11"/>
  <c r="O30" i="11"/>
  <c r="O26" i="11"/>
  <c r="O29" i="11"/>
  <c r="O2" i="11"/>
  <c r="O25" i="11"/>
  <c r="O3" i="11"/>
  <c r="O24" i="11"/>
  <c r="O10" i="11"/>
  <c r="O28" i="11"/>
  <c r="O9" i="11"/>
  <c r="O19" i="11"/>
  <c r="N2" i="11"/>
  <c r="N29" i="11"/>
  <c r="N30" i="11"/>
  <c r="N10" i="11"/>
  <c r="N28" i="11"/>
  <c r="N27" i="11"/>
  <c r="N26" i="11"/>
  <c r="N3" i="11"/>
  <c r="N9" i="11"/>
  <c r="N19" i="11"/>
  <c r="N25" i="11"/>
  <c r="N24" i="11"/>
  <c r="M30" i="11"/>
  <c r="M24" i="11"/>
  <c r="M25" i="11"/>
  <c r="M10" i="11"/>
  <c r="M9" i="11"/>
  <c r="M3" i="11"/>
  <c r="M26" i="11"/>
  <c r="M2" i="11"/>
  <c r="M29" i="11"/>
  <c r="M28" i="11"/>
  <c r="M27" i="11"/>
  <c r="M19" i="11"/>
  <c r="L30" i="11"/>
  <c r="L10" i="11"/>
  <c r="L27" i="11"/>
  <c r="L25" i="11"/>
  <c r="L28" i="11"/>
  <c r="L2" i="11"/>
  <c r="L29" i="11"/>
  <c r="L19" i="11"/>
  <c r="L9" i="11"/>
  <c r="L3" i="11"/>
  <c r="L26" i="11"/>
  <c r="L24" i="11"/>
  <c r="K30" i="11"/>
  <c r="K3" i="11"/>
  <c r="K25" i="11"/>
  <c r="K20" i="11"/>
  <c r="K10" i="11"/>
  <c r="K27" i="11"/>
  <c r="K24" i="11"/>
  <c r="K9" i="11"/>
  <c r="K29" i="11"/>
  <c r="K19" i="11"/>
  <c r="K26" i="11"/>
  <c r="K2" i="11"/>
  <c r="K28" i="11"/>
  <c r="J30" i="11"/>
  <c r="J24" i="11"/>
  <c r="J10" i="11"/>
  <c r="J19" i="11"/>
  <c r="J20" i="11"/>
  <c r="J28" i="11"/>
  <c r="J25" i="11"/>
  <c r="J26" i="11"/>
  <c r="J2" i="11"/>
  <c r="J27" i="11"/>
  <c r="J29" i="11"/>
  <c r="J3" i="11"/>
  <c r="I30" i="11"/>
  <c r="I24" i="11"/>
  <c r="I2" i="11"/>
  <c r="I29" i="11"/>
  <c r="I10" i="11"/>
  <c r="I28" i="11"/>
  <c r="I3" i="11"/>
  <c r="I27" i="11"/>
  <c r="I26" i="11"/>
  <c r="I19" i="11"/>
  <c r="I25" i="11"/>
  <c r="I20" i="11"/>
  <c r="H30" i="11"/>
  <c r="H26" i="11"/>
  <c r="H24" i="11"/>
  <c r="H2" i="11"/>
  <c r="H3" i="11"/>
  <c r="H29" i="11"/>
  <c r="H19" i="11"/>
  <c r="H10" i="11"/>
  <c r="H27" i="11"/>
  <c r="H28" i="11"/>
  <c r="H25" i="11"/>
  <c r="H20" i="11"/>
  <c r="G24" i="11"/>
  <c r="G19" i="11"/>
  <c r="G27" i="11"/>
  <c r="G28" i="11"/>
  <c r="G30" i="11"/>
  <c r="G2" i="11"/>
  <c r="G25" i="11"/>
  <c r="G29" i="11"/>
  <c r="G10" i="11"/>
  <c r="G3" i="11"/>
  <c r="G26" i="11"/>
  <c r="G20" i="11"/>
  <c r="H30" i="10"/>
  <c r="D30" i="11"/>
  <c r="H29" i="10"/>
  <c r="D29" i="11"/>
  <c r="H28" i="10"/>
  <c r="D28" i="11"/>
  <c r="H27" i="10"/>
  <c r="D27" i="11"/>
  <c r="H26" i="10"/>
  <c r="D26" i="11"/>
  <c r="H25" i="10"/>
  <c r="D25" i="11"/>
  <c r="H24" i="10"/>
  <c r="D24" i="11"/>
  <c r="AZ23" i="11"/>
  <c r="G23" i="11"/>
  <c r="I23" i="11"/>
  <c r="M23" i="11"/>
  <c r="O23" i="11"/>
  <c r="R23" i="11"/>
  <c r="U23" i="11"/>
  <c r="W23" i="11"/>
  <c r="X23" i="11"/>
  <c r="Z23" i="11"/>
  <c r="AB23" i="11"/>
  <c r="AE23" i="11"/>
  <c r="AG23" i="11"/>
  <c r="AJ23" i="11"/>
  <c r="AL23" i="11"/>
  <c r="AN23" i="11"/>
  <c r="AQ23" i="11"/>
  <c r="AS23" i="11"/>
  <c r="K23" i="11"/>
  <c r="AU23" i="11"/>
  <c r="AX23" i="11"/>
  <c r="E23" i="11"/>
  <c r="H23" i="11"/>
  <c r="J23" i="11"/>
  <c r="L23" i="11"/>
  <c r="N23" i="11"/>
  <c r="P23" i="11"/>
  <c r="Q23" i="11"/>
  <c r="S23" i="11"/>
  <c r="T23" i="11"/>
  <c r="V23" i="11"/>
  <c r="Y23" i="11"/>
  <c r="AA23" i="11"/>
  <c r="AC23" i="11"/>
  <c r="AD23" i="11"/>
  <c r="AF23" i="11"/>
  <c r="AH23" i="11"/>
  <c r="AI23" i="11"/>
  <c r="AK23" i="11"/>
  <c r="AM23" i="11"/>
  <c r="AO23" i="11"/>
  <c r="AP23" i="11"/>
  <c r="AR23" i="11"/>
  <c r="AT23" i="11"/>
  <c r="AV23" i="11"/>
  <c r="AW23" i="11"/>
  <c r="AY23" i="11"/>
  <c r="H23" i="10"/>
  <c r="D23" i="11"/>
  <c r="AL22" i="11"/>
  <c r="AV22" i="11"/>
  <c r="AX22" i="11"/>
  <c r="AC22" i="11"/>
  <c r="AD22" i="11"/>
  <c r="AF22" i="11"/>
  <c r="AH22" i="11"/>
  <c r="AI22" i="11"/>
  <c r="AE22" i="11"/>
  <c r="AW22" i="11"/>
  <c r="AG22" i="11"/>
  <c r="AJ22" i="11"/>
  <c r="AK22" i="11"/>
  <c r="AN22" i="11"/>
  <c r="AU22" i="11"/>
  <c r="AM22" i="11"/>
  <c r="AT22" i="11"/>
  <c r="AS22" i="11"/>
  <c r="AR22" i="11"/>
  <c r="AQ22" i="11"/>
  <c r="AP22" i="11"/>
  <c r="AO22" i="11"/>
  <c r="H20" i="10"/>
  <c r="D20" i="11"/>
  <c r="H19" i="10"/>
  <c r="D19" i="11"/>
  <c r="AN18" i="11"/>
  <c r="AO18" i="11"/>
  <c r="AZ18" i="11"/>
  <c r="AY18" i="11"/>
  <c r="AX18" i="11"/>
  <c r="AW18" i="11"/>
  <c r="AV18" i="11"/>
  <c r="AM18" i="11"/>
  <c r="AU18" i="11"/>
  <c r="AQ18" i="11"/>
  <c r="AT18" i="11"/>
  <c r="AS18" i="11"/>
  <c r="AP18" i="11"/>
  <c r="AL18" i="11"/>
  <c r="AR18" i="11"/>
  <c r="L18" i="11"/>
  <c r="M18" i="11"/>
  <c r="Q18" i="11"/>
  <c r="N18" i="11"/>
  <c r="O18" i="11"/>
  <c r="P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K18" i="11"/>
  <c r="AE18" i="11"/>
  <c r="AF18" i="11"/>
  <c r="AG18" i="11"/>
  <c r="AH18" i="11"/>
  <c r="AI18" i="11"/>
  <c r="AJ18" i="11"/>
  <c r="H10" i="10"/>
  <c r="D10" i="11"/>
  <c r="H3" i="10"/>
  <c r="D3" i="11"/>
  <c r="H2" i="10"/>
  <c r="D2" i="11"/>
  <c r="C2" i="16"/>
  <c r="B3" i="17"/>
  <c r="D3" i="37" s="1"/>
  <c r="D38" i="37" s="1"/>
  <c r="A44" i="1"/>
  <c r="J70" i="14"/>
  <c r="K70" i="14" s="1"/>
  <c r="L70" i="14"/>
  <c r="L66" i="14"/>
  <c r="J66" i="14"/>
  <c r="K66" i="14" s="1"/>
  <c r="J59" i="14"/>
  <c r="K59" i="14" s="1"/>
  <c r="L52" i="14"/>
  <c r="J52" i="14"/>
  <c r="K52" i="14" s="1"/>
  <c r="AZ22" i="11"/>
  <c r="AZ7" i="11"/>
  <c r="AZ8" i="11"/>
  <c r="AZ9" i="11"/>
  <c r="AZ10" i="11"/>
  <c r="AZ2" i="11"/>
  <c r="AZ14" i="11"/>
  <c r="AZ3" i="11"/>
  <c r="AZ15" i="11"/>
  <c r="AZ11" i="11"/>
  <c r="AZ12" i="11"/>
  <c r="AZ6" i="11"/>
  <c r="AZ13" i="11"/>
  <c r="AY22" i="11"/>
  <c r="AY7" i="11"/>
  <c r="AY9" i="11"/>
  <c r="AY2" i="11"/>
  <c r="AY15" i="11"/>
  <c r="AY6" i="11"/>
  <c r="AY12" i="11"/>
  <c r="AY13" i="11"/>
  <c r="AY11" i="11"/>
  <c r="AY14" i="11"/>
  <c r="AY10" i="11"/>
  <c r="AY3" i="11"/>
  <c r="AY8" i="11"/>
  <c r="AX7" i="11"/>
  <c r="AX15" i="11"/>
  <c r="AX14" i="11"/>
  <c r="AX8" i="11"/>
  <c r="AW15" i="11"/>
  <c r="AW14" i="11"/>
  <c r="AW8" i="11"/>
  <c r="AW7" i="11"/>
  <c r="AV15" i="11"/>
  <c r="AV14" i="11"/>
  <c r="AV8" i="11"/>
  <c r="AV7" i="11"/>
  <c r="AU15" i="11"/>
  <c r="AU14" i="11"/>
  <c r="AU8" i="11"/>
  <c r="AU7" i="11"/>
  <c r="AT15" i="11"/>
  <c r="AT14" i="11"/>
  <c r="AT8" i="11"/>
  <c r="AT7" i="11"/>
  <c r="AS14" i="11"/>
  <c r="AS7" i="11"/>
  <c r="AS15" i="11"/>
  <c r="AS8" i="11"/>
  <c r="AR7" i="11"/>
  <c r="AR8" i="11"/>
  <c r="AR14" i="11"/>
  <c r="AR15" i="11"/>
  <c r="AQ8" i="11"/>
  <c r="AQ7" i="11"/>
  <c r="AQ15" i="11"/>
  <c r="AQ14" i="11"/>
  <c r="AP8" i="11"/>
  <c r="AP14" i="11"/>
  <c r="AP15" i="11"/>
  <c r="AP7" i="11"/>
  <c r="AO14" i="11"/>
  <c r="AO8" i="11"/>
  <c r="AO15" i="11"/>
  <c r="AO7" i="11"/>
  <c r="AN6" i="11"/>
  <c r="AN14" i="11"/>
  <c r="AN8" i="11"/>
  <c r="AN15" i="11"/>
  <c r="AN7" i="11"/>
  <c r="AM7" i="11"/>
  <c r="AM14" i="11"/>
  <c r="AM6" i="11"/>
  <c r="AM15" i="11"/>
  <c r="AM8" i="11"/>
  <c r="AL7" i="11"/>
  <c r="AL14" i="11"/>
  <c r="AL8" i="11"/>
  <c r="AL6" i="11"/>
  <c r="AL15" i="11"/>
  <c r="AK7" i="11"/>
  <c r="AK14" i="11"/>
  <c r="AK8" i="11"/>
  <c r="AK15" i="11"/>
  <c r="AK6" i="11"/>
  <c r="AJ6" i="11"/>
  <c r="AJ15" i="11"/>
  <c r="AJ14" i="11"/>
  <c r="AJ8" i="11"/>
  <c r="AJ7" i="11"/>
  <c r="AI8" i="11"/>
  <c r="AI14" i="11"/>
  <c r="AI15" i="11"/>
  <c r="AI6" i="11"/>
  <c r="AI7" i="11"/>
  <c r="AH7" i="11"/>
  <c r="AH8" i="11"/>
  <c r="AH14" i="11"/>
  <c r="AH15" i="11"/>
  <c r="AH6" i="11"/>
  <c r="AG6" i="11"/>
  <c r="AG14" i="11"/>
  <c r="AG7" i="11"/>
  <c r="AG15" i="11"/>
  <c r="AG8" i="11"/>
  <c r="AF15" i="11"/>
  <c r="AF14" i="11"/>
  <c r="AF6" i="11"/>
  <c r="AF7" i="11"/>
  <c r="AF8" i="11"/>
  <c r="AE15" i="11"/>
  <c r="AE7" i="11"/>
  <c r="AE14" i="11"/>
  <c r="AE6" i="11"/>
  <c r="AE8" i="11"/>
  <c r="AD14" i="11"/>
  <c r="AD7" i="11"/>
  <c r="AD6" i="11"/>
  <c r="AD15" i="11"/>
  <c r="AD8" i="11"/>
  <c r="AC8" i="11"/>
  <c r="AC14" i="11"/>
  <c r="AC7" i="11"/>
  <c r="AC6" i="11"/>
  <c r="AC15" i="11"/>
  <c r="AB14" i="11"/>
  <c r="AB8" i="11"/>
  <c r="AB7" i="11"/>
  <c r="AB6" i="11"/>
  <c r="AB15" i="11"/>
  <c r="AA7" i="11"/>
  <c r="AA14" i="11"/>
  <c r="AA15" i="11"/>
  <c r="AA8" i="11"/>
  <c r="AA6" i="11"/>
  <c r="Z7" i="11"/>
  <c r="Z6" i="11"/>
  <c r="Z14" i="11"/>
  <c r="Z15" i="11"/>
  <c r="Z8" i="11"/>
  <c r="Y7" i="11"/>
  <c r="Y14" i="11"/>
  <c r="Y8" i="11"/>
  <c r="Y6" i="11"/>
  <c r="Y15" i="11"/>
  <c r="X8" i="11"/>
  <c r="X14" i="11"/>
  <c r="X6" i="11"/>
  <c r="X7" i="11"/>
  <c r="X15" i="11"/>
  <c r="W7" i="11"/>
  <c r="W14" i="11"/>
  <c r="W8" i="11"/>
  <c r="W6" i="11"/>
  <c r="W15" i="11"/>
  <c r="V15" i="11"/>
  <c r="V8" i="11"/>
  <c r="V14" i="11"/>
  <c r="V16" i="11"/>
  <c r="V7" i="11"/>
  <c r="V6" i="11"/>
  <c r="U14" i="11"/>
  <c r="U6" i="11"/>
  <c r="U16" i="11"/>
  <c r="U8" i="11"/>
  <c r="U15" i="11"/>
  <c r="U7" i="11"/>
  <c r="T15" i="11"/>
  <c r="T16" i="11"/>
  <c r="T8" i="11"/>
  <c r="T14" i="11"/>
  <c r="T6" i="11"/>
  <c r="T7" i="11"/>
  <c r="S16" i="11"/>
  <c r="S6" i="11"/>
  <c r="S8" i="11"/>
  <c r="S14" i="11"/>
  <c r="S15" i="11"/>
  <c r="S7" i="11"/>
  <c r="R16" i="11"/>
  <c r="R15" i="11"/>
  <c r="R6" i="11"/>
  <c r="R14" i="11"/>
  <c r="R7" i="11"/>
  <c r="R8" i="11"/>
  <c r="Q6" i="11"/>
  <c r="Q14" i="11"/>
  <c r="Q16" i="11"/>
  <c r="Q8" i="11"/>
  <c r="Q15" i="11"/>
  <c r="Q7" i="11"/>
  <c r="P8" i="11"/>
  <c r="P7" i="11"/>
  <c r="P6" i="11"/>
  <c r="P15" i="11"/>
  <c r="P14" i="11"/>
  <c r="P16" i="11"/>
  <c r="O7" i="11"/>
  <c r="O8" i="11"/>
  <c r="O14" i="11"/>
  <c r="O6" i="11"/>
  <c r="O16" i="11"/>
  <c r="O15" i="11"/>
  <c r="N6" i="11"/>
  <c r="N16" i="11"/>
  <c r="N8" i="11"/>
  <c r="N14" i="11"/>
  <c r="N7" i="11"/>
  <c r="N15" i="11"/>
  <c r="M6" i="11"/>
  <c r="M16" i="11"/>
  <c r="M7" i="11"/>
  <c r="M14" i="11"/>
  <c r="M8" i="11"/>
  <c r="M15" i="11"/>
  <c r="L6" i="11"/>
  <c r="L8" i="11"/>
  <c r="L15" i="11"/>
  <c r="L16" i="11"/>
  <c r="L14" i="11"/>
  <c r="L7" i="11"/>
  <c r="K6" i="11"/>
  <c r="K8" i="11"/>
  <c r="K7" i="11"/>
  <c r="K16" i="11"/>
  <c r="K15" i="11"/>
  <c r="K14" i="11"/>
  <c r="J16" i="11"/>
  <c r="J14" i="11"/>
  <c r="J9" i="11"/>
  <c r="J7" i="11"/>
  <c r="J8" i="11"/>
  <c r="J6" i="11"/>
  <c r="J15" i="11"/>
  <c r="I16" i="11"/>
  <c r="I9" i="11"/>
  <c r="I7" i="11"/>
  <c r="I6" i="11"/>
  <c r="I14" i="11"/>
  <c r="I15" i="11"/>
  <c r="I8" i="11"/>
  <c r="H16" i="11"/>
  <c r="H9" i="11"/>
  <c r="H7" i="11"/>
  <c r="H15" i="11"/>
  <c r="H6" i="11"/>
  <c r="H8" i="11"/>
  <c r="H14" i="11"/>
  <c r="G16" i="11"/>
  <c r="G9" i="11"/>
  <c r="G15" i="11"/>
  <c r="G6" i="11"/>
  <c r="G7" i="11"/>
  <c r="G8" i="11"/>
  <c r="G14" i="11"/>
  <c r="G16" i="10"/>
  <c r="F16" i="11" s="1"/>
  <c r="E16" i="11"/>
  <c r="D16" i="11"/>
  <c r="H16" i="10"/>
  <c r="E15" i="11"/>
  <c r="G15" i="10"/>
  <c r="F15" i="11" s="1"/>
  <c r="D15" i="11"/>
  <c r="H15" i="10"/>
  <c r="G14" i="10"/>
  <c r="F14" i="11" s="1"/>
  <c r="E14" i="11"/>
  <c r="H14" i="10"/>
  <c r="D14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M13" i="11"/>
  <c r="AN13" i="11"/>
  <c r="AO13" i="11"/>
  <c r="AP13" i="11"/>
  <c r="AQ13" i="11"/>
  <c r="AR13" i="11"/>
  <c r="R13" i="11"/>
  <c r="AS13" i="11"/>
  <c r="AT13" i="11"/>
  <c r="AU13" i="11"/>
  <c r="AV13" i="11"/>
  <c r="AW13" i="11"/>
  <c r="AX13" i="11"/>
  <c r="AL13" i="11"/>
  <c r="G13" i="10"/>
  <c r="F13" i="11" s="1"/>
  <c r="E13" i="11"/>
  <c r="G13" i="11"/>
  <c r="H13" i="11"/>
  <c r="I13" i="11"/>
  <c r="J13" i="11"/>
  <c r="K13" i="11"/>
  <c r="L13" i="11"/>
  <c r="M13" i="11"/>
  <c r="N13" i="11"/>
  <c r="O13" i="11"/>
  <c r="P13" i="11"/>
  <c r="Q13" i="11"/>
  <c r="D13" i="11"/>
  <c r="H13" i="10"/>
  <c r="E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AL12" i="11"/>
  <c r="AM12" i="11"/>
  <c r="AN12" i="11"/>
  <c r="V12" i="11"/>
  <c r="W12" i="11"/>
  <c r="Y12" i="11"/>
  <c r="Z12" i="11"/>
  <c r="AB12" i="11"/>
  <c r="AC12" i="11"/>
  <c r="AD12" i="11"/>
  <c r="AE12" i="11"/>
  <c r="AF12" i="11"/>
  <c r="AG12" i="11"/>
  <c r="AH12" i="11"/>
  <c r="AI12" i="11"/>
  <c r="AO12" i="11"/>
  <c r="AQ12" i="11"/>
  <c r="AP12" i="11"/>
  <c r="AS12" i="11"/>
  <c r="AT12" i="11"/>
  <c r="AU12" i="11"/>
  <c r="AV12" i="11"/>
  <c r="AW12" i="11"/>
  <c r="AX12" i="11"/>
  <c r="AA12" i="11"/>
  <c r="AR12" i="11"/>
  <c r="X12" i="11"/>
  <c r="G12" i="10"/>
  <c r="F12" i="11" s="1"/>
  <c r="AJ12" i="11"/>
  <c r="AK12" i="11"/>
  <c r="H12" i="10"/>
  <c r="D12" i="11"/>
  <c r="G9" i="10"/>
  <c r="F9" i="11" s="1"/>
  <c r="E9" i="11"/>
  <c r="H9" i="10"/>
  <c r="D9" i="11"/>
  <c r="E8" i="11"/>
  <c r="G8" i="10"/>
  <c r="F8" i="11" s="1"/>
  <c r="D8" i="11"/>
  <c r="H8" i="10"/>
  <c r="E7" i="11"/>
  <c r="G7" i="10"/>
  <c r="F7" i="11" s="1"/>
  <c r="D7" i="11"/>
  <c r="H7" i="10"/>
  <c r="E6" i="11"/>
  <c r="AX6" i="11"/>
  <c r="AW6" i="11"/>
  <c r="AV6" i="11"/>
  <c r="AT6" i="11"/>
  <c r="AS6" i="11"/>
  <c r="AR6" i="11"/>
  <c r="AQ6" i="11"/>
  <c r="AP6" i="11"/>
  <c r="G6" i="10"/>
  <c r="F6" i="11" s="1"/>
  <c r="AO6" i="11"/>
  <c r="AU6" i="11"/>
  <c r="H6" i="10"/>
  <c r="D6" i="11"/>
  <c r="F5" i="10"/>
  <c r="H5" i="10"/>
  <c r="H4" i="10"/>
  <c r="F4" i="10"/>
  <c r="J11" i="4"/>
  <c r="F11" i="4"/>
  <c r="D6" i="28" s="1"/>
  <c r="C6" i="28" s="1"/>
  <c r="D115" i="6"/>
  <c r="D40" i="6"/>
  <c r="D40" i="37" l="1"/>
  <c r="E16" i="21"/>
  <c r="D23" i="37"/>
  <c r="L23" i="37"/>
  <c r="K23" i="37"/>
  <c r="J23" i="37"/>
  <c r="I23" i="37"/>
  <c r="H23" i="37"/>
  <c r="G23" i="37"/>
  <c r="F23" i="37"/>
  <c r="E23" i="37"/>
  <c r="D22" i="37"/>
  <c r="L22" i="37"/>
  <c r="J22" i="37"/>
  <c r="I22" i="37"/>
  <c r="H22" i="37"/>
  <c r="G22" i="37"/>
  <c r="F22" i="37"/>
  <c r="E22" i="37"/>
  <c r="K22" i="37"/>
  <c r="F58" i="8"/>
  <c r="H62" i="14"/>
  <c r="J62" i="14" s="1"/>
  <c r="K62" i="14" s="1"/>
  <c r="E12" i="21"/>
  <c r="B40" i="22"/>
  <c r="C30" i="37"/>
  <c r="C46" i="37" s="1"/>
  <c r="B34" i="22"/>
  <c r="C25" i="37"/>
  <c r="E20" i="21"/>
  <c r="D12" i="37"/>
  <c r="L12" i="37"/>
  <c r="K12" i="37"/>
  <c r="J12" i="37"/>
  <c r="I12" i="37"/>
  <c r="H12" i="37"/>
  <c r="G12" i="37"/>
  <c r="F12" i="37"/>
  <c r="E12" i="37"/>
  <c r="I25" i="21"/>
  <c r="I22" i="21"/>
  <c r="E4" i="32"/>
  <c r="E11" i="32" s="1"/>
  <c r="B22" i="22" s="1"/>
  <c r="C19" i="37" s="1"/>
  <c r="D11" i="32"/>
  <c r="I21" i="21"/>
  <c r="I17" i="21"/>
  <c r="F17" i="21"/>
  <c r="G17" i="21" s="1"/>
  <c r="D6" i="31"/>
  <c r="E4" i="31"/>
  <c r="E6" i="31" s="1"/>
  <c r="B15" i="22" s="1"/>
  <c r="C13" i="37" s="1"/>
  <c r="E23" i="21"/>
  <c r="F42" i="8"/>
  <c r="H60" i="14" s="1"/>
  <c r="J60" i="14" s="1"/>
  <c r="K60" i="14" s="1"/>
  <c r="E19" i="21"/>
  <c r="D4" i="30"/>
  <c r="D6" i="30" s="1"/>
  <c r="B13" i="22" s="1"/>
  <c r="C11" i="37" s="1"/>
  <c r="C6" i="30"/>
  <c r="C4" i="29"/>
  <c r="D4" i="29" s="1"/>
  <c r="L57" i="14"/>
  <c r="J57" i="14"/>
  <c r="K57" i="14" s="1"/>
  <c r="H54" i="14"/>
  <c r="H53" i="14"/>
  <c r="H51" i="14"/>
  <c r="C10" i="29"/>
  <c r="D10" i="29" s="1"/>
  <c r="H50" i="14"/>
  <c r="C9" i="29"/>
  <c r="D9" i="29" s="1"/>
  <c r="H49" i="14"/>
  <c r="C8" i="29"/>
  <c r="D8" i="29" s="1"/>
  <c r="H48" i="14"/>
  <c r="C7" i="29"/>
  <c r="D7" i="29" s="1"/>
  <c r="H47" i="14"/>
  <c r="C6" i="29"/>
  <c r="D6" i="29" s="1"/>
  <c r="H46" i="14"/>
  <c r="C5" i="29"/>
  <c r="C4" i="28"/>
  <c r="D18" i="21"/>
  <c r="E18" i="21" s="1"/>
  <c r="I18" i="21" s="1"/>
  <c r="D11" i="28"/>
  <c r="C4" i="27"/>
  <c r="C19" i="27" s="1"/>
  <c r="D19" i="27"/>
  <c r="B9" i="22" s="1"/>
  <c r="C9" i="37" s="1"/>
  <c r="D4" i="25"/>
  <c r="D5" i="25" s="1"/>
  <c r="B24" i="22" s="1"/>
  <c r="C21" i="37" s="1"/>
  <c r="C5" i="25"/>
  <c r="H61" i="14"/>
  <c r="J61" i="14" s="1"/>
  <c r="K61" i="14" s="1"/>
  <c r="F50" i="8"/>
  <c r="C8" i="23"/>
  <c r="H64" i="14"/>
  <c r="J64" i="14" s="1"/>
  <c r="K64" i="14" s="1"/>
  <c r="H65" i="14"/>
  <c r="J65" i="14" s="1"/>
  <c r="K65" i="14" s="1"/>
  <c r="H63" i="14"/>
  <c r="J63" i="14" s="1"/>
  <c r="K63" i="14" s="1"/>
  <c r="H45" i="14"/>
  <c r="I24" i="21"/>
  <c r="F24" i="21"/>
  <c r="G24" i="21" s="1"/>
  <c r="E14" i="21"/>
  <c r="D13" i="21"/>
  <c r="C11" i="21"/>
  <c r="G7" i="4"/>
  <c r="H2" i="14" s="1"/>
  <c r="E66" i="4"/>
  <c r="E15" i="21"/>
  <c r="I15" i="21" s="1"/>
  <c r="J7" i="14"/>
  <c r="K7" i="14" s="1"/>
  <c r="L7" i="14"/>
  <c r="G40" i="4"/>
  <c r="L6" i="14"/>
  <c r="J6" i="14"/>
  <c r="K6" i="14" s="1"/>
  <c r="L3" i="14"/>
  <c r="J3" i="14"/>
  <c r="K3" i="14" s="1"/>
  <c r="J5" i="14"/>
  <c r="K5" i="14" s="1"/>
  <c r="L5" i="14"/>
  <c r="J67" i="14"/>
  <c r="K67" i="14" s="1"/>
  <c r="L67" i="14"/>
  <c r="J9" i="14"/>
  <c r="K9" i="14" s="1"/>
  <c r="L9" i="14"/>
  <c r="J10" i="14"/>
  <c r="K10" i="14" s="1"/>
  <c r="L10" i="14"/>
  <c r="J8" i="14"/>
  <c r="K8" i="14" s="1"/>
  <c r="L8" i="14"/>
  <c r="L44" i="14"/>
  <c r="J44" i="14"/>
  <c r="K44" i="14" s="1"/>
  <c r="L43" i="14"/>
  <c r="J43" i="14"/>
  <c r="K43" i="14" s="1"/>
  <c r="L42" i="14"/>
  <c r="J42" i="14"/>
  <c r="K42" i="14" s="1"/>
  <c r="J41" i="14"/>
  <c r="K41" i="14" s="1"/>
  <c r="L41" i="14"/>
  <c r="L40" i="14"/>
  <c r="J40" i="14"/>
  <c r="K40" i="14" s="1"/>
  <c r="L39" i="14"/>
  <c r="J39" i="14"/>
  <c r="K39" i="14" s="1"/>
  <c r="L38" i="14"/>
  <c r="J38" i="14"/>
  <c r="K38" i="14" s="1"/>
  <c r="J37" i="14"/>
  <c r="K37" i="14" s="1"/>
  <c r="L37" i="14"/>
  <c r="L36" i="14"/>
  <c r="J36" i="14"/>
  <c r="K36" i="14" s="1"/>
  <c r="J35" i="14"/>
  <c r="K35" i="14" s="1"/>
  <c r="L35" i="14"/>
  <c r="L34" i="14"/>
  <c r="J34" i="14"/>
  <c r="K34" i="14" s="1"/>
  <c r="L33" i="14"/>
  <c r="J33" i="14"/>
  <c r="K33" i="14" s="1"/>
  <c r="J32" i="14"/>
  <c r="K32" i="14" s="1"/>
  <c r="L32" i="14"/>
  <c r="L31" i="14"/>
  <c r="J31" i="14"/>
  <c r="K31" i="14" s="1"/>
  <c r="J30" i="14"/>
  <c r="K30" i="14" s="1"/>
  <c r="L30" i="14"/>
  <c r="J29" i="14"/>
  <c r="K29" i="14" s="1"/>
  <c r="L29" i="14"/>
  <c r="J28" i="14"/>
  <c r="K28" i="14" s="1"/>
  <c r="L28" i="14"/>
  <c r="J26" i="14"/>
  <c r="K26" i="14" s="1"/>
  <c r="L26" i="14"/>
  <c r="L25" i="14"/>
  <c r="J25" i="14"/>
  <c r="K25" i="14" s="1"/>
  <c r="L24" i="14"/>
  <c r="J24" i="14"/>
  <c r="K24" i="14" s="1"/>
  <c r="L23" i="14"/>
  <c r="J23" i="14"/>
  <c r="K23" i="14" s="1"/>
  <c r="L22" i="14"/>
  <c r="J22" i="14"/>
  <c r="K22" i="14" s="1"/>
  <c r="L21" i="14"/>
  <c r="J21" i="14"/>
  <c r="K21" i="14" s="1"/>
  <c r="J20" i="14"/>
  <c r="K20" i="14" s="1"/>
  <c r="L20" i="14"/>
  <c r="J19" i="14"/>
  <c r="K19" i="14" s="1"/>
  <c r="L19" i="14"/>
  <c r="J18" i="14"/>
  <c r="K18" i="14" s="1"/>
  <c r="L18" i="14"/>
  <c r="J17" i="14"/>
  <c r="K17" i="14" s="1"/>
  <c r="L17" i="14"/>
  <c r="L16" i="14"/>
  <c r="J16" i="14"/>
  <c r="K16" i="14" s="1"/>
  <c r="J15" i="14"/>
  <c r="K15" i="14" s="1"/>
  <c r="L15" i="14"/>
  <c r="J14" i="14"/>
  <c r="K14" i="14" s="1"/>
  <c r="L14" i="14"/>
  <c r="J13" i="14"/>
  <c r="K13" i="14" s="1"/>
  <c r="L13" i="14"/>
  <c r="L12" i="14"/>
  <c r="J12" i="14"/>
  <c r="K12" i="14" s="1"/>
  <c r="J11" i="14"/>
  <c r="K11" i="14" s="1"/>
  <c r="L11" i="14"/>
  <c r="D2" i="16"/>
  <c r="C14" i="16"/>
  <c r="C6" i="17" s="1"/>
  <c r="C17" i="16"/>
  <c r="C9" i="17" s="1"/>
  <c r="C21" i="16"/>
  <c r="C3" i="17"/>
  <c r="E3" i="37" s="1"/>
  <c r="E38" i="37" s="1"/>
  <c r="E40" i="37" s="1"/>
  <c r="B44" i="1"/>
  <c r="G5" i="10"/>
  <c r="F5" i="11" s="1"/>
  <c r="E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S5" i="11"/>
  <c r="AT5" i="11"/>
  <c r="AU5" i="11"/>
  <c r="AV5" i="11"/>
  <c r="AW5" i="11"/>
  <c r="AX5" i="11"/>
  <c r="G4" i="10"/>
  <c r="F4" i="11" s="1"/>
  <c r="E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X4" i="11"/>
  <c r="Y4" i="11"/>
  <c r="Z4" i="11"/>
  <c r="AA4" i="11"/>
  <c r="AB4" i="11"/>
  <c r="AC4" i="11"/>
  <c r="AD4" i="11"/>
  <c r="AE4" i="11"/>
  <c r="AF4" i="11"/>
  <c r="AG4" i="11"/>
  <c r="AH4" i="11"/>
  <c r="AI4" i="11"/>
  <c r="AJ4" i="11"/>
  <c r="AK4" i="11"/>
  <c r="AL4" i="11"/>
  <c r="AM4" i="11"/>
  <c r="AN4" i="11"/>
  <c r="AO4" i="11"/>
  <c r="AP4" i="11"/>
  <c r="AQ4" i="11"/>
  <c r="AR4" i="11"/>
  <c r="AS4" i="11"/>
  <c r="AT4" i="11"/>
  <c r="AU4" i="11"/>
  <c r="AV4" i="11"/>
  <c r="AW4" i="11"/>
  <c r="AX4" i="11"/>
  <c r="B5" i="3"/>
  <c r="B5" i="9"/>
  <c r="B29" i="9"/>
  <c r="C29" i="9" s="1"/>
  <c r="G11" i="4"/>
  <c r="H4" i="14" s="1"/>
  <c r="F66" i="4"/>
  <c r="AZ5" i="11"/>
  <c r="AY5" i="11"/>
  <c r="AZ4" i="11"/>
  <c r="AY4" i="11"/>
  <c r="F16" i="21" l="1"/>
  <c r="G16" i="21" s="1"/>
  <c r="I16" i="21"/>
  <c r="E15" i="37"/>
  <c r="D30" i="37"/>
  <c r="D46" i="37" s="1"/>
  <c r="L30" i="37"/>
  <c r="L46" i="37" s="1"/>
  <c r="K30" i="37"/>
  <c r="K46" i="37" s="1"/>
  <c r="J30" i="37"/>
  <c r="J46" i="37" s="1"/>
  <c r="I30" i="37"/>
  <c r="I46" i="37" s="1"/>
  <c r="H30" i="37"/>
  <c r="H46" i="37" s="1"/>
  <c r="G30" i="37"/>
  <c r="G46" i="37" s="1"/>
  <c r="F30" i="37"/>
  <c r="F46" i="37" s="1"/>
  <c r="E30" i="37"/>
  <c r="E46" i="37" s="1"/>
  <c r="D25" i="37"/>
  <c r="D26" i="37" s="1"/>
  <c r="D45" i="37" s="1"/>
  <c r="L25" i="37"/>
  <c r="L26" i="37" s="1"/>
  <c r="L45" i="37" s="1"/>
  <c r="K25" i="37"/>
  <c r="K26" i="37" s="1"/>
  <c r="K45" i="37" s="1"/>
  <c r="J25" i="37"/>
  <c r="J26" i="37" s="1"/>
  <c r="J45" i="37" s="1"/>
  <c r="I25" i="37"/>
  <c r="I26" i="37" s="1"/>
  <c r="I45" i="37" s="1"/>
  <c r="H25" i="37"/>
  <c r="H26" i="37" s="1"/>
  <c r="H45" i="37" s="1"/>
  <c r="G25" i="37"/>
  <c r="G26" i="37" s="1"/>
  <c r="G45" i="37" s="1"/>
  <c r="F25" i="37"/>
  <c r="F26" i="37" s="1"/>
  <c r="F45" i="37" s="1"/>
  <c r="E25" i="37"/>
  <c r="E26" i="37" s="1"/>
  <c r="E45" i="37" s="1"/>
  <c r="F20" i="21"/>
  <c r="G20" i="21" s="1"/>
  <c r="I20" i="21"/>
  <c r="D21" i="37"/>
  <c r="L21" i="37"/>
  <c r="K21" i="37"/>
  <c r="J21" i="37"/>
  <c r="I21" i="37"/>
  <c r="H21" i="37"/>
  <c r="G21" i="37"/>
  <c r="F21" i="37"/>
  <c r="E21" i="37"/>
  <c r="D19" i="37"/>
  <c r="L19" i="37"/>
  <c r="K19" i="37"/>
  <c r="J19" i="37"/>
  <c r="I19" i="37"/>
  <c r="H19" i="37"/>
  <c r="G19" i="37"/>
  <c r="F19" i="37"/>
  <c r="E19" i="37"/>
  <c r="F12" i="21"/>
  <c r="G12" i="21" s="1"/>
  <c r="I12" i="21"/>
  <c r="C26" i="37"/>
  <c r="C45" i="37" s="1"/>
  <c r="C24" i="37"/>
  <c r="C44" i="37" s="1"/>
  <c r="D13" i="37"/>
  <c r="L13" i="37"/>
  <c r="K13" i="37"/>
  <c r="J13" i="37"/>
  <c r="I13" i="37"/>
  <c r="H13" i="37"/>
  <c r="G13" i="37"/>
  <c r="F13" i="37"/>
  <c r="E13" i="37"/>
  <c r="D11" i="37"/>
  <c r="L11" i="37"/>
  <c r="K11" i="37"/>
  <c r="J11" i="37"/>
  <c r="I11" i="37"/>
  <c r="H11" i="37"/>
  <c r="G11" i="37"/>
  <c r="F11" i="37"/>
  <c r="E11" i="37"/>
  <c r="D9" i="37"/>
  <c r="K9" i="37"/>
  <c r="H9" i="37"/>
  <c r="F9" i="37"/>
  <c r="L9" i="37"/>
  <c r="G9" i="37"/>
  <c r="J9" i="37"/>
  <c r="I9" i="37"/>
  <c r="E9" i="37"/>
  <c r="F23" i="21"/>
  <c r="G23" i="21" s="1"/>
  <c r="I23" i="21"/>
  <c r="F19" i="21"/>
  <c r="G19" i="21" s="1"/>
  <c r="I19" i="21"/>
  <c r="D5" i="29"/>
  <c r="D15" i="29" s="1"/>
  <c r="B17" i="22" s="1"/>
  <c r="C15" i="37" s="1"/>
  <c r="D15" i="37" s="1"/>
  <c r="C15" i="29"/>
  <c r="L54" i="14"/>
  <c r="J54" i="14"/>
  <c r="K54" i="14" s="1"/>
  <c r="J53" i="14"/>
  <c r="K53" i="14" s="1"/>
  <c r="L53" i="14"/>
  <c r="L51" i="14"/>
  <c r="J51" i="14"/>
  <c r="K51" i="14" s="1"/>
  <c r="L50" i="14"/>
  <c r="J50" i="14"/>
  <c r="K50" i="14" s="1"/>
  <c r="L49" i="14"/>
  <c r="J49" i="14"/>
  <c r="K49" i="14" s="1"/>
  <c r="L48" i="14"/>
  <c r="J48" i="14"/>
  <c r="K48" i="14" s="1"/>
  <c r="J47" i="14"/>
  <c r="K47" i="14" s="1"/>
  <c r="L47" i="14"/>
  <c r="J46" i="14"/>
  <c r="K46" i="14" s="1"/>
  <c r="L46" i="14"/>
  <c r="C11" i="28"/>
  <c r="C19" i="28" s="1"/>
  <c r="D19" i="28"/>
  <c r="B11" i="22" s="1"/>
  <c r="C10" i="37" s="1"/>
  <c r="D26" i="21"/>
  <c r="J45" i="14"/>
  <c r="K45" i="14" s="1"/>
  <c r="L45" i="14"/>
  <c r="E67" i="4"/>
  <c r="E68" i="4" s="1"/>
  <c r="E11" i="21"/>
  <c r="C26" i="21"/>
  <c r="F18" i="21"/>
  <c r="G18" i="21" s="1"/>
  <c r="F14" i="21"/>
  <c r="G14" i="21" s="1"/>
  <c r="I14" i="21"/>
  <c r="E13" i="21"/>
  <c r="I13" i="21" s="1"/>
  <c r="F15" i="21"/>
  <c r="G15" i="21" s="1"/>
  <c r="H27" i="14"/>
  <c r="G66" i="4"/>
  <c r="E27" i="21" s="1"/>
  <c r="D15" i="16"/>
  <c r="D7" i="17" s="1"/>
  <c r="E2" i="16"/>
  <c r="D14" i="16"/>
  <c r="D6" i="17" s="1"/>
  <c r="D16" i="16"/>
  <c r="D8" i="17" s="1"/>
  <c r="D17" i="16"/>
  <c r="D9" i="17" s="1"/>
  <c r="D21" i="16"/>
  <c r="D27" i="16"/>
  <c r="D3" i="17"/>
  <c r="F3" i="37" s="1"/>
  <c r="F38" i="37" s="1"/>
  <c r="F40" i="37" s="1"/>
  <c r="C44" i="1"/>
  <c r="C8" i="16"/>
  <c r="B15" i="16"/>
  <c r="B7" i="17" s="1"/>
  <c r="B16" i="16"/>
  <c r="B8" i="17" s="1"/>
  <c r="C15" i="16"/>
  <c r="C7" i="17" s="1"/>
  <c r="B27" i="16"/>
  <c r="B4" i="1"/>
  <c r="B6" i="3"/>
  <c r="B46" i="3"/>
  <c r="B6" i="9"/>
  <c r="B7" i="9"/>
  <c r="B36" i="9"/>
  <c r="C36" i="9" s="1"/>
  <c r="L4" i="14"/>
  <c r="J4" i="14"/>
  <c r="K4" i="14" s="1"/>
  <c r="F67" i="4"/>
  <c r="F68" i="4" s="1"/>
  <c r="J2" i="14"/>
  <c r="K2" i="14" s="1"/>
  <c r="L2" i="14"/>
  <c r="C16" i="16"/>
  <c r="C8" i="17" s="1"/>
  <c r="C27" i="16"/>
  <c r="F15" i="37" l="1"/>
  <c r="D24" i="37"/>
  <c r="D44" i="37" s="1"/>
  <c r="L24" i="37"/>
  <c r="L44" i="37" s="1"/>
  <c r="K24" i="37"/>
  <c r="K44" i="37" s="1"/>
  <c r="J24" i="37"/>
  <c r="J44" i="37" s="1"/>
  <c r="I24" i="37"/>
  <c r="I44" i="37" s="1"/>
  <c r="H24" i="37"/>
  <c r="H44" i="37" s="1"/>
  <c r="G24" i="37"/>
  <c r="G44" i="37" s="1"/>
  <c r="F24" i="37"/>
  <c r="F44" i="37" s="1"/>
  <c r="E24" i="37"/>
  <c r="E44" i="37" s="1"/>
  <c r="D10" i="37"/>
  <c r="D16" i="37" s="1"/>
  <c r="D43" i="37" s="1"/>
  <c r="L10" i="37"/>
  <c r="K10" i="37"/>
  <c r="J10" i="37"/>
  <c r="I10" i="37"/>
  <c r="H10" i="37"/>
  <c r="G10" i="37"/>
  <c r="F10" i="37"/>
  <c r="E10" i="37"/>
  <c r="E16" i="37" s="1"/>
  <c r="C16" i="37"/>
  <c r="B18" i="22"/>
  <c r="B27" i="22"/>
  <c r="F14" i="1"/>
  <c r="B14" i="16"/>
  <c r="B6" i="17" s="1"/>
  <c r="E26" i="21"/>
  <c r="F11" i="21"/>
  <c r="I11" i="21"/>
  <c r="F13" i="21"/>
  <c r="G13" i="21" s="1"/>
  <c r="G67" i="4"/>
  <c r="G68" i="4" s="1"/>
  <c r="L27" i="14"/>
  <c r="J27" i="14"/>
  <c r="K27" i="14" s="1"/>
  <c r="E15" i="16"/>
  <c r="E7" i="17" s="1"/>
  <c r="F2" i="16"/>
  <c r="E14" i="16"/>
  <c r="E6" i="17" s="1"/>
  <c r="E16" i="16"/>
  <c r="E8" i="17" s="1"/>
  <c r="E17" i="16"/>
  <c r="E9" i="17" s="1"/>
  <c r="E21" i="16"/>
  <c r="E27" i="16"/>
  <c r="E3" i="17"/>
  <c r="G3" i="37" s="1"/>
  <c r="G38" i="37" s="1"/>
  <c r="G40" i="37" s="1"/>
  <c r="D44" i="1"/>
  <c r="D8" i="16"/>
  <c r="B8" i="9"/>
  <c r="B7" i="3"/>
  <c r="B5" i="1"/>
  <c r="F4" i="18"/>
  <c r="B6" i="1"/>
  <c r="E17" i="37" l="1"/>
  <c r="E27" i="37" s="1"/>
  <c r="E31" i="37" s="1"/>
  <c r="E43" i="37"/>
  <c r="D17" i="37"/>
  <c r="D27" i="37" s="1"/>
  <c r="D31" i="37" s="1"/>
  <c r="C17" i="37"/>
  <c r="C27" i="37" s="1"/>
  <c r="C31" i="37" s="1"/>
  <c r="C32" i="37" s="1"/>
  <c r="C43" i="37"/>
  <c r="F16" i="37"/>
  <c r="G15" i="37"/>
  <c r="G16" i="37" s="1"/>
  <c r="G27" i="21"/>
  <c r="B34" i="21"/>
  <c r="I26" i="21"/>
  <c r="H13" i="21"/>
  <c r="G11" i="21"/>
  <c r="G26" i="21" s="1"/>
  <c r="F26" i="21"/>
  <c r="H18" i="21"/>
  <c r="H15" i="21"/>
  <c r="H14" i="21"/>
  <c r="H24" i="21"/>
  <c r="H19" i="21"/>
  <c r="H12" i="21"/>
  <c r="H16" i="21"/>
  <c r="H17" i="21"/>
  <c r="H20" i="21"/>
  <c r="H21" i="21"/>
  <c r="H22" i="21"/>
  <c r="H23" i="21"/>
  <c r="H25" i="21"/>
  <c r="B31" i="21"/>
  <c r="B33" i="21"/>
  <c r="B32" i="21"/>
  <c r="H11" i="21"/>
  <c r="H68" i="14"/>
  <c r="F13" i="1"/>
  <c r="F15" i="16"/>
  <c r="F7" i="17" s="1"/>
  <c r="G2" i="16"/>
  <c r="F14" i="16"/>
  <c r="F6" i="17" s="1"/>
  <c r="F16" i="16"/>
  <c r="F8" i="17" s="1"/>
  <c r="F17" i="16"/>
  <c r="F9" i="17" s="1"/>
  <c r="F21" i="16"/>
  <c r="F3" i="17"/>
  <c r="H3" i="37" s="1"/>
  <c r="H38" i="37" s="1"/>
  <c r="H40" i="37" s="1"/>
  <c r="E44" i="1"/>
  <c r="F27" i="16"/>
  <c r="E8" i="16"/>
  <c r="L65" i="14"/>
  <c r="L58" i="14"/>
  <c r="L60" i="14"/>
  <c r="L61" i="14"/>
  <c r="L62" i="14"/>
  <c r="L63" i="14"/>
  <c r="L64" i="14"/>
  <c r="L59" i="14"/>
  <c r="B11" i="15"/>
  <c r="B12" i="15" s="1"/>
  <c r="F17" i="37" l="1"/>
  <c r="F27" i="37" s="1"/>
  <c r="F31" i="37" s="1"/>
  <c r="F43" i="37"/>
  <c r="G17" i="37"/>
  <c r="G27" i="37" s="1"/>
  <c r="G31" i="37" s="1"/>
  <c r="G43" i="37"/>
  <c r="C33" i="37"/>
  <c r="C47" i="37"/>
  <c r="C48" i="37" s="1"/>
  <c r="C50" i="37" s="1"/>
  <c r="C52" i="37" s="1"/>
  <c r="H15" i="37"/>
  <c r="H16" i="37" s="1"/>
  <c r="H26" i="21"/>
  <c r="B35" i="21"/>
  <c r="C32" i="21"/>
  <c r="C31" i="21"/>
  <c r="J68" i="14"/>
  <c r="K68" i="14" s="1"/>
  <c r="L68" i="14"/>
  <c r="G15" i="16"/>
  <c r="G7" i="17" s="1"/>
  <c r="H2" i="16"/>
  <c r="G14" i="16"/>
  <c r="G6" i="17" s="1"/>
  <c r="G16" i="16"/>
  <c r="G8" i="17" s="1"/>
  <c r="G17" i="16"/>
  <c r="G9" i="17" s="1"/>
  <c r="G21" i="16"/>
  <c r="G3" i="17"/>
  <c r="I3" i="37" s="1"/>
  <c r="I38" i="37" s="1"/>
  <c r="I40" i="37" s="1"/>
  <c r="G27" i="16"/>
  <c r="F44" i="1"/>
  <c r="F8" i="16"/>
  <c r="F15" i="1"/>
  <c r="H17" i="37" l="1"/>
  <c r="H27" i="37" s="1"/>
  <c r="H31" i="37" s="1"/>
  <c r="H43" i="37"/>
  <c r="I15" i="37"/>
  <c r="I16" i="37" s="1"/>
  <c r="H69" i="14"/>
  <c r="F16" i="1"/>
  <c r="H15" i="16"/>
  <c r="H7" i="17" s="1"/>
  <c r="I2" i="16"/>
  <c r="H14" i="16"/>
  <c r="H6" i="17" s="1"/>
  <c r="H16" i="16"/>
  <c r="H8" i="17" s="1"/>
  <c r="H17" i="16"/>
  <c r="H9" i="17" s="1"/>
  <c r="H21" i="16"/>
  <c r="H27" i="16"/>
  <c r="H3" i="17"/>
  <c r="J3" i="37" s="1"/>
  <c r="J38" i="37" s="1"/>
  <c r="J40" i="37" s="1"/>
  <c r="G44" i="1"/>
  <c r="G8" i="16"/>
  <c r="I17" i="37" l="1"/>
  <c r="I27" i="37" s="1"/>
  <c r="I31" i="37" s="1"/>
  <c r="I43" i="37"/>
  <c r="J15" i="37"/>
  <c r="J16" i="37" s="1"/>
  <c r="F12" i="18"/>
  <c r="L69" i="14"/>
  <c r="J69" i="14"/>
  <c r="K69" i="14" s="1"/>
  <c r="I15" i="16"/>
  <c r="I7" i="17" s="1"/>
  <c r="J2" i="16"/>
  <c r="I14" i="16"/>
  <c r="I6" i="17" s="1"/>
  <c r="I16" i="16"/>
  <c r="I8" i="17" s="1"/>
  <c r="I17" i="16"/>
  <c r="I9" i="17" s="1"/>
  <c r="I21" i="16"/>
  <c r="I27" i="16"/>
  <c r="I3" i="17"/>
  <c r="K3" i="37" s="1"/>
  <c r="K38" i="37" s="1"/>
  <c r="K40" i="37" s="1"/>
  <c r="H44" i="1"/>
  <c r="H8" i="16"/>
  <c r="J17" i="37" l="1"/>
  <c r="J27" i="37" s="1"/>
  <c r="J31" i="37" s="1"/>
  <c r="J43" i="37"/>
  <c r="K15" i="37"/>
  <c r="K16" i="37" s="1"/>
  <c r="B9" i="15"/>
  <c r="B16" i="15" s="1"/>
  <c r="F17" i="1"/>
  <c r="H13" i="16"/>
  <c r="I13" i="16"/>
  <c r="D13" i="16"/>
  <c r="B13" i="16"/>
  <c r="B5" i="17" s="1"/>
  <c r="C13" i="16"/>
  <c r="E13" i="16"/>
  <c r="G13" i="16"/>
  <c r="F13" i="16"/>
  <c r="J15" i="16"/>
  <c r="J7" i="17" s="1"/>
  <c r="K2" i="16"/>
  <c r="J13" i="16"/>
  <c r="J14" i="16"/>
  <c r="J6" i="17" s="1"/>
  <c r="J16" i="16"/>
  <c r="J8" i="17" s="1"/>
  <c r="J17" i="16"/>
  <c r="J9" i="17" s="1"/>
  <c r="J21" i="16"/>
  <c r="J27" i="16"/>
  <c r="J3" i="17"/>
  <c r="L3" i="37" s="1"/>
  <c r="L38" i="37" s="1"/>
  <c r="L40" i="37" s="1"/>
  <c r="I44" i="1"/>
  <c r="I8" i="16"/>
  <c r="K17" i="37" l="1"/>
  <c r="K27" i="37" s="1"/>
  <c r="K31" i="37" s="1"/>
  <c r="K43" i="37"/>
  <c r="D32" i="37"/>
  <c r="D47" i="37" s="1"/>
  <c r="D48" i="37" s="1"/>
  <c r="D50" i="37" s="1"/>
  <c r="D52" i="37" s="1"/>
  <c r="K32" i="37"/>
  <c r="K47" i="37" s="1"/>
  <c r="L32" i="37"/>
  <c r="L47" i="37" s="1"/>
  <c r="E32" i="37"/>
  <c r="F32" i="37"/>
  <c r="G32" i="37"/>
  <c r="H32" i="37"/>
  <c r="I32" i="37"/>
  <c r="J32" i="37"/>
  <c r="L15" i="37"/>
  <c r="L16" i="37" s="1"/>
  <c r="H18" i="16"/>
  <c r="H5" i="17"/>
  <c r="I18" i="16"/>
  <c r="I5" i="17"/>
  <c r="D18" i="16"/>
  <c r="D5" i="17"/>
  <c r="C18" i="16"/>
  <c r="C5" i="17"/>
  <c r="E18" i="16"/>
  <c r="E5" i="17"/>
  <c r="G18" i="16"/>
  <c r="G5" i="17"/>
  <c r="F5" i="17"/>
  <c r="F18" i="16"/>
  <c r="K15" i="16"/>
  <c r="K7" i="17" s="1"/>
  <c r="L2" i="16"/>
  <c r="K13" i="16"/>
  <c r="K14" i="16"/>
  <c r="K6" i="17" s="1"/>
  <c r="K16" i="16"/>
  <c r="K8" i="17" s="1"/>
  <c r="K17" i="16"/>
  <c r="K9" i="17" s="1"/>
  <c r="K21" i="16"/>
  <c r="K3" i="17"/>
  <c r="J44" i="1"/>
  <c r="J18" i="16"/>
  <c r="J5" i="17"/>
  <c r="J8" i="16"/>
  <c r="B17" i="15"/>
  <c r="B18" i="15"/>
  <c r="B25" i="15"/>
  <c r="B28" i="15" s="1"/>
  <c r="B30" i="15"/>
  <c r="B47" i="3"/>
  <c r="B7" i="1"/>
  <c r="H71" i="14"/>
  <c r="H72" i="14"/>
  <c r="K48" i="37" l="1"/>
  <c r="K50" i="37" s="1"/>
  <c r="E33" i="37"/>
  <c r="E47" i="37"/>
  <c r="E48" i="37" s="1"/>
  <c r="E50" i="37" s="1"/>
  <c r="F33" i="37"/>
  <c r="F47" i="37"/>
  <c r="F48" i="37" s="1"/>
  <c r="F50" i="37" s="1"/>
  <c r="G33" i="37"/>
  <c r="G47" i="37"/>
  <c r="G48" i="37" s="1"/>
  <c r="G50" i="37" s="1"/>
  <c r="H33" i="37"/>
  <c r="H47" i="37"/>
  <c r="H48" i="37" s="1"/>
  <c r="H50" i="37" s="1"/>
  <c r="I33" i="37"/>
  <c r="I47" i="37"/>
  <c r="I48" i="37" s="1"/>
  <c r="I50" i="37" s="1"/>
  <c r="J33" i="37"/>
  <c r="J47" i="37"/>
  <c r="J48" i="37" s="1"/>
  <c r="J50" i="37" s="1"/>
  <c r="K33" i="37"/>
  <c r="L17" i="37"/>
  <c r="L27" i="37" s="1"/>
  <c r="L31" i="37" s="1"/>
  <c r="L33" i="37" s="1"/>
  <c r="L43" i="37"/>
  <c r="L48" i="37" s="1"/>
  <c r="L50" i="37" s="1"/>
  <c r="D33" i="37"/>
  <c r="E51" i="37"/>
  <c r="E52" i="37" s="1"/>
  <c r="F51" i="37" s="1"/>
  <c r="F52" i="37" s="1"/>
  <c r="G51" i="37" s="1"/>
  <c r="G52" i="37" s="1"/>
  <c r="H51" i="37" s="1"/>
  <c r="H52" i="37" s="1"/>
  <c r="I51" i="37" s="1"/>
  <c r="I52" i="37" s="1"/>
  <c r="J51" i="37" s="1"/>
  <c r="J52" i="37" s="1"/>
  <c r="K51" i="37" s="1"/>
  <c r="K52" i="37" s="1"/>
  <c r="L51" i="37" s="1"/>
  <c r="L52" i="37" s="1"/>
  <c r="H10" i="17"/>
  <c r="G46" i="1"/>
  <c r="H31" i="16"/>
  <c r="H46" i="1"/>
  <c r="I10" i="17"/>
  <c r="I31" i="16"/>
  <c r="C46" i="1"/>
  <c r="D10" i="17"/>
  <c r="D31" i="16"/>
  <c r="C10" i="17"/>
  <c r="B46" i="1"/>
  <c r="C31" i="16"/>
  <c r="E10" i="17"/>
  <c r="D46" i="1"/>
  <c r="E31" i="16"/>
  <c r="G10" i="17"/>
  <c r="F46" i="1"/>
  <c r="G31" i="16"/>
  <c r="F10" i="17"/>
  <c r="E46" i="1"/>
  <c r="F31" i="16"/>
  <c r="L15" i="16"/>
  <c r="L7" i="17" s="1"/>
  <c r="M2" i="16"/>
  <c r="L13" i="16"/>
  <c r="L14" i="16"/>
  <c r="L6" i="17" s="1"/>
  <c r="L16" i="16"/>
  <c r="L8" i="17" s="1"/>
  <c r="L17" i="16"/>
  <c r="L9" i="17" s="1"/>
  <c r="L21" i="16"/>
  <c r="L3" i="17"/>
  <c r="K44" i="1"/>
  <c r="L27" i="16"/>
  <c r="K18" i="16"/>
  <c r="K5" i="17"/>
  <c r="K8" i="16"/>
  <c r="J10" i="17"/>
  <c r="I46" i="1"/>
  <c r="J31" i="16"/>
  <c r="B11" i="1"/>
  <c r="B21" i="16"/>
  <c r="B8" i="1"/>
  <c r="B48" i="3"/>
  <c r="H74" i="14"/>
  <c r="J71" i="14"/>
  <c r="K71" i="14" s="1"/>
  <c r="L71" i="14"/>
  <c r="J72" i="14"/>
  <c r="K72" i="14" s="1"/>
  <c r="L72" i="14"/>
  <c r="B19" i="15"/>
  <c r="B20" i="15" s="1"/>
  <c r="K74" i="14" l="1"/>
  <c r="M15" i="16"/>
  <c r="M7" i="17" s="1"/>
  <c r="N2" i="16"/>
  <c r="M13" i="16"/>
  <c r="M14" i="16"/>
  <c r="M6" i="17" s="1"/>
  <c r="M16" i="16"/>
  <c r="M8" i="17" s="1"/>
  <c r="M17" i="16"/>
  <c r="M9" i="17" s="1"/>
  <c r="M21" i="16"/>
  <c r="M3" i="17"/>
  <c r="M27" i="16"/>
  <c r="L44" i="1"/>
  <c r="L18" i="16"/>
  <c r="L5" i="17"/>
  <c r="L8" i="16"/>
  <c r="K10" i="17"/>
  <c r="J46" i="1"/>
  <c r="K31" i="16"/>
  <c r="B8" i="16"/>
  <c r="B28" i="16"/>
  <c r="B26" i="15"/>
  <c r="J74" i="14"/>
  <c r="L74" i="14"/>
  <c r="B17" i="16"/>
  <c r="B21" i="15"/>
  <c r="B22" i="15" s="1"/>
  <c r="N15" i="16" l="1"/>
  <c r="N7" i="17" s="1"/>
  <c r="O2" i="16"/>
  <c r="N13" i="16"/>
  <c r="N14" i="16"/>
  <c r="N6" i="17" s="1"/>
  <c r="N16" i="16"/>
  <c r="N8" i="17" s="1"/>
  <c r="N17" i="16"/>
  <c r="N9" i="17" s="1"/>
  <c r="N21" i="16"/>
  <c r="N27" i="16"/>
  <c r="N3" i="17"/>
  <c r="M44" i="1"/>
  <c r="M18" i="16"/>
  <c r="M5" i="17"/>
  <c r="M8" i="16"/>
  <c r="L10" i="17"/>
  <c r="K46" i="1"/>
  <c r="L31" i="16"/>
  <c r="B27" i="15"/>
  <c r="B12" i="1"/>
  <c r="F9" i="18"/>
  <c r="B18" i="16"/>
  <c r="B9" i="17"/>
  <c r="B23" i="15"/>
  <c r="B10" i="1" s="1"/>
  <c r="B9" i="1"/>
  <c r="O15" i="16" l="1"/>
  <c r="O7" i="17" s="1"/>
  <c r="P2" i="16"/>
  <c r="O13" i="16"/>
  <c r="O14" i="16"/>
  <c r="O6" i="17" s="1"/>
  <c r="O16" i="16"/>
  <c r="O8" i="17" s="1"/>
  <c r="O17" i="16"/>
  <c r="O9" i="17" s="1"/>
  <c r="O21" i="16"/>
  <c r="O3" i="17"/>
  <c r="N44" i="1"/>
  <c r="O27" i="16"/>
  <c r="N18" i="16"/>
  <c r="N5" i="17"/>
  <c r="N8" i="16"/>
  <c r="M10" i="17"/>
  <c r="L46" i="1"/>
  <c r="M31" i="16"/>
  <c r="B13" i="1"/>
  <c r="B49" i="3"/>
  <c r="F10" i="18"/>
  <c r="B29" i="15"/>
  <c r="B31" i="16"/>
  <c r="A46" i="1"/>
  <c r="B10" i="17"/>
  <c r="P15" i="16" l="1"/>
  <c r="P7" i="17" s="1"/>
  <c r="Q2" i="16"/>
  <c r="P13" i="16"/>
  <c r="P14" i="16"/>
  <c r="P6" i="17" s="1"/>
  <c r="P16" i="16"/>
  <c r="P8" i="17" s="1"/>
  <c r="P17" i="16"/>
  <c r="P9" i="17" s="1"/>
  <c r="P21" i="16"/>
  <c r="P27" i="16"/>
  <c r="P3" i="17"/>
  <c r="O44" i="1"/>
  <c r="O18" i="16"/>
  <c r="O5" i="17"/>
  <c r="O8" i="16"/>
  <c r="N10" i="17"/>
  <c r="M46" i="1"/>
  <c r="N31" i="16"/>
  <c r="Q15" i="16" l="1"/>
  <c r="Q7" i="17" s="1"/>
  <c r="Q13" i="16"/>
  <c r="Q14" i="16"/>
  <c r="Q6" i="17" s="1"/>
  <c r="Q16" i="16"/>
  <c r="Q17" i="16"/>
  <c r="Q9" i="17" s="1"/>
  <c r="Q21" i="16"/>
  <c r="Q3" i="17"/>
  <c r="P44" i="1"/>
  <c r="Q27" i="16"/>
  <c r="P18" i="16"/>
  <c r="P5" i="17"/>
  <c r="P8" i="16"/>
  <c r="O10" i="17"/>
  <c r="N46" i="1"/>
  <c r="O31" i="16"/>
  <c r="Q7" i="16" l="1"/>
  <c r="Q5" i="16"/>
  <c r="Q18" i="16"/>
  <c r="Q5" i="17"/>
  <c r="M5" i="16"/>
  <c r="L5" i="16"/>
  <c r="H5" i="16"/>
  <c r="J5" i="16"/>
  <c r="K5" i="16"/>
  <c r="I5" i="16"/>
  <c r="C5" i="16"/>
  <c r="G5" i="16"/>
  <c r="E5" i="16"/>
  <c r="D5" i="16"/>
  <c r="B5" i="16"/>
  <c r="F5" i="16"/>
  <c r="Q8" i="17"/>
  <c r="Q8" i="16"/>
  <c r="P10" i="17"/>
  <c r="O46" i="1"/>
  <c r="P31" i="16"/>
  <c r="P7" i="16"/>
  <c r="P5" i="16"/>
  <c r="O7" i="16"/>
  <c r="E7" i="16"/>
  <c r="O5" i="16"/>
  <c r="I7" i="16"/>
  <c r="J7" i="16"/>
  <c r="N7" i="16"/>
  <c r="H7" i="16"/>
  <c r="L7" i="16"/>
  <c r="N5" i="16"/>
  <c r="M7" i="16"/>
  <c r="F7" i="16"/>
  <c r="B7" i="16"/>
  <c r="G7" i="16"/>
  <c r="D7" i="16"/>
  <c r="C7" i="16"/>
  <c r="K7" i="16"/>
  <c r="Q40" i="16" l="1"/>
  <c r="P45" i="1"/>
  <c r="Q4" i="17"/>
  <c r="Q22" i="16"/>
  <c r="Q6" i="16"/>
  <c r="Q10" i="17"/>
  <c r="P46" i="1"/>
  <c r="Q31" i="16"/>
  <c r="M6" i="16"/>
  <c r="M22" i="16"/>
  <c r="M4" i="17"/>
  <c r="L45" i="1"/>
  <c r="M40" i="16"/>
  <c r="N33" i="16" s="1"/>
  <c r="L40" i="16"/>
  <c r="M33" i="16" s="1"/>
  <c r="L6" i="16"/>
  <c r="L22" i="16"/>
  <c r="L4" i="17"/>
  <c r="K45" i="1"/>
  <c r="H6" i="16"/>
  <c r="H22" i="16"/>
  <c r="H4" i="17"/>
  <c r="G45" i="1"/>
  <c r="H40" i="16"/>
  <c r="I33" i="16" s="1"/>
  <c r="J6" i="16"/>
  <c r="J22" i="16"/>
  <c r="J4" i="17"/>
  <c r="I45" i="1"/>
  <c r="J40" i="16"/>
  <c r="K33" i="16" s="1"/>
  <c r="K6" i="16"/>
  <c r="K22" i="16"/>
  <c r="K4" i="17"/>
  <c r="J45" i="1"/>
  <c r="K40" i="16"/>
  <c r="L33" i="16" s="1"/>
  <c r="I6" i="16"/>
  <c r="I22" i="16"/>
  <c r="I4" i="17"/>
  <c r="H45" i="1"/>
  <c r="I40" i="16"/>
  <c r="J33" i="16" s="1"/>
  <c r="C6" i="16"/>
  <c r="C22" i="16"/>
  <c r="C4" i="17"/>
  <c r="B45" i="1"/>
  <c r="C40" i="16"/>
  <c r="D33" i="16" s="1"/>
  <c r="G6" i="16"/>
  <c r="G22" i="16"/>
  <c r="G4" i="17"/>
  <c r="F45" i="1"/>
  <c r="G40" i="16"/>
  <c r="H33" i="16" s="1"/>
  <c r="E6" i="16"/>
  <c r="E22" i="16"/>
  <c r="E4" i="17"/>
  <c r="D45" i="1"/>
  <c r="E40" i="16"/>
  <c r="F33" i="16" s="1"/>
  <c r="D6" i="16"/>
  <c r="D22" i="16"/>
  <c r="D4" i="17"/>
  <c r="C45" i="1"/>
  <c r="D40" i="16"/>
  <c r="E33" i="16" s="1"/>
  <c r="B6" i="16"/>
  <c r="B22" i="16"/>
  <c r="B4" i="17"/>
  <c r="A45" i="1"/>
  <c r="B40" i="16"/>
  <c r="F6" i="16"/>
  <c r="F22" i="16"/>
  <c r="F4" i="17"/>
  <c r="E45" i="1"/>
  <c r="F40" i="16"/>
  <c r="G33" i="16" s="1"/>
  <c r="P6" i="16"/>
  <c r="P22" i="16"/>
  <c r="P4" i="17"/>
  <c r="O45" i="1"/>
  <c r="P40" i="16"/>
  <c r="Q33" i="16" s="1"/>
  <c r="O40" i="16"/>
  <c r="P33" i="16" s="1"/>
  <c r="N45" i="1"/>
  <c r="O4" i="17"/>
  <c r="O22" i="16"/>
  <c r="O6" i="16"/>
  <c r="N6" i="16"/>
  <c r="N22" i="16"/>
  <c r="N4" i="17"/>
  <c r="M45" i="1"/>
  <c r="N40" i="16"/>
  <c r="O33" i="16" s="1"/>
  <c r="B7" i="22" l="1"/>
  <c r="B19" i="22" s="1"/>
  <c r="M11" i="17"/>
  <c r="Q24" i="16"/>
  <c r="M24" i="16"/>
  <c r="L24" i="16"/>
  <c r="H24" i="16"/>
  <c r="J24" i="16"/>
  <c r="K24" i="16"/>
  <c r="I24" i="16"/>
  <c r="C24" i="16"/>
  <c r="G24" i="16"/>
  <c r="E24" i="16"/>
  <c r="D24" i="16"/>
  <c r="B23" i="16"/>
  <c r="C23" i="16" s="1"/>
  <c r="B24" i="16"/>
  <c r="C33" i="16"/>
  <c r="B33" i="16"/>
  <c r="F24" i="16"/>
  <c r="P24" i="16"/>
  <c r="O24" i="16"/>
  <c r="N24" i="16"/>
  <c r="L11" i="17"/>
  <c r="H11" i="17"/>
  <c r="J11" i="17"/>
  <c r="K11" i="17"/>
  <c r="I11" i="17"/>
  <c r="C11" i="17"/>
  <c r="G11" i="17"/>
  <c r="E11" i="17"/>
  <c r="D11" i="17"/>
  <c r="B11" i="17"/>
  <c r="F11" i="17"/>
  <c r="P11" i="17"/>
  <c r="O11" i="17"/>
  <c r="N11" i="17"/>
  <c r="Q11" i="17"/>
  <c r="B20" i="22" l="1"/>
  <c r="B35" i="22"/>
  <c r="B25" i="16"/>
  <c r="D26" i="16" s="1"/>
  <c r="D28" i="16" s="1"/>
  <c r="K27" i="16"/>
  <c r="C9" i="16"/>
  <c r="C10" i="16" s="1"/>
  <c r="D32" i="16" s="1"/>
  <c r="D34" i="16" s="1"/>
  <c r="C25" i="16"/>
  <c r="B9" i="16"/>
  <c r="B10" i="16" s="1"/>
  <c r="D23" i="16"/>
  <c r="B36" i="22" l="1"/>
  <c r="B41" i="22"/>
  <c r="D37" i="16"/>
  <c r="C26" i="16"/>
  <c r="C28" i="16" s="1"/>
  <c r="E26" i="16"/>
  <c r="E28" i="16" s="1"/>
  <c r="B32" i="16"/>
  <c r="B34" i="16" s="1"/>
  <c r="B37" i="16" s="1"/>
  <c r="B38" i="16" s="1"/>
  <c r="C32" i="16"/>
  <c r="C34" i="16" s="1"/>
  <c r="D25" i="16"/>
  <c r="F26" i="16" s="1"/>
  <c r="F28" i="16" s="1"/>
  <c r="E23" i="16"/>
  <c r="D9" i="16"/>
  <c r="D10" i="16" s="1"/>
  <c r="E32" i="16" s="1"/>
  <c r="E34" i="16" s="1"/>
  <c r="B42" i="22" l="1"/>
  <c r="B43" i="22" s="1"/>
  <c r="B44" i="22" s="1"/>
  <c r="E37" i="16"/>
  <c r="B39" i="16"/>
  <c r="F23" i="16"/>
  <c r="G23" i="16" s="1"/>
  <c r="E25" i="16"/>
  <c r="G26" i="16" s="1"/>
  <c r="G28" i="16" s="1"/>
  <c r="E9" i="16"/>
  <c r="E10" i="16" s="1"/>
  <c r="F32" i="16" s="1"/>
  <c r="F34" i="16" s="1"/>
  <c r="F37" i="16" s="1"/>
  <c r="C37" i="16"/>
  <c r="C38" i="16" s="1"/>
  <c r="F9" i="16" l="1"/>
  <c r="F10" i="16" s="1"/>
  <c r="G32" i="16" s="1"/>
  <c r="G34" i="16" s="1"/>
  <c r="G37" i="16" s="1"/>
  <c r="F25" i="16"/>
  <c r="H26" i="16" s="1"/>
  <c r="H28" i="16" s="1"/>
  <c r="G9" i="16"/>
  <c r="G10" i="16" s="1"/>
  <c r="H32" i="16" s="1"/>
  <c r="H34" i="16" s="1"/>
  <c r="G25" i="16"/>
  <c r="I26" i="16" s="1"/>
  <c r="I28" i="16" s="1"/>
  <c r="D38" i="16"/>
  <c r="C39" i="16"/>
  <c r="H23" i="16"/>
  <c r="E38" i="16" l="1"/>
  <c r="D39" i="16"/>
  <c r="H25" i="16"/>
  <c r="J26" i="16" s="1"/>
  <c r="J28" i="16" s="1"/>
  <c r="H9" i="16"/>
  <c r="H10" i="16" s="1"/>
  <c r="I32" i="16" s="1"/>
  <c r="I34" i="16" s="1"/>
  <c r="I37" i="16" s="1"/>
  <c r="H37" i="16"/>
  <c r="I23" i="16"/>
  <c r="F38" i="16" l="1"/>
  <c r="E39" i="16"/>
  <c r="I9" i="16"/>
  <c r="I10" i="16" s="1"/>
  <c r="J32" i="16" s="1"/>
  <c r="J34" i="16" s="1"/>
  <c r="J37" i="16" s="1"/>
  <c r="I25" i="16"/>
  <c r="K26" i="16" s="1"/>
  <c r="K28" i="16" s="1"/>
  <c r="J23" i="16"/>
  <c r="G38" i="16" l="1"/>
  <c r="F39" i="16"/>
  <c r="K23" i="16"/>
  <c r="J9" i="16"/>
  <c r="J10" i="16" s="1"/>
  <c r="K32" i="16" s="1"/>
  <c r="K34" i="16" s="1"/>
  <c r="K37" i="16" s="1"/>
  <c r="J25" i="16"/>
  <c r="L26" i="16" s="1"/>
  <c r="L28" i="16" s="1"/>
  <c r="H38" i="16" l="1"/>
  <c r="G39" i="16"/>
  <c r="L23" i="16"/>
  <c r="K25" i="16"/>
  <c r="M26" i="16" s="1"/>
  <c r="M28" i="16" s="1"/>
  <c r="K9" i="16"/>
  <c r="K10" i="16" s="1"/>
  <c r="L32" i="16" s="1"/>
  <c r="L34" i="16" s="1"/>
  <c r="L37" i="16" s="1"/>
  <c r="I38" i="16" l="1"/>
  <c r="H39" i="16"/>
  <c r="L9" i="16"/>
  <c r="L10" i="16" s="1"/>
  <c r="M32" i="16" s="1"/>
  <c r="M34" i="16" s="1"/>
  <c r="M37" i="16" s="1"/>
  <c r="M23" i="16"/>
  <c r="L25" i="16"/>
  <c r="N26" i="16" s="1"/>
  <c r="N28" i="16" s="1"/>
  <c r="I39" i="16" l="1"/>
  <c r="J38" i="16"/>
  <c r="N23" i="16"/>
  <c r="M25" i="16"/>
  <c r="O26" i="16" s="1"/>
  <c r="O28" i="16" s="1"/>
  <c r="M9" i="16"/>
  <c r="M10" i="16" s="1"/>
  <c r="N32" i="16" s="1"/>
  <c r="N34" i="16" s="1"/>
  <c r="N37" i="16" s="1"/>
  <c r="J39" i="16" l="1"/>
  <c r="K38" i="16"/>
  <c r="O23" i="16"/>
  <c r="P23" i="16" s="1"/>
  <c r="N25" i="16"/>
  <c r="P26" i="16" s="1"/>
  <c r="P28" i="16" s="1"/>
  <c r="N9" i="16"/>
  <c r="N10" i="16" s="1"/>
  <c r="O32" i="16" s="1"/>
  <c r="O34" i="16" s="1"/>
  <c r="O37" i="16" s="1"/>
  <c r="K39" i="16" l="1"/>
  <c r="L38" i="16"/>
  <c r="Q23" i="16"/>
  <c r="P9" i="16"/>
  <c r="P10" i="16" s="1"/>
  <c r="Q32" i="16" s="1"/>
  <c r="Q34" i="16" s="1"/>
  <c r="P25" i="16"/>
  <c r="O9" i="16"/>
  <c r="O10" i="16" s="1"/>
  <c r="P32" i="16" s="1"/>
  <c r="P34" i="16" s="1"/>
  <c r="P37" i="16" s="1"/>
  <c r="O25" i="16"/>
  <c r="Q26" i="16" s="1"/>
  <c r="Q28" i="16" s="1"/>
  <c r="M38" i="16" l="1"/>
  <c r="L39" i="16"/>
  <c r="Q37" i="16"/>
  <c r="Q25" i="16"/>
  <c r="Q9" i="16"/>
  <c r="Q10" i="16" s="1"/>
  <c r="M39" i="16" l="1"/>
  <c r="N38" i="16"/>
  <c r="O38" i="16" l="1"/>
  <c r="N39" i="16"/>
  <c r="P38" i="16" l="1"/>
  <c r="O39" i="16"/>
  <c r="Q38" i="16" l="1"/>
  <c r="P39" i="16"/>
  <c r="Q39" i="16" l="1"/>
  <c r="B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4" authorId="0" shapeId="0" xr:uid="{00000000-0006-0000-02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8" authorId="0" shapeId="0" xr:uid="{00000000-0006-0000-02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10" authorId="0" shapeId="0" xr:uid="{00000000-0006-0000-0200-000004000000}">
      <text>
        <r>
          <rPr>
            <sz val="11"/>
            <color theme="1"/>
            <rFont val="Calibri"/>
            <family val="2"/>
            <charset val="204"/>
            <scheme val="minor"/>
          </rPr>
          <t>НДС 22% задан пользователем. Используется для исходящего НДС и входящего НДС по VAT-bearing затратам.</t>
        </r>
      </text>
    </comment>
    <comment ref="B11" authorId="0" shapeId="0" xr:uid="{00000000-0006-0000-0200-000005000000}">
      <text>
        <r>
          <rPr>
            <sz val="11"/>
            <color theme="1"/>
            <rFont val="Calibri"/>
            <family val="2"/>
            <charset val="204"/>
            <scheme val="minor"/>
          </rPr>
          <t>Налог на прибыль 25% задан пользователем.</t>
        </r>
      </text>
    </comment>
    <comment ref="B12" authorId="0" shapeId="0" xr:uid="{00000000-0006-0000-0200-000006000000}">
      <text>
        <r>
          <rPr>
            <sz val="11"/>
            <color theme="1"/>
            <rFont val="Calibri"/>
            <family val="2"/>
            <charset val="204"/>
            <scheme val="minor"/>
          </rPr>
          <t>Целевая чистая прибыль 11% от выручки без НДС. Модель решает достаточную выручку под эту цель.</t>
        </r>
      </text>
    </comment>
    <comment ref="B16" authorId="0" shapeId="0" xr:uid="{00000000-0006-0000-0200-000007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п.4.1: аванс 30% от цены договора с НДС, в течение 10 рабочих дней на основании счета.</t>
        </r>
      </text>
    </comment>
    <comment ref="B17" authorId="0" shapeId="0" xr:uid="{00000000-0006-0000-0200-000008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18" authorId="0" shapeId="0" xr:uid="{00000000-0006-0000-0200-000009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19" authorId="0" shapeId="0" xr:uid="{00000000-0006-0000-0200-00000A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не содержит плановый retention с актов. Удержания возможны как санкции/компенсации при дефектах, убытках и налоговых рисках; оставлено как сценарный ввод.</t>
        </r>
      </text>
    </comment>
    <comment ref="B20" authorId="0" shapeId="0" xr:uid="{00000000-0006-0000-0200-00000B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22" authorId="0" shapeId="0" xr:uid="{00000000-0006-0000-0200-00000C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п.4.2: оплата выполненных и принятых работ с зачетом аванса в течение 60 календарных дней после подписания КС-2/КС-3, счета и счета-фактуры.</t>
        </r>
      </text>
    </comment>
    <comment ref="B23" authorId="0" shapeId="0" xr:uid="{00000000-0006-0000-0200-00000D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24" authorId="0" shapeId="0" xr:uid="{00000000-0006-0000-0200-00000E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25" authorId="0" shapeId="0" xr:uid="{00000000-0006-0000-0200-00000F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26" authorId="0" shapeId="0" xr:uid="{00000000-0006-0000-0200-000010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28" authorId="0" shapeId="0" xr:uid="{00000000-0006-0000-0200-000011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29" authorId="0" shapeId="0" xr:uid="{00000000-0006-0000-0200-000012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30" authorId="0" shapeId="0" xr:uid="{00000000-0006-0000-0200-000013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31" authorId="0" shapeId="0" xr:uid="{00000000-0006-0000-0200-000014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32" authorId="0" shapeId="0" xr:uid="{00000000-0006-0000-0200-000015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33" authorId="0" shapeId="0" xr:uid="{00000000-0006-0000-0200-000016000000}">
      <text>
        <r>
          <rPr>
            <sz val="11"/>
            <color theme="1"/>
            <rFont val="Calibri"/>
            <family val="2"/>
            <charset val="204"/>
            <scheme val="minor"/>
          </rPr>
          <t>Изменяемый сценарный параметр. Все формы модели пересчитываются через формулы.</t>
        </r>
      </text>
    </comment>
    <comment ref="B37" authorId="0" shapeId="0" xr:uid="{00000000-0006-0000-0200-000017000000}">
      <text>
        <r>
          <rPr>
            <sz val="11"/>
            <color theme="1"/>
            <rFont val="Calibri"/>
            <family val="2"/>
            <charset val="204"/>
            <scheme val="minor"/>
          </rPr>
          <t>НДФЛ для расчета ФОТ, когда в примечании указано «на руки».</t>
        </r>
      </text>
    </comment>
    <comment ref="B38" authorId="0" shapeId="0" xr:uid="{00000000-0006-0000-0200-000018000000}">
      <text>
        <r>
          <rPr>
            <sz val="11"/>
            <color theme="1"/>
            <rFont val="Calibri"/>
            <family val="2"/>
            <charset val="204"/>
            <scheme val="minor"/>
          </rPr>
          <t>Социальные взносы для расчета ФОТ, когда в примечании указано «на руки».</t>
        </r>
      </text>
    </comment>
    <comment ref="B40" authorId="0" shapeId="0" xr:uid="{00000000-0006-0000-0200-000019000000}">
      <text>
        <r>
          <rPr>
            <sz val="11"/>
            <color theme="1"/>
            <rFont val="Calibri"/>
            <family val="2"/>
            <charset val="204"/>
            <scheme val="minor"/>
          </rPr>
          <t>ФОТ команды проекта на листе «ежемесячные расходы» указан как на руки; добавлены НДФЛ и социальные налоги.</t>
        </r>
      </text>
    </comment>
    <comment ref="B41" authorId="0" shapeId="0" xr:uid="{00000000-0006-0000-0200-00001A000000}">
      <text>
        <r>
          <rPr>
            <sz val="11"/>
            <color theme="1"/>
            <rFont val="Calibri"/>
            <family val="2"/>
            <charset val="204"/>
            <scheme val="minor"/>
          </rPr>
          <t>По общим параметрам бэкофис указан «с налогами» - НДФЛ и социальные налоги повторно не начисляются.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25" authorId="0" shapeId="0" xr:uid="{00000000-0006-0000-0E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Исходящий НДС рассчитывается от выручки без НДС по ставке FIN_0!B10.</t>
        </r>
      </text>
    </comment>
    <comment ref="B26" authorId="0" shapeId="0" xr:uid="{00000000-0006-0000-0E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Входящий НДС берется из FIN_1 по строкам с флагом входящего НДС = 1. По задаче пользователя включены прямые затраты и ежемесячные расходы, кроме ФОТ.</t>
        </r>
      </text>
    </comment>
    <comment ref="B27" authorId="0" shapeId="0" xr:uid="{00000000-0006-0000-0E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НДС к уплате влияет на Cash Flow, но не на P&amp;L. Для цены договора с НДС показываем исходящий НДС отдельно.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F4" authorId="0" shapeId="0" xr:uid="{00000000-0006-0000-00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п.4.1: аванс 30% от цены договора с НДС в течение 10 рабочих дней по счету.</t>
        </r>
      </text>
    </comment>
    <comment ref="F5" authorId="0" shapeId="0" xr:uid="{00000000-0006-0000-0000-000002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п.4.2: оплата КС-2/КС-3 в течение 60 календарных дней после подписания, счета и счета-фактуры.</t>
        </r>
      </text>
    </comment>
    <comment ref="F6" authorId="0" shapeId="0" xr:uid="{00000000-0006-0000-00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п.6.1.19, 8.2-8.5: ежемесячно до 25 числа, техзаказчик 5 рабочих дней, заказчик 10 рабочих дней.</t>
        </r>
      </text>
    </comment>
    <comment ref="F7" authorId="0" shapeId="0" xr:uid="{00000000-0006-0000-0000-000004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п.8.9, 12.6.5: возможны удержания расходов/убытков, но планового retention не найдено.</t>
        </r>
      </text>
    </comment>
    <comment ref="F8" authorId="0" shapeId="0" xr:uid="{00000000-0006-0000-0000-000005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п.9.1-9.2, 9.13: штрафы/пени как финансовые риски, не включены в базовый сценарий.</t>
        </r>
      </text>
    </comment>
    <comment ref="F9" authorId="0" shapeId="0" xr:uid="{00000000-0006-0000-0000-000006000000}">
      <text>
        <r>
          <rPr>
            <sz val="11"/>
            <color theme="1"/>
            <rFont val="Calibri"/>
            <family val="2"/>
            <charset val="204"/>
            <scheme val="minor"/>
          </rPr>
          <t>Договор раздел 12: налоговые гарантии, НДС и компенсация отказа в вычете/доначислений.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I61" authorId="0" shapeId="0" xr:uid="{00000000-0006-0000-03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Admin:
125 т.р. За тонну, вес каркаса 77 тонн всего/96=0,8 т на 1 каркас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None</author>
  </authors>
  <commentList>
    <comment ref="B127" authorId="0" shapeId="0" xr:uid="{00000000-0006-0000-05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Владелец</author>
  </authors>
  <commentList>
    <comment ref="C4" authorId="0" shapeId="0" xr:uid="{28E5DB08-F9B0-4A6E-8EB3-4B1E007C1126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Выручка без НДС (B5) × (1+НДС) → с НДС × 30% × 5% годовых × 9/12 мес</t>
        </r>
      </text>
    </comment>
    <comment ref="D4" authorId="0" shapeId="0" xr:uid="{9E1D2FD6-75C9-431C-A368-E1C235630D81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Комиссия БГ НДС не облагается, сумма с/без НДС совпадают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Владелец</author>
  </authors>
  <commentList>
    <comment ref="D15" authorId="0" shapeId="0" xr:uid="{C6278E54-8DDC-4984-827D-BEA31BF15482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E15" authorId="0" shapeId="0" xr:uid="{CD1717B2-175B-4806-BAC3-F02272CA2F15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F15" authorId="0" shapeId="0" xr:uid="{A720EC83-2E82-4374-A56F-EFC01A39B9AD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G15" authorId="0" shapeId="0" xr:uid="{60BC3675-D69A-485D-BC6D-45D7F3F7D37C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H15" authorId="0" shapeId="0" xr:uid="{6EE614CF-31EE-4E87-B8AC-7DDB96E4D481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I15" authorId="0" shapeId="0" xr:uid="{B1DF6F70-6832-4ADB-A6C2-CABDE9F0BF3E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J15" authorId="0" shapeId="0" xr:uid="{9DBA944C-A02F-4130-BC07-DF60AFA7CECF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K15" authorId="0" shapeId="0" xr:uid="{F35B6B44-F27C-4489-B552-1AE3B95CCE88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L15" authorId="0" shapeId="0" xr:uid="{8E09C6CB-549A-4343-AEF4-BED0556E00D1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Разовые расходы — в 1-м месяце полностью</t>
        </r>
      </text>
    </comment>
    <comment ref="D32" authorId="0" shapeId="0" xr:uid="{39C651C3-C5D4-4EE5-AF5F-8CF2030DC05F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E32" authorId="0" shapeId="0" xr:uid="{40B99A57-0B50-4AF3-AAB6-EADFFB4B4325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F32" authorId="0" shapeId="0" xr:uid="{FC1E209B-DDF9-4E77-8577-301278BC8920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G32" authorId="0" shapeId="0" xr:uid="{595F08E0-6A4F-4D3D-827B-71DB86022687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H32" authorId="0" shapeId="0" xr:uid="{36F18250-6216-49E6-94AA-DE3C1EE6DBCD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I32" authorId="0" shapeId="0" xr:uid="{B6E49B52-9F6F-4CF2-9EAD-8862E6204A6A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J32" authorId="0" shapeId="0" xr:uid="{CDC8BB9F-FF30-46C5-B5B3-74A30DA8EFB1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K32" authorId="0" shapeId="0" xr:uid="{51A432CF-F1A3-4743-8FA3-4715240E98E5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L32" authorId="0" shapeId="0" xr:uid="{B2A1CDCF-6496-4818-B35E-B418E8FA21F7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Налог платится в последнем месяце</t>
        </r>
      </text>
    </comment>
    <comment ref="C38" authorId="0" shapeId="0" xr:uid="{CE108F93-60EF-4BE0-80EA-8AE6F960B3A6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30% от выручки с НДС</t>
        </r>
      </text>
    </comment>
    <comment ref="C51" authorId="0" shapeId="0" xr:uid="{8B25C421-B292-4F41-85BA-F4DA36644BE0}">
      <text>
        <r>
          <rPr>
            <b/>
            <sz val="9"/>
            <color indexed="81"/>
            <rFont val="Tahoma"/>
            <family val="2"/>
            <charset val="204"/>
          </rPr>
          <t>Владелец:</t>
        </r>
        <r>
          <rPr>
            <sz val="9"/>
            <color indexed="81"/>
            <rFont val="Tahoma"/>
            <family val="2"/>
            <charset val="204"/>
          </rPr>
          <t xml:space="preserve">
Начальный остаток ДС — input</t>
        </r>
      </text>
    </comment>
  </commentList>
</comments>
</file>

<file path=xl/sharedStrings.xml><?xml version="1.0" encoding="utf-8"?>
<sst xmlns="http://schemas.openxmlformats.org/spreadsheetml/2006/main" count="1946" uniqueCount="1095">
  <si>
    <t>Финансовая модель проекта: Цех №217</t>
  </si>
  <si>
    <t>Старт проекта</t>
  </si>
  <si>
    <t>дата</t>
  </si>
  <si>
    <t>Ключевые договорные условия, учтенные в CF</t>
  </si>
  <si>
    <t>Финиш проекта</t>
  </si>
  <si>
    <t>Аванс</t>
  </si>
  <si>
    <t>30% от цены договора с НДС; получение в течение 10 рабочих дней по счету.</t>
  </si>
  <si>
    <t>Длительность, к.д.</t>
  </si>
  <si>
    <t>дни</t>
  </si>
  <si>
    <t>Оплата актов</t>
  </si>
  <si>
    <t>60 календарных дней после подписания КС-2/КС-3, счета и счета-фактуры.</t>
  </si>
  <si>
    <t>Проверка &lt;= 9 мес.</t>
  </si>
  <si>
    <t>Приемка документов</t>
  </si>
  <si>
    <t>Ежемесячно до 25 числа; техзаказчик 5 раб. дней; заказчик 10 раб. дней.</t>
  </si>
  <si>
    <t>Достаточная выручка без НДС</t>
  </si>
  <si>
    <t>руб.</t>
  </si>
  <si>
    <t>Удержания</t>
  </si>
  <si>
    <t>Плановый retention в договоре не найден; есть право удержания затрат/убытков/налоговых потерь.</t>
  </si>
  <si>
    <t>Цена договора с НДС</t>
  </si>
  <si>
    <t>Штрафы/пени</t>
  </si>
  <si>
    <t>Пени за просрочку работ/оплаты 1% в день, но не более 10% цены договора; штраф 1 млн руб. по субподрядным требованиям.</t>
  </si>
  <si>
    <t>Чистая прибыль</t>
  </si>
  <si>
    <t>НДС</t>
  </si>
  <si>
    <t>Подрядчик обязан отражать НДС; налоговые риски/отказ вычета компенсируются подрядчиком.</t>
  </si>
  <si>
    <t>Чистая маржа</t>
  </si>
  <si>
    <t>%</t>
  </si>
  <si>
    <t>Исходящий НДС</t>
  </si>
  <si>
    <t>Входящий НДС</t>
  </si>
  <si>
    <t>Контроль затрат</t>
  </si>
  <si>
    <t>НДС к уплате</t>
  </si>
  <si>
    <t>Прямые затраты без НДС</t>
  </si>
  <si>
    <t>Макс. кассовый разрыв</t>
  </si>
  <si>
    <t>Разовые затраты без НДС</t>
  </si>
  <si>
    <t>ФОТ проекта без НДС</t>
  </si>
  <si>
    <t>Операционные без НДС</t>
  </si>
  <si>
    <t>Резервы без НДС</t>
  </si>
  <si>
    <t>Как пользоваться</t>
  </si>
  <si>
    <t>Меняйте желтые/синие параметры на FIN_0_Параметры и флаги НДС на FIN_1_Затраты. График, P&amp;L и Cash Flow пересчитаются формулами при открытии в Excel/совместимом редакторе.</t>
  </si>
  <si>
    <t>Финансовая модель проекта Цех №217: входные параметры</t>
  </si>
  <si>
    <t>Параметр</t>
  </si>
  <si>
    <t>Значение</t>
  </si>
  <si>
    <t>Ед.</t>
  </si>
  <si>
    <t>Источник/логика</t>
  </si>
  <si>
    <t>Комментарий</t>
  </si>
  <si>
    <t>Изменяемый</t>
  </si>
  <si>
    <t>Проект/сроки</t>
  </si>
  <si>
    <t>Дата старта проекта</t>
  </si>
  <si>
    <t>Уточнение пользователя: старт 01.07.2026</t>
  </si>
  <si>
    <t>Меняется пользователем</t>
  </si>
  <si>
    <t>Да</t>
  </si>
  <si>
    <t>Дата окончания проекта</t>
  </si>
  <si>
    <t>Связано с листом График: максимальный финиш работ</t>
  </si>
  <si>
    <t>Автоматически после корректировки графика</t>
  </si>
  <si>
    <t>Эквивалентная длительность проекта</t>
  </si>
  <si>
    <t>дней</t>
  </si>
  <si>
    <t>Расчет</t>
  </si>
  <si>
    <t>Нет</t>
  </si>
  <si>
    <t>мес.</t>
  </si>
  <si>
    <t>Используется для ежемесячных расходов</t>
  </si>
  <si>
    <t>Срок проектирования</t>
  </si>
  <si>
    <t>к.д.</t>
  </si>
  <si>
    <t>Листы Сводка/График/ЗнП</t>
  </si>
  <si>
    <t>Налоги и маржинальность</t>
  </si>
  <si>
    <t>Ставка НДС</t>
  </si>
  <si>
    <t>Предпосылка пользователя</t>
  </si>
  <si>
    <t>Применяется к выручке и VAT-bearing затратам</t>
  </si>
  <si>
    <t>Налог на прибыль</t>
  </si>
  <si>
    <t>Налог на прибыль от PBT</t>
  </si>
  <si>
    <t>Целевая чистая прибыль</t>
  </si>
  <si>
    <t>% от выручки без НДС</t>
  </si>
  <si>
    <t>Предпосылка пользователя: изменено на 11% чистой маржи</t>
  </si>
  <si>
    <t>Net Income / Revenue ex VAT; сценарий 11%</t>
  </si>
  <si>
    <t>Необходимая прибыль до налога</t>
  </si>
  <si>
    <t>ЦПН = ЧП/(1-НП)</t>
  </si>
  <si>
    <t>НДС от выручки минус НДС входящий с вкладки Себестоимость прямая, и с вкладки ежемесячные расходы со всех статей кроме фот</t>
  </si>
  <si>
    <t>Коммерческие условия / ДДС</t>
  </si>
  <si>
    <t>Аванс от суммы договора</t>
  </si>
  <si>
    <t>% от договора с НДС</t>
  </si>
  <si>
    <t>Лист общие параметры: аванс 30%</t>
  </si>
  <si>
    <t>Доля аванса в депозите банка</t>
  </si>
  <si>
    <t>% аванса</t>
  </si>
  <si>
    <t>Лист общие параметры: 50% аванса ложится в депозит</t>
  </si>
  <si>
    <t>Стоимость БГ на аванс</t>
  </si>
  <si>
    <t>% годовых</t>
  </si>
  <si>
    <t>Лист общие параметры: БГ 5% годовых от аванса</t>
  </si>
  <si>
    <t>Удержание/ретеншн с актов</t>
  </si>
  <si>
    <t>% от актов</t>
  </si>
  <si>
    <t>Договор: плановый ретеншн не найден; оставлен сценарным параметром</t>
  </si>
  <si>
    <t>Фактические удержания только при дефектах/убытках/налоговых рисках</t>
  </si>
  <si>
    <t>Зачет аванса с актов</t>
  </si>
  <si>
    <t>По умолчанию пропорционально авансу</t>
  </si>
  <si>
    <t>возврат депозита при зачете аванса</t>
  </si>
  <si>
    <t>да</t>
  </si>
  <si>
    <t>Лаг оплаты актов</t>
  </si>
  <si>
    <t>Договор п.4.2: 60 календарных дней после подписания КС-2/КС-3</t>
  </si>
  <si>
    <t>Округлено до 2 месяцев для помесячного CF</t>
  </si>
  <si>
    <t>Лаг оплаты поставщикам/подрядчикам</t>
  </si>
  <si>
    <t>Допущение модели</t>
  </si>
  <si>
    <t>Лаг уплаты НДС</t>
  </si>
  <si>
    <t>Упрощенно: месяц после начисления</t>
  </si>
  <si>
    <t>Лаг уплаты налога на прибыль</t>
  </si>
  <si>
    <t>Месяцев после окончания для возврата удержаний</t>
  </si>
  <si>
    <t>Расходы/резервы</t>
  </si>
  <si>
    <t>Страхование СМР</t>
  </si>
  <si>
    <t>Лист общие параметры: 0,1% от суммы договора</t>
  </si>
  <si>
    <t>Временные укрытия и защита действующего производства</t>
  </si>
  <si>
    <t>% от прямых затрат</t>
  </si>
  <si>
    <t>Лист общие параметры + ТЗ: действующее предприятие</t>
  </si>
  <si>
    <t>Доп. риск/организация работ</t>
  </si>
  <si>
    <t>Резерв на риски / стесненность / зимний фактор</t>
  </si>
  <si>
    <t>% от базовой себестоимости</t>
  </si>
  <si>
    <t>Экспертная предпосылка</t>
  </si>
  <si>
    <t>Для действующего предприятия и зимнего периода</t>
  </si>
  <si>
    <t>Доля затрат с входящим НДС по умолчанию</t>
  </si>
  <si>
    <t>% затрат</t>
  </si>
  <si>
    <t>Справочно; фактический учет НДС теперь построчно в FIN_1_Затраты!R:R</t>
  </si>
  <si>
    <t>Меняйте долю/флаг входящего НДС по строкам затрат на листе FIN_1_Затраты</t>
  </si>
  <si>
    <t>Ставка кредитной линии для дефицита ДДС</t>
  </si>
  <si>
    <t>Для справки по cash flow</t>
  </si>
  <si>
    <t>Доп. ручная корректировка себестоимости</t>
  </si>
  <si>
    <t>руб. без НДС</t>
  </si>
  <si>
    <t>Ручной сценарный input</t>
  </si>
  <si>
    <t>Например, если нужен доп. подрядчик/ресурс</t>
  </si>
  <si>
    <t>Контрольная трактовка прибыли</t>
  </si>
  <si>
    <t>11% чистой прибыли от выручки без НДС после налога на прибыль</t>
  </si>
  <si>
    <t>Модель</t>
  </si>
  <si>
    <t>Если нужна маржа от себестоимости — меняется формула в PnL</t>
  </si>
  <si>
    <t>Расчет ФОТ и договорные сроки</t>
  </si>
  <si>
    <t>Ставка НДФЛ для ФОТ «на руки»</t>
  </si>
  <si>
    <t>Социальные налоги/взносы</t>
  </si>
  <si>
    <t>Коэффициент брутто для ФОТ на руки</t>
  </si>
  <si>
    <t>x</t>
  </si>
  <si>
    <t>ЗП на руки -&gt; фонд с НДФЛ и социалкой</t>
  </si>
  <si>
    <t>ФОТ команды проекта на руки/мес</t>
  </si>
  <si>
    <t>руб./мес</t>
  </si>
  <si>
    <t>Лист ежемесячные расходы, строка 20</t>
  </si>
  <si>
    <t>ФОТ на руки; бруттируется</t>
  </si>
  <si>
    <t>ФОТ бэкофиса с налогами/мес</t>
  </si>
  <si>
    <t>Лист общие параметры: 1 600 000 рублей с налогами</t>
  </si>
  <si>
    <t>НДФЛ и социалка НЕ добавляются</t>
  </si>
  <si>
    <t>Лаг подписания актов, оценка</t>
  </si>
  <si>
    <t>раб. дней</t>
  </si>
  <si>
    <t>Договор: 5 раб. дней техзаказчик + 10 раб. дней заказчик</t>
  </si>
  <si>
    <t>Не включен сверх 60 дней в базовый CF, см. риск</t>
  </si>
  <si>
    <t>Лаг оплаты актов после подписания</t>
  </si>
  <si>
    <t>Договор п.4.2</t>
  </si>
  <si>
    <t>Учтен как 2 месяца</t>
  </si>
  <si>
    <t>Лаг получения аванса</t>
  </si>
  <si>
    <t>Договор п.4.1</t>
  </si>
  <si>
    <t>Учтен в комментариях, в CF - месяц старта</t>
  </si>
  <si>
    <t>Контрольная дата 9 месяцев</t>
  </si>
  <si>
    <t>Старт + 9 месяцев - 1 день</t>
  </si>
  <si>
    <t>Финиш должен быть не позже этой даты</t>
  </si>
  <si>
    <t>Проверка срока &lt;= 9 мес.</t>
  </si>
  <si>
    <t>Контроль графика</t>
  </si>
  <si>
    <t>Выручка без НДС, расчетная</t>
  </si>
  <si>
    <t>FIN_3_PnL</t>
  </si>
  <si>
    <t>Автоматически</t>
  </si>
  <si>
    <t>Цена договора с НДС, расчетная</t>
  </si>
  <si>
    <t>НДС к уплате всего</t>
  </si>
  <si>
    <t>Исходящий - входящий НДС</t>
  </si>
  <si>
    <t xml:space="preserve">Объект: "Устройство кровли цеха 217
на территории АО «Метровагонмаш». </t>
  </si>
  <si>
    <t>№ поз.п/п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</si>
  <si>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</si>
  <si>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</si>
  <si>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</si>
  <si>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</si>
  <si>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</si>
  <si>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</si>
  <si>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</si>
  <si>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</si>
  <si>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Примечания 2 от Григория  (расшифровка)</t>
  </si>
  <si>
    <t>Работа</t>
  </si>
  <si>
    <t>Материалы</t>
  </si>
  <si>
    <t>Проектно-изыскательские работы</t>
  </si>
  <si>
    <t>Разработка рабочей документации</t>
  </si>
  <si>
    <t>Компл</t>
  </si>
  <si>
    <t>Строительно-монтажные работы</t>
  </si>
  <si>
    <t>*</t>
  </si>
  <si>
    <t>Система электроснабжения и автоматизации противодымной вентиляции</t>
  </si>
  <si>
    <t>*без учета системы приточной/вытяжной противодымной вентиляции, см. вкладку неучтенное</t>
  </si>
  <si>
    <t xml:space="preserve">Ремонт плит покрытия </t>
  </si>
  <si>
    <t>Восстановление бетонной поверхности плит покрытия толщ 50мм</t>
  </si>
  <si>
    <t>м2</t>
  </si>
  <si>
    <t>Ремонтная смесь MasterEmaco S 560 FR (Emaco S170 CFR), цементная, тиксотропного типа
Штукатурка КНАУФ-Ротбанд</t>
  </si>
  <si>
    <t>Расчет взят условно 50/50 SikaEmaco® S 560 FR и Штукатурка КНАУФ-Ротбанд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</si>
  <si>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</si>
  <si>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</t>
  </si>
  <si>
    <t>замена SikaEmaco® P 5000 AP</t>
  </si>
  <si>
    <t>Устройство межплиточных швов</t>
  </si>
  <si>
    <t>Заполнение межплиточных швов ремонтной смесью с выравниванием поверхности</t>
  </si>
  <si>
    <t>м</t>
  </si>
  <si>
    <t>Ремонтная смесь MasterEmaco S 560 FR (Emaco S170 CFR), цементная, тиксотропного типа-;
Штукатурка КНАУФ-Ротбанд</t>
  </si>
  <si>
    <t xml:space="preserve">560 FR SikaEmaco® S 560 FR (MasterEmaco® S 560 FR) взята условная толщина шва 100мм глубина и 250 мм </t>
  </si>
  <si>
    <t xml:space="preserve">Погрузка мусора строительного </t>
  </si>
  <si>
    <t>т</t>
  </si>
  <si>
    <t>90% механизированно , 10% вручную</t>
  </si>
  <si>
    <t xml:space="preserve">Перевозка грузов самосвалами весом 10т, на расстояние 35 км </t>
  </si>
  <si>
    <t>Утилизация строительного мусора</t>
  </si>
  <si>
    <t>Демонтажные работы</t>
  </si>
  <si>
    <t>Демонтаж существующего покрытия кровли 1, 2 пролет</t>
  </si>
  <si>
    <t>Разборка покрытий кровель: из рулонных материалов средняя толщ 10 мм</t>
  </si>
  <si>
    <t>Демонтаж стяжек: цементно-песчаная средняя толщ 50 мм</t>
  </si>
  <si>
    <t>Демонтаж утеплителя из керамзита средняя толщ 110 мм</t>
  </si>
  <si>
    <t xml:space="preserve">Демонтаж воронок водосточных </t>
  </si>
  <si>
    <t>шт</t>
  </si>
  <si>
    <t xml:space="preserve"> </t>
  </si>
  <si>
    <t>Демонтаж существующего покрытия кровли 3, 4 пролет</t>
  </si>
  <si>
    <t>Разборка покрытий кровель: из рулонных материалов средняя толщ 16,5 мм</t>
  </si>
  <si>
    <t>Демонтаж стяжек: асфальтобетон средняя толщ 50 мм</t>
  </si>
  <si>
    <t>Демонтаж рулонных материалов из рубероида средняя толщ 5 мм</t>
  </si>
  <si>
    <t>Демонтаж рулонных материалов из пергамина средняя толщ  1 мм</t>
  </si>
  <si>
    <t>Демонтаж утеплителя из керамзита средняя толщ 52,5 мм</t>
  </si>
  <si>
    <t>Демонтаж битумной изоляции средняя толщ  6,5 мм</t>
  </si>
  <si>
    <t>Демонтаж рулонных материалов из пергамина средняя толщ  0,5 мм</t>
  </si>
  <si>
    <t>Демонтаж конструкций покрытия парапета</t>
  </si>
  <si>
    <t>Демонтаж покрытий парапета из листовой оцинкованной стали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</si>
  <si>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</si>
  <si>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</si>
  <si>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</si>
  <si>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 xml:space="preserve">Лучше считать и закупать в м³ готового раствора: ориентир 355 м³ с запасом 10% стоимост м3 5600 без НДС. Тогда нужно учесть доставку готового бетона на кровлю(бетононасос, кран, рюмка и т.д.) Либо покупать мешками и готовить его самим, это дороже. </t>
  </si>
  <si>
    <t>Огрунтовка оснований из бетона под водоизоляционный кровельный ковер</t>
  </si>
  <si>
    <t>Праймер полимерный Технониколь №08 (расход 0,2 л/м2)</t>
  </si>
  <si>
    <t xml:space="preserve">Замена на Технониколь №01 битумный 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</si>
  <si>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</si>
  <si>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</si>
  <si>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</si>
  <si>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50 мм</t>
  </si>
  <si>
    <t>Клеевой слой</t>
  </si>
  <si>
    <t>БН 90/30 1,8 кг/м2</t>
  </si>
  <si>
    <t>Утепление покрытий плитами второй слой</t>
  </si>
  <si>
    <t>Техноруф В ЭКСТРА клин 30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</si>
  <si>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</si>
  <si>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</si>
  <si>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</si>
  <si>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</si>
  <si>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</si>
  <si>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</si>
  <si>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</si>
  <si>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Лучше заменить на ПЕНОПЛЕКС и бетон. Керамзитобетон прошлый век. Какая толщина стяжки??? Взял толщину 100 мм.  цемент: 88–95 т
песок: 95–127 т
керамзит: 268–299 м³
вода: 51–63 м³ Так же нужноучесть доставку на крышу и приготовление смеси.</t>
  </si>
  <si>
    <t>Армирование подстилающих слоев</t>
  </si>
  <si>
    <t>Сетка сварная из арматурной проволоки без покрытия, диаметр проволоки 4,0 мм, размер ячейки 100х100 мм</t>
  </si>
  <si>
    <t>Монтаж примыкания к парапетам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</si>
  <si>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</si>
  <si>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</si>
  <si>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</si>
  <si>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Сталь листовая оцинкованная, толщина 0,7 мм
Т-образный костыль t=2мм-1652шт
Винты самонарезающие, остроконечные, размер 4,8х50 мм
Анкерный элемент ТЕХНОНИКОЛЬ 8х45</t>
  </si>
  <si>
    <t xml:space="preserve">Монтаж примыкания к водоприемным воронкам в ендовах 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</si>
  <si>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</si>
  <si>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</t>
  </si>
  <si>
    <t>Утепление примыканий плитами: на битумной мастике в один слой</t>
  </si>
  <si>
    <t>Плита теплоизоляционная LOGICPIR ТЕХНОНИКОЛЬ СХМ/СХМ -1,9м3</t>
  </si>
  <si>
    <t>Устройство примыканий к воронкам из наплавляемых материалов</t>
  </si>
  <si>
    <t>Унифлекс Экспресс ЭМП-38,49 м2 (расход 1,15)</t>
  </si>
  <si>
    <t>Световой фонарь СФ-1</t>
  </si>
  <si>
    <t>Демонтаж стекол</t>
  </si>
  <si>
    <t>Демонтаж м/к рам фонаря</t>
  </si>
  <si>
    <t>Монтажные работы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</si>
  <si>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</si>
  <si>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</si>
  <si>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 xml:space="preserve">Монтаж фасонных элементов </t>
  </si>
  <si>
    <t>Сталь листовая оцинкованная, толщина 0,7 мм</t>
  </si>
  <si>
    <t>Нет ширены ФЭ, взял стоимость за 450 мм</t>
  </si>
  <si>
    <t>Устройство водосточной системы</t>
  </si>
  <si>
    <t>Устройство металлической водосточной системы: воронок</t>
  </si>
  <si>
    <t>Воронка водосборная диаметр</t>
  </si>
  <si>
    <t>Какой диаметр?   https://metallik.ru/catalog/voronka_kruglaya/voronka_200_ots_0_50_ral_9003_p_o/?utm_source=yandex&amp;utm_medium=cpc&amp;utm_term=---autotargeting&amp;utm_campaign=(metallik.ru)_(moscow_MO)_(vodostok-gallery)_(poisk)&amp;utm_content=ph:---autotargeting%7Cphid:52967020988%7Cm:%7Cq:%7Cpt:premium%7Cp:7%7Cg:5091889165%7Ca:13173128110%7Cret:52967020988%7Cc:81182383_F&amp;yclid=16494488074207625215</t>
  </si>
  <si>
    <t>ИТОГО по объекту без НДС</t>
  </si>
  <si>
    <t>НДС-22%</t>
  </si>
  <si>
    <t>ВСЕГО с НДС</t>
  </si>
  <si>
    <t>аванс 30% от суммы договора</t>
  </si>
  <si>
    <t>предоставить БГ на аванс, цена 5% годовых от суммы аванса</t>
  </si>
  <si>
    <t>50% аванса ложится в депозит банка, депозит возвращается частями по мере отработки аванса</t>
  </si>
  <si>
    <t>ежемесячные расходы на ФОТ бэкофиса 1 600 000 рублей с налогами</t>
  </si>
  <si>
    <t>ФОТ команды проекта 8 человек ежемесячно сумма 2000000 рублей без НДФЛ и социалки</t>
  </si>
  <si>
    <t>страхование смр 0,1% от суммы договора</t>
  </si>
  <si>
    <t>заолжить расходы на временное укрытие демонтированных участков старой кровли по размеру захваток</t>
  </si>
  <si>
    <t>Стоимость - всего, тыс.руб.</t>
  </si>
  <si>
    <t>Расходы разовые:</t>
  </si>
  <si>
    <t>Статья затрат</t>
  </si>
  <si>
    <t>Приблизительная цена за ед.,  руб.</t>
  </si>
  <si>
    <t>Стоимость - всего, руб.</t>
  </si>
  <si>
    <t>Покупка бытовых модулей, в том числе:</t>
  </si>
  <si>
    <t>кол-во</t>
  </si>
  <si>
    <t>цена ед.</t>
  </si>
  <si>
    <t>цена итого</t>
  </si>
  <si>
    <t>Офис объектный на базе бытового модуля из 4 вагонов, 42 м2</t>
  </si>
  <si>
    <t>Бытовка (прорабка, для бригады ух)</t>
  </si>
  <si>
    <t>Бытовка кладовщика</t>
  </si>
  <si>
    <t>Морской контейнер 20 футов склад б/у</t>
  </si>
  <si>
    <t>итого, рублей</t>
  </si>
  <si>
    <t>Работы по организации бытового городка , в том числе:</t>
  </si>
  <si>
    <t>Видеонаблюдение, комплект</t>
  </si>
  <si>
    <t>Ограждение, п.м.</t>
  </si>
  <si>
    <t>Ворота</t>
  </si>
  <si>
    <t>Бой-на бетон-на, м3</t>
  </si>
  <si>
    <t>Песок, м3</t>
  </si>
  <si>
    <t>Установка пункта очистки канализации и мойки колес типа Мойдодыр на 5 машин/час, модель К-1</t>
  </si>
  <si>
    <t>Заземление вагонов</t>
  </si>
  <si>
    <t>Пиломатериал, м3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</si>
  <si>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</si>
  <si>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</si>
  <si>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</si>
  <si>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</si>
  <si>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</si>
  <si>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Питание городка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</si>
  <si>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</si>
  <si>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</si>
  <si>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</si>
  <si>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</si>
  <si>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Площадки склад и городок</t>
  </si>
  <si>
    <t>Плита дорожная, м2 Плита дорожная 2П30-18-30 ТУ</t>
  </si>
  <si>
    <t>Плита дорожная для площадки с отходом</t>
  </si>
  <si>
    <t>Техника</t>
  </si>
  <si>
    <t>Фронтальный погрузчик, смен</t>
  </si>
  <si>
    <t>Манипулятор 7т, смен</t>
  </si>
  <si>
    <t>Кран 25т, смен</t>
  </si>
  <si>
    <t>Склад</t>
  </si>
  <si>
    <t>цена итого, руб.</t>
  </si>
  <si>
    <t>Обустройство склада, в том числе: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</si>
  <si>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</si>
  <si>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</si>
  <si>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</si>
  <si>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</si>
  <si>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</si>
  <si>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</si>
  <si>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Расходники стропаля</t>
  </si>
  <si>
    <t>стропы</t>
  </si>
  <si>
    <t>Стол</t>
  </si>
  <si>
    <t>Стул</t>
  </si>
  <si>
    <t>Пиломатериал</t>
  </si>
  <si>
    <t>Прочее</t>
  </si>
  <si>
    <t>Итого, затраты на Склад, руб.</t>
  </si>
  <si>
    <t>обустройство штаба и городка</t>
  </si>
  <si>
    <t>Приблизительная цена за ед., руб.</t>
  </si>
  <si>
    <t>Ноутбук для AutoCad</t>
  </si>
  <si>
    <t>Комп на линию</t>
  </si>
  <si>
    <t>Монитор 34</t>
  </si>
  <si>
    <t>МФУ А3</t>
  </si>
  <si>
    <t>МФУ А4</t>
  </si>
  <si>
    <t>Плотер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</si>
  <si>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</si>
  <si>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</si>
  <si>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</si>
  <si>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</si>
  <si>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</si>
  <si>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</si>
  <si>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Шкаф металлический</t>
  </si>
  <si>
    <t>Рассходники(канц.товары)</t>
  </si>
  <si>
    <t>"Умный дом"</t>
  </si>
  <si>
    <t>Телевизор яндекс 55</t>
  </si>
  <si>
    <t>Спикерфон</t>
  </si>
  <si>
    <t>Умные автоматы</t>
  </si>
  <si>
    <t>УЗО</t>
  </si>
  <si>
    <t>Алиса</t>
  </si>
  <si>
    <t>хаб</t>
  </si>
  <si>
    <t>Пожарные датчики</t>
  </si>
  <si>
    <t>Датчик климат</t>
  </si>
  <si>
    <t>Модем, роутер, антены</t>
  </si>
  <si>
    <t>Чайник</t>
  </si>
  <si>
    <t>Кофемашина</t>
  </si>
  <si>
    <t>холодильник</t>
  </si>
  <si>
    <t>Кондиционер умный EVO</t>
  </si>
  <si>
    <t>УФ лампа</t>
  </si>
  <si>
    <t xml:space="preserve">Обогреватель </t>
  </si>
  <si>
    <t>Микроволновка</t>
  </si>
  <si>
    <t xml:space="preserve">Кулер </t>
  </si>
  <si>
    <t>Вешалка напольная</t>
  </si>
  <si>
    <t>Наладка сети и ПО</t>
  </si>
  <si>
    <t>1С Склад</t>
  </si>
  <si>
    <t>Доставка</t>
  </si>
  <si>
    <t>итого рублей</t>
  </si>
  <si>
    <t>униформа</t>
  </si>
  <si>
    <t>Куртка летняя ИТР</t>
  </si>
  <si>
    <t>Куртка демисезон</t>
  </si>
  <si>
    <t>Куртка зимняя ИТР</t>
  </si>
  <si>
    <t>Каска белая ИТР</t>
  </si>
  <si>
    <t>Сигнальный жилет</t>
  </si>
  <si>
    <t>Сапоги резиновые</t>
  </si>
  <si>
    <t xml:space="preserve">Ботинки </t>
  </si>
  <si>
    <t>Дождевик</t>
  </si>
  <si>
    <t>Очки защитные</t>
  </si>
  <si>
    <t>Жилетка сигнальная с брендированием</t>
  </si>
  <si>
    <t xml:space="preserve">Каска </t>
  </si>
  <si>
    <t>Перчатки</t>
  </si>
  <si>
    <t>Мероприятия по ПОС</t>
  </si>
  <si>
    <t>Цена за ед., руб.</t>
  </si>
  <si>
    <t>ПОС РЕМОНТ КРОВЛИ</t>
  </si>
  <si>
    <t>брус 200х100для вертикальных стоек</t>
  </si>
  <si>
    <t>брус 200х100 для покрытия</t>
  </si>
  <si>
    <t>армированная пленка 200г/м2,</t>
  </si>
  <si>
    <t>доска 150х50</t>
  </si>
  <si>
    <t xml:space="preserve">Непредвиденные </t>
  </si>
  <si>
    <t>Инструменты и механизмы</t>
  </si>
  <si>
    <t>Звено 1, в том числе:</t>
  </si>
  <si>
    <t>Инструментальный ящик</t>
  </si>
  <si>
    <t xml:space="preserve">Кувалда </t>
  </si>
  <si>
    <t>Кувалда малая</t>
  </si>
  <si>
    <t>Молоток</t>
  </si>
  <si>
    <t>Ключи рожковый набор</t>
  </si>
  <si>
    <t>Шуроповерт</t>
  </si>
  <si>
    <t xml:space="preserve">Сварочный аппарат </t>
  </si>
  <si>
    <t>УШМ d/ 125</t>
  </si>
  <si>
    <t xml:space="preserve">Ножницы по металлу </t>
  </si>
  <si>
    <t>Нож монтера</t>
  </si>
  <si>
    <t>Удлинители 100 м</t>
  </si>
  <si>
    <t>Комплект Раций 3 шт</t>
  </si>
  <si>
    <t>Итого, затраты на Звено 1</t>
  </si>
  <si>
    <t>На весь объект</t>
  </si>
  <si>
    <t>Генератор бензиновый</t>
  </si>
  <si>
    <t>Вышка тура</t>
  </si>
  <si>
    <t>Невелир в сборе</t>
  </si>
  <si>
    <t>Тахеометр</t>
  </si>
  <si>
    <t>Итого, затраты на весь объект</t>
  </si>
  <si>
    <t>ППР</t>
  </si>
  <si>
    <t>№ п.п.</t>
  </si>
  <si>
    <t>Приблизительная цена за ед., тыс. руб.</t>
  </si>
  <si>
    <t>ППР АР</t>
  </si>
  <si>
    <t>ППР дымоудаление</t>
  </si>
  <si>
    <t>ППР пожарка</t>
  </si>
  <si>
    <t>Брендирование</t>
  </si>
  <si>
    <t xml:space="preserve"> Бренд материалы, в т.ч. брендирование подрядчика</t>
  </si>
  <si>
    <t>-</t>
  </si>
  <si>
    <t>Наклейки на каски</t>
  </si>
  <si>
    <t>Паспорт объекта 2*2 ПВХ</t>
  </si>
  <si>
    <t>Поиск сотрудников</t>
  </si>
  <si>
    <t>тыс. руб.</t>
  </si>
  <si>
    <t>Раздел</t>
  </si>
  <si>
    <t>Позиция</t>
  </si>
  <si>
    <t>Комментарий для графика</t>
  </si>
  <si>
    <t>ПИР</t>
  </si>
  <si>
    <t>компл.</t>
  </si>
  <si>
    <t>В ценовой указан срок 70 календарных дней</t>
  </si>
  <si>
    <t>Кровля</t>
  </si>
  <si>
    <t>Демонтаж существующего покрытия кровли 1-2 пролеты</t>
  </si>
  <si>
    <t>м²</t>
  </si>
  <si>
    <t>Фронт 1</t>
  </si>
  <si>
    <t>Демонтаж существующего покрытия кровли 3-4 пролеты</t>
  </si>
  <si>
    <t>Фронт 2</t>
  </si>
  <si>
    <t>Монтаж основного поля кровли</t>
  </si>
  <si>
    <t>Базовая площадь без нахлестов/доборов</t>
  </si>
  <si>
    <t>Наплавляемый ковер: первый слой</t>
  </si>
  <si>
    <t>С учетом расхода/нахлестов</t>
  </si>
  <si>
    <t>Наплавляемый ковер: второй слой</t>
  </si>
  <si>
    <t>Ендовы</t>
  </si>
  <si>
    <t>Утепление/уклоны керамзитобетоном</t>
  </si>
  <si>
    <t>Отдельный поток</t>
  </si>
  <si>
    <t>Парапеты</t>
  </si>
  <si>
    <t>Примыкания/отливы парапетов</t>
  </si>
  <si>
    <t>Узловые работы</t>
  </si>
  <si>
    <t>Воронки</t>
  </si>
  <si>
    <t>Установка кровельных воронок</t>
  </si>
  <si>
    <t>По основному полю</t>
  </si>
  <si>
    <t>СФ-1</t>
  </si>
  <si>
    <t>Единый световой фонарь</t>
  </si>
  <si>
    <t>96 рам/секций единого фонаря</t>
  </si>
  <si>
    <t>Монтаж фасонных элементов</t>
  </si>
  <si>
    <t>По периметру/узлам фонаря</t>
  </si>
  <si>
    <t>В составе фонаря</t>
  </si>
  <si>
    <t>ОПЕРАЦИОННЫЕ ЗАТРАТЫ</t>
  </si>
  <si>
    <t>ФОТКоманды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</si>
  <si>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</si>
  <si>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</si>
  <si>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</si>
  <si>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</si>
  <si>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</si>
  <si>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Команда проекта</t>
  </si>
  <si>
    <t>Куратор</t>
  </si>
  <si>
    <t>Руководитель проекта</t>
  </si>
  <si>
    <t>Руководитель строительства</t>
  </si>
  <si>
    <t>Специалист по календарно-сетевому планированию</t>
  </si>
  <si>
    <t>Начальник участка Вторичные системы</t>
  </si>
  <si>
    <t>Начальник участка Общестрой</t>
  </si>
  <si>
    <t xml:space="preserve">Ведущий инженер ПТО </t>
  </si>
  <si>
    <t>Инженер ПТО</t>
  </si>
  <si>
    <t>Начальник АХО</t>
  </si>
  <si>
    <t>Кладовщик</t>
  </si>
  <si>
    <t>Инженер по ТБ и ОТ</t>
  </si>
  <si>
    <t>Геодезист</t>
  </si>
  <si>
    <t>на руки</t>
  </si>
  <si>
    <t>Итого, затраты на ФОТ команды</t>
  </si>
  <si>
    <t>Бэкофис</t>
  </si>
  <si>
    <t>Руководитель проектного офиса</t>
  </si>
  <si>
    <t>Старший Финансовый аналитик</t>
  </si>
  <si>
    <t>Финансовый аналитик</t>
  </si>
  <si>
    <t>Нач.отдела снабжения</t>
  </si>
  <si>
    <t>Ведущий специалист СДО</t>
  </si>
  <si>
    <t>Бухгалтер на первичку</t>
  </si>
  <si>
    <t>Начальник СДО</t>
  </si>
  <si>
    <t>Генеральный директор</t>
  </si>
  <si>
    <t>Советник генерального директора (К)</t>
  </si>
  <si>
    <t>Операционный директор (К)</t>
  </si>
  <si>
    <t>Итого, затраты на ФОТ бэка</t>
  </si>
  <si>
    <t>ФОТ производственного персонала</t>
  </si>
  <si>
    <t>ФОТ - всего, тыс.руб. с налогами</t>
  </si>
  <si>
    <t>Бригада 1</t>
  </si>
  <si>
    <t xml:space="preserve">- 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</si>
  <si>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</si>
  <si>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</si>
  <si>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</si>
  <si>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</si>
  <si>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Аутсорсинг</t>
  </si>
  <si>
    <t>Стоимость - всего, тыс. руб.</t>
  </si>
  <si>
    <t>Инженер по ТБ</t>
  </si>
  <si>
    <t>Системный администратор</t>
  </si>
  <si>
    <t>Сметчик</t>
  </si>
  <si>
    <t>Итого, затраты на Аутсорсинг</t>
  </si>
  <si>
    <t>Накладные затраты на офис</t>
  </si>
  <si>
    <t>Цена за ед., тыс. руб.</t>
  </si>
  <si>
    <t>Шеллрокк</t>
  </si>
  <si>
    <t>КиКГЕОСТРОЙ</t>
  </si>
  <si>
    <t>Итого, Накладные затраты на офис</t>
  </si>
  <si>
    <t>Аренда техники</t>
  </si>
  <si>
    <t>Кол-во,смен</t>
  </si>
  <si>
    <t>Цена за мес., тыс. руб.</t>
  </si>
  <si>
    <t>Легковой автомобиль</t>
  </si>
  <si>
    <t>Кран 32т</t>
  </si>
  <si>
    <t xml:space="preserve">Манипулятор/телескопический погрузчик </t>
  </si>
  <si>
    <t>Демобилизация</t>
  </si>
  <si>
    <t>Манипулятор</t>
  </si>
  <si>
    <t>Кран 25т</t>
  </si>
  <si>
    <t>Перевозка, фура</t>
  </si>
  <si>
    <t>Аренда экскаватора на пневмо ходу</t>
  </si>
  <si>
    <t>Фронтатальный погрузчик</t>
  </si>
  <si>
    <t>Затраты на ГСМ и передвижение производственников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</si>
  <si>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</si>
  <si>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</si>
  <si>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</si>
  <si>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</si>
  <si>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Страховка КАСКО ОСАГО, обслуживание, расходники</t>
  </si>
  <si>
    <t>Итого усредненные затраты на топливо в месяц, тыс руб.</t>
  </si>
  <si>
    <t>Автомобили</t>
  </si>
  <si>
    <t>Автомобиль ГАЗ</t>
  </si>
  <si>
    <t>Автомобиль Ларгус</t>
  </si>
  <si>
    <t>Автомобиль 3 РП</t>
  </si>
  <si>
    <t>Автомобиль 4 РС</t>
  </si>
  <si>
    <t>Автомобиль 3 Прочие</t>
  </si>
  <si>
    <t>Итого, затраты на ГСМ</t>
  </si>
  <si>
    <t>Прочие расходы</t>
  </si>
  <si>
    <t>Аренда квартиры 2к</t>
  </si>
  <si>
    <t>Аренда квартиры 1к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</si>
  <si>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</si>
  <si>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</si>
  <si>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</si>
  <si>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</si>
  <si>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</si>
  <si>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</si>
  <si>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</si>
  <si>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</si>
  <si>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Обслуживание 1С склад</t>
  </si>
  <si>
    <t>Кофе, чай, вода и т.д.</t>
  </si>
  <si>
    <t>Итого, Прочие расходы</t>
  </si>
  <si>
    <t>тыс.рублей.</t>
  </si>
  <si>
    <t>Непредвиденные</t>
  </si>
  <si>
    <t>Пересчитанный график производства работ: кровля и световой фонарь СФ-1, Цех №217</t>
  </si>
  <si>
    <t>Срок проектирования из ценовой, календарных дней</t>
  </si>
  <si>
    <t>Окончание проектирования</t>
  </si>
  <si>
    <t>Принятый срок СМР после РД/допусков, календарных дней</t>
  </si>
  <si>
    <t>Расчетная дата окончания</t>
  </si>
  <si>
    <t>Общий срок от T0, календарных дней</t>
  </si>
  <si>
    <t>Ключевое изменение против предыдущей версии</t>
  </si>
  <si>
    <t>График сжат до 31.03.2027 без изменения стартовой даты и 70 календарных дней проектирования.</t>
  </si>
  <si>
    <t>Принцип календаря</t>
  </si>
  <si>
    <t>Календарный график с повышенным параллеливанием работ по захваткам; базовый риск - потребность в дополнительных бригадах и погодных окнах.</t>
  </si>
  <si>
    <t>Ключевые допущения</t>
  </si>
  <si>
    <t>1</t>
  </si>
  <si>
    <t>Действующее предприятие: без остановки цеха; подъемы, шумные/огневые операции и зоны отчуждения — только по согласованным окнам.</t>
  </si>
  <si>
    <t>2</t>
  </si>
  <si>
    <t>Проектирование идет 70 календарных дней с 01.07.2026 по 08.09.2026; подготовка закупок и ППР частично начинается параллельно.</t>
  </si>
  <si>
    <t>3</t>
  </si>
  <si>
    <t>Так как активные СМР стартуют в сентябре, кровельный фронт уходит в осень-зиму; заложены укрытия, временная водозащита, сниженная производительность.</t>
  </si>
  <si>
    <t>4</t>
  </si>
  <si>
    <t>Фонарь СФ-1 конструктивно один: работы идут лентой по участкам 8-12 рам, но проем ежедневно временно закрывается.</t>
  </si>
  <si>
    <t>5</t>
  </si>
  <si>
    <t>Массовое вскрытие кровли ограничено: каждая захватка должна закрываться временной или постоянной гидроизоляцией.</t>
  </si>
  <si>
    <t>6</t>
  </si>
  <si>
    <t>Исполнительная документация, контроль качества и скрытые работы ведутся по захваткам, не в конце проекта.</t>
  </si>
  <si>
    <t>Принятые производственные потоки</t>
  </si>
  <si>
    <t>Поток 1</t>
  </si>
  <si>
    <t>Кровля 1-2 пролеты</t>
  </si>
  <si>
    <t>Демонтаж -&gt; ремонт основания -&gt; стяжка/пароизоляция -&gt; утепление -&gt; ковер -&gt; узлы.</t>
  </si>
  <si>
    <t>Поток 2</t>
  </si>
  <si>
    <t>Кровля 3-4 пролеты</t>
  </si>
  <si>
    <t>Идет со сдвигом, чтобы не открывать всю кровлю одновременно.</t>
  </si>
  <si>
    <t>Поток 3</t>
  </si>
  <si>
    <t>Единый конструктив в одном пролете: демонтаж стекла/рам, монтаж 96 рам, остекление, примыкания.</t>
  </si>
  <si>
    <t>Поток 4</t>
  </si>
  <si>
    <t>Электрика/дымоудаление</t>
  </si>
  <si>
    <t>Кабели и приводы запускаются после конструктивной готовности фонаря, ПНР после закрытого контура.</t>
  </si>
  <si>
    <t>Контрольные вехи</t>
  </si>
  <si>
    <t>Веха</t>
  </si>
  <si>
    <t>Дата</t>
  </si>
  <si>
    <t>День от T0</t>
  </si>
  <si>
    <t>Статус</t>
  </si>
  <si>
    <t>T0 по запросу пользователя</t>
  </si>
  <si>
    <t>План</t>
  </si>
  <si>
    <t>70 календарных дней</t>
  </si>
  <si>
    <t>Мобилизация и допуски закрыты</t>
  </si>
  <si>
    <t>Площадка, пропуска, ППР, наряды</t>
  </si>
  <si>
    <t>Первый фронт кровли закрыт постоянным ковром</t>
  </si>
  <si>
    <t>1-2 пролеты</t>
  </si>
  <si>
    <t>Кровельный пирог основного поля завершен</t>
  </si>
  <si>
    <t>Сжатый график с зимними мерами</t>
  </si>
  <si>
    <t>Каркас СФ-1 смонтирован</t>
  </si>
  <si>
    <t>96 рам</t>
  </si>
  <si>
    <t>Остекление СФ-1 завершено</t>
  </si>
  <si>
    <t>1 728 м²</t>
  </si>
  <si>
    <t>ПНР дымоудаления завершена</t>
  </si>
  <si>
    <t>Приводы, автоматика, обогрев воронок</t>
  </si>
  <si>
    <t>Комплексная сдача</t>
  </si>
  <si>
    <t>Не более 9 месяцев от T0</t>
  </si>
  <si>
    <t>Итоговый вывод</t>
  </si>
  <si>
    <t>Исправление: предыдущий срок 15.05.2027 (319 к.д.) превышал ограничение 9 месяцев; график пересобран до 31.03.2027 (274 к.д.) при сохранении старта 01.07.2026 и ПИР 70 к.д.</t>
  </si>
  <si>
    <t>№</t>
  </si>
  <si>
    <t>Объем/ед.</t>
  </si>
  <si>
    <t>Старт</t>
  </si>
  <si>
    <t>Финиш</t>
  </si>
  <si>
    <t>Дней</t>
  </si>
  <si>
    <t>КП</t>
  </si>
  <si>
    <t>Комментарий/логика</t>
  </si>
  <si>
    <t>0. Управление проектом</t>
  </si>
  <si>
    <t>Старт проекта, совещание, матрица ответственности, доступы к объекту</t>
  </si>
  <si>
    <t>—</t>
  </si>
  <si>
    <t>Фиксируем T0 = 01.07.2026; заводская территория и действующее производство.</t>
  </si>
  <si>
    <t>1. ПИР и исходные данные</t>
  </si>
  <si>
    <t>Обследование, обмеры кровли и единого светового фонаря СФ-1</t>
  </si>
  <si>
    <t>кровля 17 765 м²; СФ-1: 1 728 м²/96 рам</t>
  </si>
  <si>
    <t>Обмеры нужны до запуска КМД/заказа рам и стекла.</t>
  </si>
  <si>
    <t>Срок проектирования не менялся: 70 календарных дней.</t>
  </si>
  <si>
    <t>Проверка, согласование РД/ППР, выдача в производство</t>
  </si>
  <si>
    <t>Закрывает вход в массовое вскрытие кровли.</t>
  </si>
  <si>
    <t>2. Подготовка и закупки</t>
  </si>
  <si>
    <t>ППР, ПОС, наряды-допуски, графики отключений/окон, пропуска</t>
  </si>
  <si>
    <t>Максимально параллелим с проектированием.</t>
  </si>
  <si>
    <t>Закупка кровельных материалов и логистика партиями</t>
  </si>
  <si>
    <t>по захваткам</t>
  </si>
  <si>
    <t>Поставка без переполнения площадки; складирование ограничено.</t>
  </si>
  <si>
    <t>КМД/изготовление единого фонаря: 96 рам и элементы каркаса</t>
  </si>
  <si>
    <t>1 фонарь; 96 рам</t>
  </si>
  <si>
    <t>Сжатие за счет раннего запуска КМД и поставки партиями.</t>
  </si>
  <si>
    <t>Поставка рам/стекла/приводов и входной контроль</t>
  </si>
  <si>
    <t>96 рам; 1 728 м²</t>
  </si>
  <si>
    <t>Доставка ближе к монтажу, чтобы не хранить стекло длительно.</t>
  </si>
  <si>
    <t>3. Мобилизация и защита производства</t>
  </si>
  <si>
    <t>Мобилизация, бытовой городок, ограждения, временная логистика</t>
  </si>
  <si>
    <t>Старт до выпуска РД, без вмешательства в конструкции.</t>
  </si>
  <si>
    <t>Защита действующего производства снизу: настилы, сетки, зоны отчуждения</t>
  </si>
  <si>
    <t>по картам</t>
  </si>
  <si>
    <t>Обязательное условие перед демонтажем над работающим цехом.</t>
  </si>
  <si>
    <t>Временная водоотсечка, аварийные укрытия, временные водостоки</t>
  </si>
  <si>
    <t>Правило: вскрыл - закрыл в пределах смены/захватки.</t>
  </si>
  <si>
    <t>4. Кровля: 1-2 пролеты</t>
  </si>
  <si>
    <t>Демонтаж существующего пирога 1-2 пролеты</t>
  </si>
  <si>
    <t>8 073 м²</t>
  </si>
  <si>
    <t>Картами до 1 000-1 500 м², без оставления открытой кровли.</t>
  </si>
  <si>
    <t>Ремонт плит покрытия, антикоррозия, межплиточные швы 1-2 пролеты</t>
  </si>
  <si>
    <t>по дефектам</t>
  </si>
  <si>
    <t>Идет следом за демонтажем.</t>
  </si>
  <si>
    <t>Новый кровельный пирог 1-2 пролеты: стяжка, праймер, пароизоляция, утеплитель, ковер</t>
  </si>
  <si>
    <t>≈ 8 073 м² + нахлесты</t>
  </si>
  <si>
    <t>Ускорено за счет двух параллельных захваток и погодных окон.</t>
  </si>
  <si>
    <t>5. Кровля: 3-4 пролеты</t>
  </si>
  <si>
    <t>Демонтаж существующего пирога 3-4 пролеты</t>
  </si>
  <si>
    <t>8 072 м²</t>
  </si>
  <si>
    <t>Второй поток сдвинут, но идет параллельно.</t>
  </si>
  <si>
    <t>Ремонт плит покрытия, антикоррозия, межплиточные швы 3-4 пролеты</t>
  </si>
  <si>
    <t>Риск зимних температур компенсируется укрытиями.</t>
  </si>
  <si>
    <t>Новый кровельный пирог 3-4 пролеты</t>
  </si>
  <si>
    <t>≈ 8 072 м² + нахлесты</t>
  </si>
  <si>
    <t>Сжатие срока требует параллельных бригад и прогрева.</t>
  </si>
  <si>
    <t>6. Ендовы, парапеты, воронки</t>
  </si>
  <si>
    <t>Устройство уклонов/ендов, армирование, локальные стяжки</t>
  </si>
  <si>
    <t>2 864 м²</t>
  </si>
  <si>
    <t>Параллельно основному кровельному пирогу.</t>
  </si>
  <si>
    <t>Парапеты, фасонные элементы, отливы, примыкания</t>
  </si>
  <si>
    <t>223 м²; 652 м</t>
  </si>
  <si>
    <t>Допускается по готовым участкам.</t>
  </si>
  <si>
    <t>Водоприемные воронки и примыкания</t>
  </si>
  <si>
    <t>90+96 шт.</t>
  </si>
  <si>
    <t>С привязкой к готовности ендов, уклонов и электропитания.</t>
  </si>
  <si>
    <t>7. Световой фонарь СФ-1</t>
  </si>
  <si>
    <t>Устройство временного контура и защиты единого проема СФ-1</t>
  </si>
  <si>
    <t>1 фонарь</t>
  </si>
  <si>
    <t>Работа лентой по одному конструктиву.</t>
  </si>
  <si>
    <t>Демонтаж остекления СФ-1</t>
  </si>
  <si>
    <t>Участками 8-12 рам с временным закрытием проема.</t>
  </si>
  <si>
    <t>Демонтаж м/к рам СФ-1</t>
  </si>
  <si>
    <t>Последовательный демонтаж рам.</t>
  </si>
  <si>
    <t>Подготовка/усиление опорных узлов, галтели, ремонт основания под фонарь</t>
  </si>
  <si>
    <t>по месту</t>
  </si>
  <si>
    <t>Критично перед монтажом нового каркаса.</t>
  </si>
  <si>
    <t>Монтаж каркаса единого фонаря СФ-1</t>
  </si>
  <si>
    <t>Зимний монтаж, подъемы по согласованным окнам.</t>
  </si>
  <si>
    <t>Монтаж остекления, прижимных планок и первичная герметизация</t>
  </si>
  <si>
    <t>Под защитой временного контура.</t>
  </si>
  <si>
    <t>Фасонные элементы, узлы примыкания кровли к фонарю, водоотвод</t>
  </si>
  <si>
    <t>652 м; 96 воронок</t>
  </si>
  <si>
    <t>После готовности каркаса и основных плоскостей кровли.</t>
  </si>
  <si>
    <t>8. Электрика и дымоудаление</t>
  </si>
  <si>
    <t>Кабельные трассы, приводы, питание обогрева воронок</t>
  </si>
  <si>
    <t>Стартует после конструктивной готовности групп рам.</t>
  </si>
  <si>
    <t>ПНР автоматизации противодымной вентиляции и электрики</t>
  </si>
  <si>
    <t>Нужен закрытый контур фонаря и готовые приводы.</t>
  </si>
  <si>
    <t>9. Контроль, ИД, сдача</t>
  </si>
  <si>
    <t>Контроль герметичности, водопролив/осмотр после зимних работ</t>
  </si>
  <si>
    <t>Проверка до окончательной сдачи.</t>
  </si>
  <si>
    <t>Исполнительная документация, дефектовка, устранение замечаний</t>
  </si>
  <si>
    <t>Финальный пакет закрывается после ПНР и испытаний.</t>
  </si>
  <si>
    <t>Комплексная сдача объекта</t>
  </si>
  <si>
    <t>Финиш 31.03.2027, общий срок 274 к.д. &lt;= 9 месяцев.</t>
  </si>
  <si>
    <t>Тема</t>
  </si>
  <si>
    <t>Принятая логика</t>
  </si>
  <si>
    <t>T0 = 01.07.2026. Проектирование считается с этой даты, 70 календарных дней, окончание 08.09.2026.</t>
  </si>
  <si>
    <t>Почему срок уходит в 2027 год</t>
  </si>
  <si>
    <t>При старте 01.07.2026 и 70 днях проектирования массовый фронт СМР начинается только в сентябре. Основные кровельные работы и единый фонарь попадают в осенне-зимний период, поэтому реальный безопасный срок — май 2027.</t>
  </si>
  <si>
    <t>Действующее предприятие</t>
  </si>
  <si>
    <t>Производство не останавливается. В график заложены наряды-допуски, окна для подъемов, временная защита снизу, запрет на открытие больших площадей и снижение темпа.</t>
  </si>
  <si>
    <t>Фонарь СФ-1</t>
  </si>
  <si>
    <t>Принят как один конструктивный фонарь в одном из пролетов. 96 шт. — это рамы/секции, 1 728 м² — остекление. Работы идут лентой по 8-12 рам, но не как 96 отдельных объектов.</t>
  </si>
  <si>
    <t>Кровля делится на 1-2 и 3-4 пролеты. Второй поток сдвинут, чтобы не перегружать цех рисками протечки и падения предметов.</t>
  </si>
  <si>
    <t>Зимний фактор</t>
  </si>
  <si>
    <t>Работы после ноября планируются только с временными укрытиями, прогревом материалов/оснований, ограничением огневых работ и погодными окнами.</t>
  </si>
  <si>
    <t>Критический путь</t>
  </si>
  <si>
    <t>ПИР -&gt; согласование РД/ППР -&gt; изготовление СФ-1 -&gt; временная защита -&gt; демонтаж/монтаж фонаря -&gt; остекление -&gt; примыкания -&gt; электрика/ПНР -&gt; водопролив/сдача.</t>
  </si>
  <si>
    <t>Резерв</t>
  </si>
  <si>
    <t>В график заложен минимальный технологический резерв через параллельность работ. Если запретить зимнее наплавление/монтаж остекления, нужно добавить 30-45 календарных дней.</t>
  </si>
  <si>
    <t>Риск</t>
  </si>
  <si>
    <t>Влияние на срок</t>
  </si>
  <si>
    <t>Мера в графике</t>
  </si>
  <si>
    <t>Ответственный фокус</t>
  </si>
  <si>
    <t>Производство цеха работает, нельзя создать полный фронт</t>
  </si>
  <si>
    <t>Снижение производительности на 25-35%</t>
  </si>
  <si>
    <t>Работа захватками, окна подъемов, наряды-допуски</t>
  </si>
  <si>
    <t>ППР/службы эксплуатации</t>
  </si>
  <si>
    <t>Старт СМР приходится на осень</t>
  </si>
  <si>
    <t>Уход части кровли и фонаря в зимний период</t>
  </si>
  <si>
    <t>Укрытия, временная гидроизоляция, прогрев, погодные окна</t>
  </si>
  <si>
    <t>Подрядчик/Технадзор</t>
  </si>
  <si>
    <t>Единый фонарь СФ-1 — большой проем</t>
  </si>
  <si>
    <t>Высокий риск протечек/попадания предметов</t>
  </si>
  <si>
    <t>Работа лентой по 8-12 рам с временным закрытием</t>
  </si>
  <si>
    <t>Прораб/ОТ/эксплуатация</t>
  </si>
  <si>
    <t>Долгий цикл изготовления рам/стекла/приводов</t>
  </si>
  <si>
    <t>КМД сразу после обмеров; поставка партиями, входной контроль</t>
  </si>
  <si>
    <t>Снабжение/завод-изготовитель</t>
  </si>
  <si>
    <t>Погодные ограничения для наплавляемой кровли</t>
  </si>
  <si>
    <t>Срывы дневных выработок</t>
  </si>
  <si>
    <t>Резерв и перенос работ на узлы/ИД в плохую погоду</t>
  </si>
  <si>
    <t>ПТО/производитель работ</t>
  </si>
  <si>
    <t>Согласования отключений и ПНР дымоудаления</t>
  </si>
  <si>
    <t>Задержка сдачи</t>
  </si>
  <si>
    <t>ПНР отдельным блоком после закрытого контура</t>
  </si>
  <si>
    <t>Электрика/АСУ ПДВ</t>
  </si>
  <si>
    <t>Источник</t>
  </si>
  <si>
    <t>Строка источника</t>
  </si>
  <si>
    <t>Категория</t>
  </si>
  <si>
    <t>Статья/драйвер</t>
  </si>
  <si>
    <t>Периодичность</t>
  </si>
  <si>
    <t>База без НДС, руб.</t>
  </si>
  <si>
    <t>Флаг вход. НДС</t>
  </si>
  <si>
    <t>Входящий НДС, руб.</t>
  </si>
  <si>
    <t>Итого с НДС, руб.</t>
  </si>
  <si>
    <t>Итого проекта без НДС, руб.</t>
  </si>
  <si>
    <t>себестоимость прямая</t>
  </si>
  <si>
    <t>Прямые</t>
  </si>
  <si>
    <t>по графику</t>
  </si>
  <si>
    <t>Входящий НДС учтен по прямой себестоимости согласно задаче пользователя.</t>
  </si>
  <si>
    <t>разовые расходы</t>
  </si>
  <si>
    <t>D8</t>
  </si>
  <si>
    <t>Однократно</t>
  </si>
  <si>
    <t>Покупка бытовых модулей</t>
  </si>
  <si>
    <t>однократно старт</t>
  </si>
  <si>
    <t>По разовым расходам флаг НДС оставлен 0 по умолчанию: в запросе входящий НДС явно задан для прямой себестоимости и ежемесячных расходов; при наличии счетов-фактур поменяйте флаг на 1.</t>
  </si>
  <si>
    <t>D22</t>
  </si>
  <si>
    <t>Организация бытового городка</t>
  </si>
  <si>
    <t>D31</t>
  </si>
  <si>
    <t>Прочие затраты на организацию городка</t>
  </si>
  <si>
    <t>D40</t>
  </si>
  <si>
    <t>Площадки склад и городок / техника</t>
  </si>
  <si>
    <t>D57</t>
  </si>
  <si>
    <t>Обустройство склада</t>
  </si>
  <si>
    <t>D98</t>
  </si>
  <si>
    <t>Штаб и городок</t>
  </si>
  <si>
    <t>D115</t>
  </si>
  <si>
    <t>Униформа</t>
  </si>
  <si>
    <t>D123</t>
  </si>
  <si>
    <t>D139</t>
  </si>
  <si>
    <t>Инструменты и механизмы: звено 1</t>
  </si>
  <si>
    <t>D145</t>
  </si>
  <si>
    <t>Инструменты и механизмы: весь объект</t>
  </si>
  <si>
    <t>E149:E151</t>
  </si>
  <si>
    <t>E157:E158</t>
  </si>
  <si>
    <t>E162</t>
  </si>
  <si>
    <t>ежемесячные расходы</t>
  </si>
  <si>
    <t>F20</t>
  </si>
  <si>
    <t>ФОТ</t>
  </si>
  <si>
    <t>ФОТ команды проекта</t>
  </si>
  <si>
    <t>ФОТ команды проекта на руки -&gt; брутто с НДФЛ и соц. налогами</t>
  </si>
  <si>
    <t>ежемесячно</t>
  </si>
  <si>
    <t>На листе указано «на руки»: добавлены НДФЛ и социальные налоги.</t>
  </si>
  <si>
    <t>общие параметры</t>
  </si>
  <si>
    <t>A4</t>
  </si>
  <si>
    <t>ФОТ бэкофиса</t>
  </si>
  <si>
    <t>Бэкофис с налогами</t>
  </si>
  <si>
    <t>В общих параметрах указано «с налогами»: повторно налоги не добавляются.</t>
  </si>
  <si>
    <t>F42</t>
  </si>
  <si>
    <t>Производственный ФОТ с налогами</t>
  </si>
  <si>
    <t>Формулы исходника уже включают НДФЛ и соц. налоги.</t>
  </si>
  <si>
    <t>E50</t>
  </si>
  <si>
    <t>Операционные</t>
  </si>
  <si>
    <t>Входящий НДС учитывается по ежемесячным расходам, кроме ФОТ.</t>
  </si>
  <si>
    <t>E58</t>
  </si>
  <si>
    <t>Накладные офис</t>
  </si>
  <si>
    <t>E66</t>
  </si>
  <si>
    <t>I86</t>
  </si>
  <si>
    <t>ГСМ и передвижение</t>
  </si>
  <si>
    <t>ГСМ и передвижение производственников</t>
  </si>
  <si>
    <t>E102</t>
  </si>
  <si>
    <t>C105</t>
  </si>
  <si>
    <t>Непредвиденные ежемесячных расходов</t>
  </si>
  <si>
    <t>В исходнике строка 105 не имеет итоговой формулы; взято C105 как тыс. руб. и вынесено в проверку.</t>
  </si>
  <si>
    <t>E75</t>
  </si>
  <si>
    <t>однократно финиш</t>
  </si>
  <si>
    <t>FIN_0 B29</t>
  </si>
  <si>
    <t>Временные укрытия</t>
  </si>
  <si>
    <t>Сценарная надбавка из FIN_0 на действующее предприятие/укрытия.</t>
  </si>
  <si>
    <t>FIN_0 B30</t>
  </si>
  <si>
    <t>Риски/стесненность/зима</t>
  </si>
  <si>
    <t>Резерв не дает входящего НДС до фактических документов.</t>
  </si>
  <si>
    <t>FIN_0 B33</t>
  </si>
  <si>
    <t>Ручная корректировка</t>
  </si>
  <si>
    <t>Ручной сценарный input.</t>
  </si>
  <si>
    <t>FIN_0 B28</t>
  </si>
  <si>
    <t>Страхование/БГ</t>
  </si>
  <si>
    <t>По общим параметрам: 0,1% от суммы договора/выручки без НДС.</t>
  </si>
  <si>
    <t>FIN_0 B16/B18</t>
  </si>
  <si>
    <t>БГ на аванс</t>
  </si>
  <si>
    <t>Стоимость банковской гарантии на аванс</t>
  </si>
  <si>
    <t>БГ 5% годовых от аванса с НДС, на срок проекта.</t>
  </si>
  <si>
    <t>ИТОГО</t>
  </si>
  <si>
    <t>P&amp;L и расчет достаточной выручки</t>
  </si>
  <si>
    <t>Целевая чистая прибыль / выручка без НДС</t>
  </si>
  <si>
    <t>Необходимая PBT margin</t>
  </si>
  <si>
    <t>База затрат без НДС до страхования/БГ</t>
  </si>
  <si>
    <t>Страхование СМР, % выручки</t>
  </si>
  <si>
    <t>БГ на аванс, % выручки</t>
  </si>
  <si>
    <t>Суммарные зависимые от выручки затраты, %</t>
  </si>
  <si>
    <t>Итого затрат без НДС</t>
  </si>
  <si>
    <t>Прибыль до налога</t>
  </si>
  <si>
    <t>Проверка чистой маржи</t>
  </si>
  <si>
    <t>Исходящий НДС с выручки</t>
  </si>
  <si>
    <t>Входящий НДС по затратам</t>
  </si>
  <si>
    <t>НДС к уплате = исходящий - входящий</t>
  </si>
  <si>
    <t>Денежный эффект НДС: цена с НДС - НДС к уплате</t>
  </si>
  <si>
    <t>Выручка без НДС на 1 м² базовой кровли</t>
  </si>
  <si>
    <t>руб./м²</t>
  </si>
  <si>
    <t>Помесячный Cash Flow проекта</t>
  </si>
  <si>
    <t>Месяц</t>
  </si>
  <si>
    <t>Начисление выручки и НДС</t>
  </si>
  <si>
    <t>Выработка/КС-2 без НДС</t>
  </si>
  <si>
    <t>Исходящий НДС на акты</t>
  </si>
  <si>
    <t>НДС на аванс полученный</t>
  </si>
  <si>
    <t>Зачет НДС с аванса</t>
  </si>
  <si>
    <t>НДС к уплате начисленный</t>
  </si>
  <si>
    <t>Затраты без НДС</t>
  </si>
  <si>
    <t>Прямые + укрытия + резерв по графику</t>
  </si>
  <si>
    <t>Разовые на старте</t>
  </si>
  <si>
    <t>Ежемесячные расходы</t>
  </si>
  <si>
    <t>Демобилизация/финишные расходы</t>
  </si>
  <si>
    <t>Итого затраты без НДС</t>
  </si>
  <si>
    <t>Денежные поступления</t>
  </si>
  <si>
    <t>Аванс полученный с НДС</t>
  </si>
  <si>
    <t>Валовые акты с НДС</t>
  </si>
  <si>
    <t>Зачет аванса в оплате актов</t>
  </si>
  <si>
    <t>Удержание / retention</t>
  </si>
  <si>
    <t>Сумма к оплате по актам</t>
  </si>
  <si>
    <t>Поступление по актам с лагом</t>
  </si>
  <si>
    <t>Возврат удержания</t>
  </si>
  <si>
    <t>Итого поступления</t>
  </si>
  <si>
    <t>Денежные выплаты</t>
  </si>
  <si>
    <t>Оплата затрат поставщикам/персоналу</t>
  </si>
  <si>
    <t>Уплата НДС с лагом</t>
  </si>
  <si>
    <t>Уплата налога на прибыль с лагом</t>
  </si>
  <si>
    <t>Итого выплаты</t>
  </si>
  <si>
    <t>Итоговый денежный поток</t>
  </si>
  <si>
    <t>Чистый денежный поток</t>
  </si>
  <si>
    <t>Накопленный денежный поток</t>
  </si>
  <si>
    <t>Максимальный кассовый разрыв</t>
  </si>
  <si>
    <t>Календарная логика распределения затрат/выручки</t>
  </si>
  <si>
    <t>Доля выручки</t>
  </si>
  <si>
    <t>Самопроверка, контроль формул и исправления</t>
  </si>
  <si>
    <t>Блок</t>
  </si>
  <si>
    <t>Что проверено</t>
  </si>
  <si>
    <t>Что было ошибкой/риском</t>
  </si>
  <si>
    <t>Что сделано в модели</t>
  </si>
  <si>
    <t>Контрольная формула/ссылка</t>
  </si>
  <si>
    <t>График</t>
  </si>
  <si>
    <t>Общий срок от T0</t>
  </si>
  <si>
    <t>Исходный график вел к 15.05.2027, 319 к.д., что больше 9 месяцев.</t>
  </si>
  <si>
    <t>Срок сжат до 31.03.2027 при сохранении старта 01.07.2026 и ПИР 70 к.д.</t>
  </si>
  <si>
    <t>Договор / CF</t>
  </si>
  <si>
    <t>Удержание с актов</t>
  </si>
  <si>
    <t>В исходных параметрах стоял retention 5%, но в договоре плановый retention не найден.</t>
  </si>
  <si>
    <t>Retention установлен 0%; сценарный ввод оставлен в FIN_0 B19.</t>
  </si>
  <si>
    <t>Срок оплаты</t>
  </si>
  <si>
    <t>В исходных параметрах лаг оплаты был 1 месяц, договор дает 60 к.д. после подписания КС-2/КС-3.</t>
  </si>
  <si>
    <t>Лаг актов в CF установлен 2 месяца; приемка 5+10 раб. дней вынесена как риск.</t>
  </si>
  <si>
    <t>ФОТ команды указан на руки: без корректировки занижает себестоимость.</t>
  </si>
  <si>
    <t>Добавлен коэффициент брутто = (1+соц)/(1-НДФЛ).</t>
  </si>
  <si>
    <t>В исходных листах есть противоречие: ежемесячные расходы показывают 1,0 млн, общие параметры - 1,6 млн с налогами.</t>
  </si>
  <si>
    <t>Для бэкофиса взято 1,6 млн с налогами; налоги повторно не добавляются.</t>
  </si>
  <si>
    <t>Нужно было не начислять входящий НДС на ФОТ.</t>
  </si>
  <si>
    <t>Флаг входящего НДС = 0 для всех строк ФОТ; 1 для прямой себестоимости и ежемесячных не-ФОТ.</t>
  </si>
  <si>
    <t>НДС / Выручка</t>
  </si>
  <si>
    <t>Формирование цены с НДС</t>
  </si>
  <si>
    <t>Нельзя считать НДС как расход P&amp;L; нужен исходящий, входящий и разница в CF.</t>
  </si>
  <si>
    <t>В P&amp;L выделены исходящий НДС, входящий НДС и НДС к уплате; CF учитывает НДС на аванс и зачет аванса.</t>
  </si>
  <si>
    <t>Формулы</t>
  </si>
  <si>
    <t>Сквозной пересчет</t>
  </si>
  <si>
    <t>Были статичные даты в Сводке/Графике/Гантте.</t>
  </si>
  <si>
    <t>Даты графика и Гантт теперь формульно завязаны на FIN_0 и пересчитываются при смене даты старта.</t>
  </si>
  <si>
    <t>Исходник</t>
  </si>
  <si>
    <t>Ежемесячные непредвиденные</t>
  </si>
  <si>
    <t>Строка 105 не имела итоговой формулы и была неоднозначна.</t>
  </si>
  <si>
    <t>Взято C105*1000 как отдельная однократная статья; можно изменить/обнулить в исходнике или FIN_1.</t>
  </si>
  <si>
    <t>Объект: Устройство кровли цеха 217, АО «Метровагонмаш»</t>
  </si>
  <si>
    <t>Базовая площадь кровли (основное поле)</t>
  </si>
  <si>
    <t>Общая площадь утепления/наплавления (с нахлёстами)</t>
  </si>
  <si>
    <t>Свод по разделам сметы (без НДС)</t>
  </si>
  <si>
    <t>Раздел работ</t>
  </si>
  <si>
    <t>Работа, ₽</t>
  </si>
  <si>
    <t>Материалы, ₽</t>
  </si>
  <si>
    <t>Итого без НДС, ₽</t>
  </si>
  <si>
    <t>Входящий НДС, ₽</t>
  </si>
  <si>
    <t>Итого с НДС, ₽</t>
  </si>
  <si>
    <t>Доля, %</t>
  </si>
  <si>
    <t>Доля мат., %</t>
  </si>
  <si>
    <t>Проектно-изыскательские работы (ПИР)</t>
  </si>
  <si>
    <t>Электроснабжение и автоматика противодымной вентиляции</t>
  </si>
  <si>
    <t>Ремонт плит покрытия</t>
  </si>
  <si>
    <t>Межплиточные швы, вывоз/утилизация мусора</t>
  </si>
  <si>
    <t>Демонтаж кровли: 1–2 пролёты</t>
  </si>
  <si>
    <t>Демонтаж кровли: 3–4 пролёты</t>
  </si>
  <si>
    <t>Демонтаж покрытия парапета</t>
  </si>
  <si>
    <t>Монтаж кровельного покрытия (пирог)</t>
  </si>
  <si>
    <t>Кровельные уклоны (ендовы)</t>
  </si>
  <si>
    <t>Примыкания к парапетам</t>
  </si>
  <si>
    <t>Водоприёмные воронки в ендовах</t>
  </si>
  <si>
    <t>СФ-1: демонтаж фонаря (стёкла, рамы)</t>
  </si>
  <si>
    <t>СФ-1: монтаж каркаса фонаря</t>
  </si>
  <si>
    <t>СФ-1: фасонные элементы</t>
  </si>
  <si>
    <t>СФ-1: водосточная система</t>
  </si>
  <si>
    <t>ИТОГО прямая себестоимость</t>
  </si>
  <si>
    <t>Сверка с исходной сметой (себ. прямая, G66)</t>
  </si>
  <si>
    <t>Расхождение:</t>
  </si>
  <si>
    <t>Удельные показатели</t>
  </si>
  <si>
    <t>Показатель</t>
  </si>
  <si>
    <t>Без НДС, ₽</t>
  </si>
  <si>
    <t>С НДС, ₽</t>
  </si>
  <si>
    <t>Прямая с/с на 1 м² базовой площади (16 145 м²)</t>
  </si>
  <si>
    <t>Прямая с/с на 1 м² общей площади (19 787 м²)</t>
  </si>
  <si>
    <t>Доля материалов в прямой с/с</t>
  </si>
  <si>
    <t>Доля работ в прямой с/с</t>
  </si>
  <si>
    <t>Входящий НДС к возмещению</t>
  </si>
  <si>
    <t>P&amp;L</t>
  </si>
  <si>
    <t>Profit &amp; Loss Statement — Цех 217</t>
  </si>
  <si>
    <t>Статья P&amp;L</t>
  </si>
  <si>
    <t>ИТОГО проект</t>
  </si>
  <si>
    <t>Прочие доходы</t>
  </si>
  <si>
    <t>Итого выручка</t>
  </si>
  <si>
    <t>СЕБЕСТОИМОСТЬ (Direct Cost)</t>
  </si>
  <si>
    <t>Оплата субподряда</t>
  </si>
  <si>
    <t>Основное оборудование</t>
  </si>
  <si>
    <t>Основные материалы</t>
  </si>
  <si>
    <t>Расходные материалы</t>
  </si>
  <si>
    <t>Инструмент</t>
  </si>
  <si>
    <t>Аренда машин и оборудования</t>
  </si>
  <si>
    <t>ФОТ производственный</t>
  </si>
  <si>
    <t>Итого Direct Cost</t>
  </si>
  <si>
    <t>GROSS PROFIT</t>
  </si>
  <si>
    <t>GP margin, %</t>
  </si>
  <si>
    <t>OPEX (проект)</t>
  </si>
  <si>
    <t>ФОТ управленческий</t>
  </si>
  <si>
    <t>Содержание штаба</t>
  </si>
  <si>
    <t>Аренда транспорта</t>
  </si>
  <si>
    <t>Итого OPEX</t>
  </si>
  <si>
    <t>BACK OFFICE</t>
  </si>
  <si>
    <t>ФОТ управленческий (ГО)</t>
  </si>
  <si>
    <t>Содержание офиса</t>
  </si>
  <si>
    <t>Аренда транспорта (ГО)</t>
  </si>
  <si>
    <t>Аутсорсинг (ГО)</t>
  </si>
  <si>
    <t>Прочие расходы (ГО)</t>
  </si>
  <si>
    <t>Итого Back office</t>
  </si>
  <si>
    <t>EBITDA</t>
  </si>
  <si>
    <t>EBITDA margin, %</t>
  </si>
  <si>
    <t>ФИНАНСОВЫЙ РЕЗУЛЬТАТ</t>
  </si>
  <si>
    <t>Финансовые доходы (проценты)</t>
  </si>
  <si>
    <t>Финансовые расходы (проценты, БГ)</t>
  </si>
  <si>
    <t>Итого финрезультат</t>
  </si>
  <si>
    <t>EBT (прибыль до налога)</t>
  </si>
  <si>
    <t>Налог на прибыль 25%</t>
  </si>
  <si>
    <t>NET PROFIT</t>
  </si>
  <si>
    <t>Net margin, %</t>
  </si>
  <si>
    <t>Разовые расходы</t>
  </si>
  <si>
    <t>Стоимость - всего,.руб.</t>
  </si>
  <si>
    <t>Стоимость - всего, .руб.</t>
  </si>
  <si>
    <t>Цена за мес.,. руб.</t>
  </si>
  <si>
    <t>Цена за смен.. руб.</t>
  </si>
  <si>
    <t>Аренда техники и дем</t>
  </si>
  <si>
    <t>Раздел / Статья затрат</t>
  </si>
  <si>
    <t>Сумма за 9 мес, ₽ без НДС</t>
  </si>
  <si>
    <t>ГСМ и передвижение производственников (Автомобили ГАЗ, Ларгус, РП, РС, Прочие)</t>
  </si>
  <si>
    <t>Прочие (быт/офис): аренда квартир, эл/эн, мусор, туалеты, интернет, канцелярка, стройконтроль, представительские, 1С, кофе/чай</t>
  </si>
  <si>
    <t>Накладные затраты на офис (Шеллрокк, КиКГЕОСТРОЙ)</t>
  </si>
  <si>
    <t>Непредвиденные расходы</t>
  </si>
  <si>
    <t>ИТОГО «Прочие расходы» OPEX за 9 мес</t>
  </si>
  <si>
    <t>Сумма за 9 мес, ₽ с НДС</t>
  </si>
  <si>
    <t>ИТОГО «Аутсорсинг» OPEX за 9 мес</t>
  </si>
  <si>
    <t>ИТОГО «Аренда транспорта» OPEX за 9 мес</t>
  </si>
  <si>
    <t>Манипулятор / телескопический погрузчик</t>
  </si>
  <si>
    <t>ИТОГО «Аренда машин и оборудования» за 9 мес</t>
  </si>
  <si>
    <t>ИТОГО «Оплата субподряда» за 9 мес</t>
  </si>
  <si>
    <t>ИТОГО «Основные материалы» за 9 мес</t>
  </si>
  <si>
    <t>Сумма, ₽ с НДС</t>
  </si>
  <si>
    <t>Сумма, ₽ без НДС</t>
  </si>
  <si>
    <t>Бытовые модули (офис, бытовки, контейнеры)</t>
  </si>
  <si>
    <t>Прочие затраты на городок (электро, питание, освещение)</t>
  </si>
  <si>
    <t>Площадки (плиты) и техника на склад/городок</t>
  </si>
  <si>
    <t>Обустройство штаба и городка (офисная техника, мебель, «умный дом»)</t>
  </si>
  <si>
    <t>Униформа и СИЗ</t>
  </si>
  <si>
    <t>Мероприятия по ПОС (пиломатериал, плёнка) + Непредвиденные</t>
  </si>
  <si>
    <t>ППР (АР, дымоудаление, пожарка)</t>
  </si>
  <si>
    <t>Брендирование (наклейки, паспорт объекта)</t>
  </si>
  <si>
    <t>ИТОГО «Разовые расходы»</t>
  </si>
  <si>
    <t>Звено 1 (ящик, кувалды, молоток, ключи, шуруповёрт, сварочный, УШМ, ножницы, удлинители, рации)</t>
  </si>
  <si>
    <t>На весь объект (генератор, вышка-тура, нивелир, тахеометр)</t>
  </si>
  <si>
    <t>ИТОГО «Инструмент»</t>
  </si>
  <si>
    <t>Правило: лист FIN_PnL_Финальный — помесячный P&amp;L (9 мес + Итого) с блоками: ВЫРУЧКА (выручка по контрактам из FIN_2_Календарь стр. 4 без НДС, прочие доходы — input); DIRECT COST (Оплата субподряда = 'себестоимость прямая'!E66 «Работы» 172,7 млн; Осн. материалы = F66 «Материалы» 85,4 млн; помесячно по доле FIN_2_Календарь стр. 5 / SUM; Осн. оборудование / Расходные / Инструмент / Аренда машин / ФОТ произв. / Прочие / Разовые расходы (мобилизация/демобилизация) — синие inputs); GROSS PROFIT = Выручка − Direct Cost; OPEX (ФОТ упр., Содержание штаба, Аренда тр-та, Аутсорсинг, Прочие — inputs); BACK OFFICE (ФОТ ГО, Офис, Аренда тр-та ГО, Аутс. ГО, Прочие ГО — inputs); EBITDA = GP − OPEX − BO; ФИНРЕЗ (Фин. доходы/расходы — inputs); EBT = EBITDA + Финрез; Налог = MAX(EBT,0)×25%; NET PROFIT = EBT − Налог. Цвета: input — синий (#0000FF), ссылки между листами — зелёный (#008000), формулы — чёрный, итоги блоков — жёлтый фон, NET PROFIT — зелёный фон. Расположение колонок: ИТОГО проект — колонка B, далее календарь месяцев. При импорте сумм из других листов в P&amp;L всегда спрашивать через интерактивные кнопки: с НДС или без НДС; P&amp;L ведётся без НДС, если сумма с НДС — делить на (1+FIN_0_Параметры!B10). Если источник в тыс. руб. — умножать на 1000 для перевода в рубли. Если источник — месячная сумма (OPEX, аренда, ГСМ, Прочие расходы с листа 'ежемесячные расходы'), в колонку ИТОГО проект умножать на 9 месяцев (длительность проекта). Расшифровки статей — отдельные листы «&lt;статья&gt;» без префикса (Прочие_OPEX, Аутсорсинг, Аренда_транспорта, Аренда_машин, Субподряд, Материалы, Инструмент, Разовые_расходы и т.д.) со структурой: колонка A — №, B — статья затрат, C — «Сумма за 9 мес, ₽ с НДС», D — «Сумма за 9 мес, ₽ без НДС» (=C/(1+FIN_0_Параметры!$B$10)). Ярлыки листов-расшифровок при создании окрашивать в зелёный цвет (#00B050). Шапка листа-расшифровки: в ячейке B1 — название статьи без слова «Расшифровка» (белый шрифт #FFFFFF на синем фоне #1F4E78, bold 14pt) и является гиперссылкой на соответствующую статью в FIN_PnL_Финальный (в колонке A); A1 оставлять пустым. Обратная гиперссылка: ячейка с названием статьи в FIN_PnL_Финальный ведёт на &lt;лист-расшифровка&gt;!B1. В P&amp;L (FIN_PnL_Финальный) всегда ссылаться на колонку «без НДС» (ячейка ИТОГО в D). Состав: Прочие OPEX = ГСМ (I86) + быт/офис (E102) + Накладные офис (E58) + Непредвиденные (D105 в руб./мес); Аутсорсинг = Инженер ТБ (E46) + Геодезист (E47) + Системный администратор (E48) + Сметчик (E49); Аренда транспорта OPEX = Легковой (E62); Аренда машин и оборудования DC = Кран 32т (E63) + Манипулятор (E64); Оплата субподряда и Основные материалы — 15 укрупнённых групп по листу 'себестоимость прямая' (ПИР=7, Электро=9, Ремонт плит=11:12, Швы+мусор=14:17, Демонтаж 1-2=20:23, Демонтаж 3-4=25:32, Парапет=34, Монтаж кровли=36:44, Ендовы=46:47, Парапеты=49:51, Воронки=53:55, СФ-1 демонтаж=58:59, СФ-1 каркас=61, СФ-1 фасон=63, СФ-1 водосток=65), субподряд — колонка E, материалы — колонка F; источник уже без НДС, поэтому D = SUM из источника, C = D×(1+НДС).</t>
  </si>
  <si>
    <t>ИТОГО «ФОТ производственный» за 9 мес</t>
  </si>
  <si>
    <t>Бригада 1 — Мастер (1 чел.)</t>
  </si>
  <si>
    <t>Бригада 1 — Рабочие (3 чел.)</t>
  </si>
  <si>
    <t>ЗП на руки за 9 мес, ₽</t>
  </si>
  <si>
    <t>Отчисления за 9 мес, ₽</t>
  </si>
  <si>
    <t>Куратор (1 чел.)</t>
  </si>
  <si>
    <t>Руководитель проекта (1 чел.)</t>
  </si>
  <si>
    <t>Руководитель строительства (1 чел.)</t>
  </si>
  <si>
    <t>Ведущий инженер ПТО (1 чел.)</t>
  </si>
  <si>
    <t>Инженер ПТО (1 чел.)</t>
  </si>
  <si>
    <t>Кладовщик (1 чел.)</t>
  </si>
  <si>
    <t>Инженер по ТБ и ОТ (1 чел.)</t>
  </si>
  <si>
    <t>ИТОГО «ФОТ управленческий» за 9 мес</t>
  </si>
  <si>
    <t>Руководитель проектного офиса (1 чел.)</t>
  </si>
  <si>
    <t>Старший финансовый аналитик (1 чел.)</t>
  </si>
  <si>
    <t>Финансовый аналитик (1 чел.)</t>
  </si>
  <si>
    <t>Нач. отдела снабжения (1 чел.)</t>
  </si>
  <si>
    <t>Ведущий специалист СДО (1 чел.)</t>
  </si>
  <si>
    <t>Бухгалтер на первичку (1 чел.)</t>
  </si>
  <si>
    <t>Начальник СДО (1 чел.)</t>
  </si>
  <si>
    <t>Генеральный директор (1 чел.)</t>
  </si>
  <si>
    <t>Советник ГД — 1 (К) (1 чел.)</t>
  </si>
  <si>
    <t>Советник ГД — 2 (К) (1 чел.)</t>
  </si>
  <si>
    <t>Операционный директор (К) (1 чел.)</t>
  </si>
  <si>
    <t>ИТОГО «ФОТ управленческий (ГО)» за 9 мес</t>
  </si>
  <si>
    <t>ИТОГО «Содержание офиса» за 9 мес</t>
  </si>
  <si>
    <t>Резерв на риски</t>
  </si>
  <si>
    <t>ИТОГО «Прочие расходы» за 9 мес</t>
  </si>
  <si>
    <t>Комиссия за получение БГ (выручка с НДС × 30% × 5% годовых × 9/12)</t>
  </si>
  <si>
    <t>ИТОГО «Финансовые расходы» за 9 мес</t>
  </si>
  <si>
    <t>Цена контракта сНДС</t>
  </si>
  <si>
    <t>Выручка по контракту без НДС</t>
  </si>
  <si>
    <t>P&amp;L и Cash Flow (помесячно, 9 мес)</t>
  </si>
  <si>
    <t>Выручка по контрактам (без НДС)</t>
  </si>
  <si>
    <t>Аренда машин</t>
  </si>
  <si>
    <t>Прочие расходы DC</t>
  </si>
  <si>
    <t>Direct Cost (итого)</t>
  </si>
  <si>
    <t>Содержание штаба/офиса</t>
  </si>
  <si>
    <t>Аренда тр-та</t>
  </si>
  <si>
    <t>Прочие OPEX</t>
  </si>
  <si>
    <t>OPEX (итого)</t>
  </si>
  <si>
    <t>ФОТ ГО + Офис ГО</t>
  </si>
  <si>
    <t>Back Office (итого)</t>
  </si>
  <si>
    <t>Финансовые доходы</t>
  </si>
  <si>
    <t>Финансовые расходы</t>
  </si>
  <si>
    <t>CASH FLOW (прямой, с НДС)</t>
  </si>
  <si>
    <t>ПОСТУПЛЕНИЯ</t>
  </si>
  <si>
    <t>Аванс 30% (1-й месяц)</t>
  </si>
  <si>
    <t>Оплата по факту 70% (1/9 в мес)</t>
  </si>
  <si>
    <t>ВЫПЛАТЫ</t>
  </si>
  <si>
    <t>Оплата Direct Cost (с НДС)</t>
  </si>
  <si>
    <t>Оплата OPEX (с НДС)</t>
  </si>
  <si>
    <t>Оплата Back Office (с НДС)</t>
  </si>
  <si>
    <t>Комиссия БГ</t>
  </si>
  <si>
    <t>Net Cash Flow</t>
  </si>
  <si>
    <t>Остаток на начало периода</t>
  </si>
  <si>
    <t>Остаток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</si>
</sst>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₽_-;\-* #,##0.00\ _₽_-;_-* &quot;-&quot;??\ _₽_-;_-@_-"/>
    <numFmt numFmtId="165" formatCode="0.000"/>
    <numFmt numFmtId="166" formatCode="0.0"/>
    <numFmt numFmtId="167" formatCode="#\ ##0"/>
    <numFmt numFmtId="168" formatCode="#,##0.0"/>
    <numFmt numFmtId="169" formatCode="dd\.mm\.yyyy"/>
    <numFmt numFmtId="170" formatCode="0.0%"/>
    <numFmt numFmtId="171" formatCode="#,##0;[Red]\(#,##0\);\-"/>
    <numFmt numFmtId="172" formatCode="0.0%;[Red]\(0.0%\);\-"/>
    <numFmt numFmtId="173" formatCode="dd\.mm"/>
    <numFmt numFmtId="174" formatCode="#,##0;\(#,##0\);\-"/>
  </numFmts>
  <fonts count="7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2060"/>
      <name val="Calibri"/>
      <family val="2"/>
      <charset val="204"/>
    </font>
    <font>
      <sz val="11"/>
      <color rgb="FF0000FF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548135"/>
      <name val="Calibri"/>
      <family val="2"/>
      <charset val="204"/>
    </font>
    <font>
      <b/>
      <sz val="11"/>
      <color theme="0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0000FF"/>
      <name val="Calibri"/>
      <family val="2"/>
      <charset val="204"/>
    </font>
    <font>
      <sz val="10"/>
      <color rgb="FF000000"/>
      <name val="&quot;Times New Roman&quot;"/>
    </font>
    <font>
      <sz val="11"/>
      <color rgb="FFFFFFFF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rlito"/>
    </font>
    <font>
      <b/>
      <sz val="11"/>
      <name val="Carlito"/>
    </font>
    <font>
      <b/>
      <sz val="11"/>
      <color rgb="FFFFFFFF"/>
      <name val="Carlito"/>
    </font>
    <font>
      <sz val="11"/>
      <color theme="1"/>
      <name val="Calibri"/>
      <family val="2"/>
      <charset val="204"/>
    </font>
    <font>
      <sz val="11"/>
      <color rgb="FF0000FF"/>
      <name val="Calibri"/>
      <family val="2"/>
      <charset val="204"/>
    </font>
    <font>
      <sz val="11"/>
      <color rgb="FF0000FF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FFFFFF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name val="Calibri"/>
      <family val="2"/>
      <charset val="204"/>
    </font>
    <font>
      <b/>
      <sz val="14"/>
      <color rgb="FFFFFFFF"/>
      <name val="Calibri"/>
      <family val="2"/>
      <charset val="204"/>
    </font>
    <font>
      <sz val="11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FFFFFF"/>
      <name val="Calibri"/>
      <family val="2"/>
      <charset val="204"/>
      <scheme val="minor"/>
    </font>
    <font>
      <i/>
      <sz val="11"/>
      <color rgb="FF404040"/>
      <name val="Calibri"/>
      <family val="2"/>
      <charset val="204"/>
      <scheme val="minor"/>
    </font>
    <font>
      <sz val="11"/>
      <color rgb="FF008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i/>
      <sz val="11"/>
      <color rgb="FF008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rgb="FF808080"/>
      <name val="Calibri"/>
      <family val="2"/>
      <charset val="204"/>
      <scheme val="minor"/>
    </font>
    <font>
      <b/>
      <sz val="11"/>
      <color rgb="FF008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008000"/>
      <name val="Calibri"/>
      <scheme val="minor"/>
    </font>
    <font>
      <sz val="11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u/>
      <sz val="11"/>
      <color rgb="FFFFFFFF"/>
      <name val="Calibri"/>
      <family val="2"/>
      <charset val="204"/>
      <scheme val="minor"/>
    </font>
    <font>
      <b/>
      <u/>
      <sz val="14"/>
      <color rgb="FFFFFFFF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rgb="FF008000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b/>
      <sz val="12"/>
      <color theme="9" tint="-0.249977111117893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2F5496"/>
        <bgColor rgb="FF2F549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548135"/>
        <bgColor rgb="FF548135"/>
      </patternFill>
    </fill>
    <fill>
      <patternFill patternType="solid">
        <fgColor theme="5" tint="-0.249977111117893"/>
        <bgColor rgb="FF548135"/>
      </patternFill>
    </fill>
    <fill>
      <patternFill patternType="solid">
        <fgColor rgb="FFBF9000"/>
        <bgColor rgb="FFBF9000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D9E1F2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E4DFEC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5B9BD5"/>
      </patternFill>
    </fill>
    <fill>
      <patternFill patternType="solid">
        <fgColor rgb="FF4472C4"/>
      </patternFill>
    </fill>
    <fill>
      <patternFill patternType="solid">
        <fgColor rgb="FF70AD47"/>
      </patternFill>
    </fill>
    <fill>
      <patternFill patternType="solid">
        <fgColor rgb="FFFFC000"/>
      </patternFill>
    </fill>
    <fill>
      <patternFill patternType="solid">
        <fgColor rgb="FFED7D31"/>
      </patternFill>
    </fill>
    <fill>
      <patternFill patternType="solid">
        <fgColor rgb="FF00B050"/>
      </patternFill>
    </fill>
    <fill>
      <patternFill patternType="solid">
        <fgColor rgb="FF7030A0"/>
      </patternFill>
    </fill>
    <fill>
      <patternFill patternType="solid">
        <fgColor rgb="FFD9EAD3"/>
      </patternFill>
    </fill>
    <fill>
      <patternFill patternType="solid">
        <fgColor rgb="FF548235"/>
      </patternFill>
    </fill>
    <fill>
      <patternFill patternType="solid">
        <fgColor rgb="FFFF0000"/>
        <bgColor indexed="64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2F2F2"/>
      </patternFill>
    </fill>
    <fill>
      <patternFill patternType="solid">
        <fgColor rgb="FF1F4E7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00"/>
        <bgColor rgb="FF2F5496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D9E1F2"/>
      </bottom>
      <diagonal/>
    </border>
  </borders>
  <cellStyleXfs count="8">
    <xf numFmtId="0" fontId="0" fillId="0" borderId="0"/>
    <xf numFmtId="43" fontId="1" fillId="0" borderId="0"/>
    <xf numFmtId="43" fontId="15" fillId="0" borderId="0"/>
    <xf numFmtId="0" fontId="1" fillId="0" borderId="0"/>
    <xf numFmtId="0" fontId="34" fillId="0" borderId="0"/>
    <xf numFmtId="0" fontId="34" fillId="0" borderId="0"/>
    <xf numFmtId="0" fontId="37" fillId="0" borderId="0"/>
    <xf numFmtId="0" fontId="59" fillId="0" borderId="0" applyNumberFormat="0" applyFill="0" applyBorder="0" applyAlignment="0" applyProtection="0"/>
  </cellStyleXfs>
  <cellXfs count="47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3" fontId="0" fillId="0" borderId="0" xfId="1" applyFont="1"/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0" fillId="4" borderId="1" xfId="0" applyFill="1" applyBorder="1"/>
    <xf numFmtId="164" fontId="0" fillId="4" borderId="2" xfId="0" applyNumberFormat="1" applyFill="1" applyBorder="1" applyAlignment="1">
      <alignment horizontal="center" vertical="center"/>
    </xf>
    <xf numFmtId="43" fontId="0" fillId="4" borderId="2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43" fontId="0" fillId="5" borderId="2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3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43" fontId="0" fillId="0" borderId="2" xfId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164" fontId="0" fillId="6" borderId="2" xfId="0" applyNumberForma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horizontal="right" vertical="top" wrapText="1"/>
    </xf>
    <xf numFmtId="166" fontId="10" fillId="0" borderId="1" xfId="0" applyNumberFormat="1" applyFont="1" applyBorder="1" applyAlignment="1">
      <alignment horizontal="right" vertical="top" wrapText="1"/>
    </xf>
    <xf numFmtId="0" fontId="13" fillId="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/>
    <xf numFmtId="166" fontId="14" fillId="0" borderId="1" xfId="0" applyNumberFormat="1" applyFont="1" applyBorder="1" applyAlignment="1">
      <alignment horizontal="right" vertical="top" wrapText="1"/>
    </xf>
    <xf numFmtId="1" fontId="14" fillId="0" borderId="1" xfId="0" applyNumberFormat="1" applyFont="1" applyBorder="1" applyAlignment="1">
      <alignment horizontal="right" vertical="top" wrapText="1"/>
    </xf>
    <xf numFmtId="164" fontId="0" fillId="6" borderId="1" xfId="0" applyNumberFormat="1" applyFill="1" applyBorder="1" applyAlignment="1">
      <alignment horizontal="center" vertical="center"/>
    </xf>
    <xf numFmtId="0" fontId="0" fillId="8" borderId="1" xfId="0" applyFill="1" applyBorder="1"/>
    <xf numFmtId="43" fontId="0" fillId="8" borderId="1" xfId="1" applyFont="1" applyFill="1" applyBorder="1"/>
    <xf numFmtId="164" fontId="0" fillId="8" borderId="1" xfId="0" applyNumberFormat="1" applyFill="1" applyBorder="1" applyAlignment="1">
      <alignment horizontal="center" vertical="center"/>
    </xf>
    <xf numFmtId="43" fontId="0" fillId="8" borderId="1" xfId="1" applyFont="1" applyFill="1" applyBorder="1" applyAlignment="1">
      <alignment horizontal="center" vertical="center"/>
    </xf>
    <xf numFmtId="0" fontId="0" fillId="8" borderId="1" xfId="0" applyFill="1" applyBorder="1" applyAlignment="1">
      <alignment wrapText="1"/>
    </xf>
    <xf numFmtId="43" fontId="0" fillId="0" borderId="1" xfId="2" applyFont="1" applyBorder="1"/>
    <xf numFmtId="164" fontId="0" fillId="0" borderId="6" xfId="0" applyNumberForma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8" fontId="17" fillId="0" borderId="0" xfId="3" applyNumberFormat="1" applyFont="1"/>
    <xf numFmtId="3" fontId="17" fillId="0" borderId="0" xfId="3" applyNumberFormat="1" applyFont="1" applyAlignment="1">
      <alignment horizontal="center"/>
    </xf>
    <xf numFmtId="167" fontId="17" fillId="0" borderId="0" xfId="3" applyNumberFormat="1" applyFont="1" applyAlignment="1">
      <alignment horizontal="center" vertical="center"/>
    </xf>
    <xf numFmtId="0" fontId="18" fillId="9" borderId="0" xfId="3" applyFont="1" applyFill="1" applyAlignment="1">
      <alignment vertical="center"/>
    </xf>
    <xf numFmtId="0" fontId="18" fillId="9" borderId="0" xfId="3" applyFont="1" applyFill="1" applyAlignment="1">
      <alignment horizontal="center" vertical="center"/>
    </xf>
    <xf numFmtId="0" fontId="18" fillId="9" borderId="0" xfId="3" applyFont="1" applyFill="1" applyAlignment="1">
      <alignment vertical="center" wrapText="1"/>
    </xf>
    <xf numFmtId="0" fontId="17" fillId="0" borderId="0" xfId="3" applyFont="1"/>
    <xf numFmtId="0" fontId="17" fillId="0" borderId="0" xfId="3" quotePrefix="1" applyFont="1"/>
    <xf numFmtId="3" fontId="21" fillId="0" borderId="0" xfId="3" applyNumberFormat="1" applyFont="1" applyAlignment="1">
      <alignment horizontal="center"/>
    </xf>
    <xf numFmtId="0" fontId="18" fillId="0" borderId="0" xfId="3" applyFont="1"/>
    <xf numFmtId="0" fontId="23" fillId="10" borderId="0" xfId="3" applyFont="1" applyFill="1"/>
    <xf numFmtId="0" fontId="23" fillId="10" borderId="0" xfId="3" applyFont="1" applyFill="1" applyAlignment="1">
      <alignment horizontal="center"/>
    </xf>
    <xf numFmtId="3" fontId="17" fillId="0" borderId="0" xfId="3" applyNumberFormat="1" applyFont="1"/>
    <xf numFmtId="0" fontId="18" fillId="0" borderId="7" xfId="3" applyFont="1" applyBorder="1"/>
    <xf numFmtId="0" fontId="17" fillId="0" borderId="7" xfId="3" applyFont="1" applyBorder="1"/>
    <xf numFmtId="3" fontId="18" fillId="0" borderId="7" xfId="3" applyNumberFormat="1" applyFont="1" applyBorder="1" applyAlignment="1">
      <alignment horizontal="center"/>
    </xf>
    <xf numFmtId="3" fontId="18" fillId="0" borderId="7" xfId="3" applyNumberFormat="1" applyFont="1" applyBorder="1"/>
    <xf numFmtId="0" fontId="17" fillId="0" borderId="0" xfId="3" applyFont="1" applyAlignment="1">
      <alignment horizontal="center" vertical="center"/>
    </xf>
    <xf numFmtId="0" fontId="0" fillId="11" borderId="0" xfId="0" applyFill="1"/>
    <xf numFmtId="0" fontId="18" fillId="0" borderId="0" xfId="3" applyFont="1" applyAlignment="1">
      <alignment vertical="center"/>
    </xf>
    <xf numFmtId="3" fontId="18" fillId="0" borderId="0" xfId="3" applyNumberFormat="1" applyFont="1" applyAlignment="1">
      <alignment horizontal="center" vertical="center"/>
    </xf>
    <xf numFmtId="167" fontId="27" fillId="0" borderId="0" xfId="3" applyNumberFormat="1" applyFont="1" applyAlignment="1">
      <alignment horizontal="center" vertical="center"/>
    </xf>
    <xf numFmtId="168" fontId="17" fillId="0" borderId="0" xfId="3" applyNumberFormat="1" applyFont="1" applyAlignment="1">
      <alignment wrapText="1"/>
    </xf>
    <xf numFmtId="166" fontId="17" fillId="0" borderId="0" xfId="3" applyNumberFormat="1" applyFont="1" applyAlignment="1">
      <alignment horizontal="right" wrapText="1"/>
    </xf>
    <xf numFmtId="0" fontId="23" fillId="10" borderId="0" xfId="3" applyFont="1" applyFill="1" applyAlignment="1">
      <alignment horizontal="center" wrapText="1"/>
    </xf>
    <xf numFmtId="0" fontId="23" fillId="10" borderId="0" xfId="3" applyFont="1" applyFill="1" applyAlignment="1">
      <alignment wrapText="1"/>
    </xf>
    <xf numFmtId="3" fontId="17" fillId="0" borderId="0" xfId="3" applyNumberFormat="1" applyFont="1" applyAlignment="1">
      <alignment horizontal="center" wrapText="1"/>
    </xf>
    <xf numFmtId="3" fontId="17" fillId="0" borderId="0" xfId="3" applyNumberFormat="1" applyFont="1" applyAlignment="1">
      <alignment wrapText="1"/>
    </xf>
    <xf numFmtId="3" fontId="18" fillId="0" borderId="7" xfId="3" applyNumberFormat="1" applyFont="1" applyBorder="1" applyAlignment="1">
      <alignment horizontal="center" wrapText="1"/>
    </xf>
    <xf numFmtId="3" fontId="18" fillId="0" borderId="7" xfId="3" applyNumberFormat="1" applyFont="1" applyBorder="1" applyAlignment="1">
      <alignment wrapText="1"/>
    </xf>
    <xf numFmtId="168" fontId="17" fillId="0" borderId="0" xfId="3" applyNumberFormat="1" applyFont="1" applyAlignment="1">
      <alignment vertical="center" wrapText="1"/>
    </xf>
    <xf numFmtId="168" fontId="18" fillId="0" borderId="7" xfId="3" applyNumberFormat="1" applyFont="1" applyBorder="1" applyAlignment="1">
      <alignment wrapText="1"/>
    </xf>
    <xf numFmtId="0" fontId="18" fillId="0" borderId="0" xfId="3" applyFont="1" applyAlignment="1">
      <alignment vertical="center" wrapText="1"/>
    </xf>
    <xf numFmtId="3" fontId="17" fillId="0" borderId="0" xfId="3" applyNumberFormat="1" applyFont="1" applyAlignment="1">
      <alignment vertical="center"/>
    </xf>
    <xf numFmtId="3" fontId="27" fillId="0" borderId="0" xfId="3" applyNumberFormat="1" applyFont="1" applyAlignment="1">
      <alignment horizontal="right" vertical="center"/>
    </xf>
    <xf numFmtId="0" fontId="30" fillId="0" borderId="0" xfId="0" applyFont="1" applyAlignment="1">
      <alignment horizontal="center" wrapText="1"/>
    </xf>
    <xf numFmtId="3" fontId="24" fillId="0" borderId="8" xfId="3" applyNumberFormat="1" applyFont="1" applyBorder="1" applyAlignment="1">
      <alignment horizontal="center"/>
    </xf>
    <xf numFmtId="3" fontId="24" fillId="0" borderId="8" xfId="3" applyNumberFormat="1" applyFont="1" applyBorder="1" applyAlignment="1">
      <alignment horizontal="right"/>
    </xf>
    <xf numFmtId="3" fontId="24" fillId="0" borderId="8" xfId="3" applyNumberFormat="1" applyFont="1" applyBorder="1"/>
    <xf numFmtId="3" fontId="17" fillId="0" borderId="0" xfId="3" applyNumberFormat="1" applyFont="1" applyAlignment="1">
      <alignment horizontal="right" vertical="center"/>
    </xf>
    <xf numFmtId="0" fontId="18" fillId="0" borderId="0" xfId="3" applyFont="1" applyAlignment="1">
      <alignment horizontal="center"/>
    </xf>
    <xf numFmtId="0" fontId="17" fillId="0" borderId="0" xfId="3" quotePrefix="1" applyFont="1" applyAlignment="1">
      <alignment horizontal="right"/>
    </xf>
    <xf numFmtId="3" fontId="18" fillId="0" borderId="0" xfId="3" applyNumberFormat="1" applyFont="1" applyAlignment="1">
      <alignment horizontal="center"/>
    </xf>
    <xf numFmtId="3" fontId="18" fillId="0" borderId="0" xfId="3" applyNumberFormat="1" applyFont="1"/>
    <xf numFmtId="0" fontId="17" fillId="0" borderId="0" xfId="3" applyFont="1" applyAlignment="1">
      <alignment horizontal="center"/>
    </xf>
    <xf numFmtId="0" fontId="23" fillId="12" borderId="0" xfId="3" applyFont="1" applyFill="1" applyAlignment="1">
      <alignment vertical="center"/>
    </xf>
    <xf numFmtId="0" fontId="23" fillId="12" borderId="0" xfId="3" applyFont="1" applyFill="1" applyAlignment="1">
      <alignment horizontal="center" vertical="center"/>
    </xf>
    <xf numFmtId="0" fontId="23" fillId="13" borderId="0" xfId="0" applyFont="1" applyFill="1"/>
    <xf numFmtId="0" fontId="23" fillId="13" borderId="0" xfId="0" applyFont="1" applyFill="1" applyAlignment="1">
      <alignment horizontal="left"/>
    </xf>
    <xf numFmtId="0" fontId="23" fillId="13" borderId="0" xfId="0" applyFont="1" applyFill="1" applyAlignment="1">
      <alignment horizontal="center"/>
    </xf>
    <xf numFmtId="0" fontId="17" fillId="13" borderId="0" xfId="0" applyFont="1" applyFill="1"/>
    <xf numFmtId="3" fontId="17" fillId="11" borderId="0" xfId="0" applyNumberFormat="1" applyFont="1" applyFill="1" applyAlignment="1">
      <alignment horizontal="center"/>
    </xf>
    <xf numFmtId="3" fontId="31" fillId="11" borderId="0" xfId="0" applyNumberFormat="1" applyFont="1" applyFill="1" applyAlignment="1">
      <alignment horizontal="center"/>
    </xf>
    <xf numFmtId="9" fontId="17" fillId="11" borderId="0" xfId="0" applyNumberFormat="1" applyFont="1" applyFill="1" applyAlignment="1">
      <alignment horizontal="center"/>
    </xf>
    <xf numFmtId="0" fontId="17" fillId="0" borderId="0" xfId="0" applyFont="1"/>
    <xf numFmtId="3" fontId="17" fillId="0" borderId="0" xfId="0" applyNumberFormat="1" applyFont="1" applyAlignment="1">
      <alignment horizontal="center" vertical="center"/>
    </xf>
    <xf numFmtId="3" fontId="32" fillId="0" borderId="0" xfId="0" applyNumberFormat="1" applyFont="1" applyAlignment="1">
      <alignment horizontal="center"/>
    </xf>
    <xf numFmtId="9" fontId="32" fillId="0" borderId="0" xfId="0" applyNumberFormat="1" applyFont="1" applyAlignment="1">
      <alignment horizontal="center"/>
    </xf>
    <xf numFmtId="0" fontId="3" fillId="0" borderId="0" xfId="0" applyFont="1"/>
    <xf numFmtId="9" fontId="17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3" fontId="17" fillId="11" borderId="0" xfId="0" applyNumberFormat="1" applyFont="1" applyFill="1" applyAlignment="1">
      <alignment horizontal="center" vertical="center"/>
    </xf>
    <xf numFmtId="3" fontId="32" fillId="11" borderId="0" xfId="0" applyNumberFormat="1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0" borderId="9" xfId="0" applyFont="1" applyBorder="1" applyAlignment="1">
      <alignment horizontal="center"/>
    </xf>
    <xf numFmtId="9" fontId="32" fillId="0" borderId="9" xfId="0" applyNumberFormat="1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0" fontId="1" fillId="0" borderId="0" xfId="3"/>
    <xf numFmtId="0" fontId="23" fillId="12" borderId="0" xfId="3" applyFont="1" applyFill="1"/>
    <xf numFmtId="0" fontId="23" fillId="12" borderId="0" xfId="3" applyFont="1" applyFill="1" applyAlignment="1">
      <alignment horizontal="center"/>
    </xf>
    <xf numFmtId="0" fontId="17" fillId="12" borderId="0" xfId="3" applyFont="1" applyFill="1"/>
    <xf numFmtId="9" fontId="18" fillId="0" borderId="0" xfId="3" applyNumberFormat="1" applyFont="1"/>
    <xf numFmtId="0" fontId="17" fillId="0" borderId="0" xfId="3" applyFont="1" applyAlignment="1">
      <alignment horizontal="right" vertical="center"/>
    </xf>
    <xf numFmtId="9" fontId="24" fillId="0" borderId="8" xfId="3" applyNumberFormat="1" applyFont="1" applyBorder="1"/>
    <xf numFmtId="0" fontId="18" fillId="0" borderId="7" xfId="3" applyFont="1" applyBorder="1" applyAlignment="1">
      <alignment horizontal="center"/>
    </xf>
    <xf numFmtId="0" fontId="17" fillId="0" borderId="10" xfId="3" applyFont="1" applyBorder="1" applyAlignment="1">
      <alignment horizontal="right" vertical="center"/>
    </xf>
    <xf numFmtId="0" fontId="17" fillId="0" borderId="10" xfId="3" applyFont="1" applyBorder="1"/>
    <xf numFmtId="3" fontId="17" fillId="0" borderId="10" xfId="3" applyNumberFormat="1" applyFont="1" applyBorder="1" applyAlignment="1">
      <alignment horizontal="center"/>
    </xf>
    <xf numFmtId="3" fontId="17" fillId="0" borderId="10" xfId="3" applyNumberFormat="1" applyFont="1" applyBorder="1"/>
    <xf numFmtId="0" fontId="23" fillId="14" borderId="0" xfId="3" applyFont="1" applyFill="1"/>
    <xf numFmtId="0" fontId="23" fillId="14" borderId="0" xfId="3" applyFont="1" applyFill="1" applyAlignment="1">
      <alignment horizontal="center"/>
    </xf>
    <xf numFmtId="0" fontId="34" fillId="0" borderId="0" xfId="5"/>
    <xf numFmtId="0" fontId="0" fillId="0" borderId="0" xfId="4" applyFont="1" applyAlignment="1">
      <alignment vertical="top" wrapText="1"/>
    </xf>
    <xf numFmtId="0" fontId="36" fillId="15" borderId="0" xfId="4" applyFont="1" applyFill="1" applyAlignment="1">
      <alignment horizontal="center" vertical="top"/>
    </xf>
    <xf numFmtId="0" fontId="37" fillId="0" borderId="0" xfId="6"/>
    <xf numFmtId="168" fontId="18" fillId="0" borderId="0" xfId="3" applyNumberFormat="1" applyFont="1" applyAlignment="1">
      <alignment wrapText="1"/>
    </xf>
    <xf numFmtId="0" fontId="47" fillId="35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44" fillId="36" borderId="11" xfId="0" applyFont="1" applyFill="1" applyBorder="1" applyAlignment="1">
      <alignment vertical="top" wrapText="1"/>
    </xf>
    <xf numFmtId="169" fontId="0" fillId="0" borderId="11" xfId="0" applyNumberForma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3" fillId="35" borderId="0" xfId="0" applyFont="1" applyFill="1" applyAlignment="1">
      <alignment vertical="top" wrapText="1"/>
    </xf>
    <xf numFmtId="0" fontId="44" fillId="0" borderId="11" xfId="0" applyFont="1" applyBorder="1" applyAlignment="1">
      <alignment vertical="top" wrapText="1"/>
    </xf>
    <xf numFmtId="171" fontId="0" fillId="0" borderId="11" xfId="0" applyNumberFormat="1" applyBorder="1" applyAlignment="1">
      <alignment vertical="top" wrapText="1"/>
    </xf>
    <xf numFmtId="172" fontId="0" fillId="0" borderId="11" xfId="0" applyNumberFormat="1" applyBorder="1" applyAlignment="1">
      <alignment vertical="top" wrapText="1"/>
    </xf>
    <xf numFmtId="17" fontId="0" fillId="0" borderId="0" xfId="0" applyNumberFormat="1"/>
    <xf numFmtId="171" fontId="0" fillId="0" borderId="0" xfId="0" applyNumberFormat="1"/>
    <xf numFmtId="0" fontId="43" fillId="35" borderId="11" xfId="6" applyFont="1" applyFill="1" applyBorder="1" applyAlignment="1">
      <alignment vertical="top" wrapText="1"/>
    </xf>
    <xf numFmtId="0" fontId="37" fillId="0" borderId="11" xfId="6" applyBorder="1" applyAlignment="1">
      <alignment vertical="top" wrapText="1"/>
    </xf>
    <xf numFmtId="169" fontId="39" fillId="34" borderId="11" xfId="6" applyNumberFormat="1" applyFont="1" applyFill="1" applyBorder="1" applyAlignment="1">
      <alignment vertical="top" wrapText="1"/>
    </xf>
    <xf numFmtId="169" fontId="40" fillId="19" borderId="11" xfId="6" applyNumberFormat="1" applyFont="1" applyFill="1" applyBorder="1" applyAlignment="1">
      <alignment vertical="top" wrapText="1"/>
    </xf>
    <xf numFmtId="171" fontId="40" fillId="0" borderId="11" xfId="6" applyNumberFormat="1" applyFont="1" applyBorder="1" applyAlignment="1">
      <alignment vertical="top" wrapText="1"/>
    </xf>
    <xf numFmtId="166" fontId="40" fillId="0" borderId="11" xfId="6" applyNumberFormat="1" applyFont="1" applyBorder="1" applyAlignment="1">
      <alignment vertical="top" wrapText="1"/>
    </xf>
    <xf numFmtId="171" fontId="39" fillId="34" borderId="11" xfId="6" applyNumberFormat="1" applyFont="1" applyFill="1" applyBorder="1" applyAlignment="1">
      <alignment vertical="top" wrapText="1"/>
    </xf>
    <xf numFmtId="172" fontId="39" fillId="34" borderId="11" xfId="6" applyNumberFormat="1" applyFont="1" applyFill="1" applyBorder="1" applyAlignment="1">
      <alignment vertical="top" wrapText="1"/>
    </xf>
    <xf numFmtId="172" fontId="40" fillId="0" borderId="11" xfId="6" applyNumberFormat="1" applyFont="1" applyBorder="1" applyAlignment="1">
      <alignment vertical="top" wrapText="1"/>
    </xf>
    <xf numFmtId="170" fontId="41" fillId="0" borderId="11" xfId="6" applyNumberFormat="1" applyFont="1" applyBorder="1" applyAlignment="1">
      <alignment vertical="top" wrapText="1"/>
    </xf>
    <xf numFmtId="172" fontId="40" fillId="19" borderId="11" xfId="6" applyNumberFormat="1" applyFont="1" applyFill="1" applyBorder="1" applyAlignment="1">
      <alignment vertical="top" wrapText="1"/>
    </xf>
    <xf numFmtId="172" fontId="41" fillId="19" borderId="11" xfId="6" applyNumberFormat="1" applyFont="1" applyFill="1" applyBorder="1" applyAlignment="1">
      <alignment vertical="top" wrapText="1"/>
    </xf>
    <xf numFmtId="170" fontId="38" fillId="19" borderId="11" xfId="6" applyNumberFormat="1" applyFont="1" applyFill="1" applyBorder="1" applyAlignment="1">
      <alignment vertical="top" wrapText="1"/>
    </xf>
    <xf numFmtId="0" fontId="41" fillId="0" borderId="11" xfId="6" applyFont="1" applyBorder="1" applyAlignment="1">
      <alignment vertical="top" wrapText="1"/>
    </xf>
    <xf numFmtId="172" fontId="39" fillId="34" borderId="11" xfId="0" applyNumberFormat="1" applyFont="1" applyFill="1" applyBorder="1" applyAlignment="1">
      <alignment vertical="top" wrapText="1"/>
    </xf>
    <xf numFmtId="0" fontId="40" fillId="0" borderId="11" xfId="0" applyFont="1" applyBorder="1" applyAlignment="1">
      <alignment vertical="top" wrapText="1"/>
    </xf>
    <xf numFmtId="171" fontId="40" fillId="0" borderId="11" xfId="0" applyNumberFormat="1" applyFont="1" applyBorder="1" applyAlignment="1">
      <alignment vertical="top" wrapText="1"/>
    </xf>
    <xf numFmtId="171" fontId="39" fillId="34" borderId="11" xfId="0" applyNumberFormat="1" applyFont="1" applyFill="1" applyBorder="1" applyAlignment="1">
      <alignment vertical="top" wrapText="1"/>
    </xf>
    <xf numFmtId="171" fontId="41" fillId="0" borderId="11" xfId="0" applyNumberFormat="1" applyFont="1" applyBorder="1" applyAlignment="1">
      <alignment vertical="top" wrapText="1"/>
    </xf>
    <xf numFmtId="169" fontId="40" fillId="0" borderId="11" xfId="0" applyNumberFormat="1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vertical="top" wrapText="1"/>
    </xf>
    <xf numFmtId="43" fontId="41" fillId="5" borderId="1" xfId="1" applyFont="1" applyFill="1" applyBorder="1" applyAlignment="1">
      <alignment vertical="top" wrapText="1"/>
    </xf>
    <xf numFmtId="43" fontId="41" fillId="5" borderId="2" xfId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164" fontId="41" fillId="5" borderId="2" xfId="0" applyNumberFormat="1" applyFont="1" applyFill="1" applyBorder="1" applyAlignment="1">
      <alignment horizontal="center" vertical="top" wrapText="1"/>
    </xf>
    <xf numFmtId="164" fontId="0" fillId="5" borderId="2" xfId="0" applyNumberFormat="1" applyFill="1" applyBorder="1" applyAlignment="1">
      <alignment horizontal="center" vertical="top" wrapText="1"/>
    </xf>
    <xf numFmtId="43" fontId="0" fillId="5" borderId="2" xfId="1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vertical="top" wrapText="1"/>
    </xf>
    <xf numFmtId="2" fontId="10" fillId="6" borderId="1" xfId="0" applyNumberFormat="1" applyFont="1" applyFill="1" applyBorder="1" applyAlignment="1">
      <alignment horizontal="right" vertical="top" wrapText="1"/>
    </xf>
    <xf numFmtId="43" fontId="41" fillId="0" borderId="2" xfId="1" applyFont="1" applyBorder="1" applyAlignment="1">
      <alignment horizontal="center" vertical="top" wrapText="1"/>
    </xf>
    <xf numFmtId="164" fontId="41" fillId="7" borderId="1" xfId="0" applyNumberFormat="1" applyFont="1" applyFill="1" applyBorder="1" applyAlignment="1">
      <alignment vertical="top" wrapText="1"/>
    </xf>
    <xf numFmtId="164" fontId="0" fillId="7" borderId="2" xfId="0" applyNumberFormat="1" applyFill="1" applyBorder="1" applyAlignment="1">
      <alignment horizontal="center" vertical="top" wrapText="1"/>
    </xf>
    <xf numFmtId="164" fontId="41" fillId="0" borderId="2" xfId="0" applyNumberFormat="1" applyFont="1" applyBorder="1" applyAlignment="1">
      <alignment horizontal="center" vertical="top" wrapText="1"/>
    </xf>
    <xf numFmtId="165" fontId="10" fillId="6" borderId="1" xfId="0" applyNumberFormat="1" applyFont="1" applyFill="1" applyBorder="1" applyAlignment="1">
      <alignment horizontal="right" vertical="top" wrapText="1"/>
    </xf>
    <xf numFmtId="43" fontId="0" fillId="0" borderId="2" xfId="1" applyFont="1" applyBorder="1" applyAlignment="1">
      <alignment horizontal="center" vertical="top" wrapText="1"/>
    </xf>
    <xf numFmtId="164" fontId="41" fillId="0" borderId="1" xfId="0" applyNumberFormat="1" applyFont="1" applyBorder="1" applyAlignment="1">
      <alignment vertical="top" wrapText="1"/>
    </xf>
    <xf numFmtId="164" fontId="0" fillId="6" borderId="2" xfId="0" applyNumberForma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8" fillId="6" borderId="1" xfId="0" applyFont="1" applyFill="1" applyBorder="1" applyAlignment="1">
      <alignment horizontal="left" vertical="top" wrapText="1"/>
    </xf>
    <xf numFmtId="164" fontId="41" fillId="6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41" fillId="33" borderId="2" xfId="0" applyNumberFormat="1" applyFont="1" applyFill="1" applyBorder="1" applyAlignment="1">
      <alignment horizontal="center" vertical="top" wrapText="1"/>
    </xf>
    <xf numFmtId="43" fontId="0" fillId="7" borderId="2" xfId="1" applyFont="1" applyFill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top" wrapText="1"/>
    </xf>
    <xf numFmtId="164" fontId="41" fillId="6" borderId="1" xfId="0" applyNumberFormat="1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 vertical="top" wrapText="1"/>
    </xf>
    <xf numFmtId="164" fontId="41" fillId="8" borderId="6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11" borderId="0" xfId="0" applyFill="1" applyAlignment="1">
      <alignment vertical="top" wrapText="1"/>
    </xf>
    <xf numFmtId="0" fontId="18" fillId="9" borderId="0" xfId="3" applyFont="1" applyFill="1" applyAlignment="1">
      <alignment vertical="top" wrapText="1"/>
    </xf>
    <xf numFmtId="0" fontId="18" fillId="9" borderId="0" xfId="3" applyFont="1" applyFill="1" applyAlignment="1">
      <alignment horizontal="center" vertical="top" wrapText="1"/>
    </xf>
    <xf numFmtId="0" fontId="18" fillId="0" borderId="0" xfId="3" quotePrefix="1" applyFont="1" applyAlignment="1">
      <alignment vertical="top" wrapText="1"/>
    </xf>
    <xf numFmtId="167" fontId="16" fillId="0" borderId="0" xfId="3" applyNumberFormat="1" applyFont="1" applyAlignment="1">
      <alignment vertical="top" wrapText="1"/>
    </xf>
    <xf numFmtId="167" fontId="16" fillId="0" borderId="0" xfId="3" applyNumberFormat="1" applyFont="1" applyAlignment="1">
      <alignment horizontal="center" vertical="top" wrapText="1"/>
    </xf>
    <xf numFmtId="168" fontId="17" fillId="0" borderId="0" xfId="3" applyNumberFormat="1" applyFont="1" applyAlignment="1">
      <alignment vertical="top" wrapText="1"/>
    </xf>
    <xf numFmtId="168" fontId="41" fillId="0" borderId="0" xfId="3" applyNumberFormat="1" applyFont="1" applyAlignment="1">
      <alignment vertical="top" wrapText="1"/>
    </xf>
    <xf numFmtId="0" fontId="16" fillId="0" borderId="0" xfId="3" applyFont="1" applyAlignment="1">
      <alignment vertical="top" wrapText="1"/>
    </xf>
    <xf numFmtId="0" fontId="18" fillId="0" borderId="0" xfId="3" applyFont="1" applyAlignment="1">
      <alignment vertical="top" wrapText="1"/>
    </xf>
    <xf numFmtId="167" fontId="19" fillId="0" borderId="0" xfId="3" applyNumberFormat="1" applyFont="1" applyAlignment="1">
      <alignment vertical="top" wrapText="1"/>
    </xf>
    <xf numFmtId="167" fontId="19" fillId="0" borderId="0" xfId="3" applyNumberFormat="1" applyFont="1" applyAlignment="1">
      <alignment horizontal="center" vertical="top" wrapText="1"/>
    </xf>
    <xf numFmtId="168" fontId="19" fillId="0" borderId="0" xfId="3" applyNumberFormat="1" applyFont="1" applyAlignment="1">
      <alignment vertical="top" wrapText="1"/>
    </xf>
    <xf numFmtId="168" fontId="20" fillId="0" borderId="0" xfId="3" applyNumberFormat="1" applyFont="1" applyAlignment="1">
      <alignment vertical="top" wrapText="1"/>
    </xf>
    <xf numFmtId="167" fontId="21" fillId="0" borderId="0" xfId="3" applyNumberFormat="1" applyFont="1" applyAlignment="1">
      <alignment vertical="top" wrapText="1"/>
    </xf>
    <xf numFmtId="167" fontId="21" fillId="0" borderId="0" xfId="3" applyNumberFormat="1" applyFont="1" applyAlignment="1">
      <alignment horizontal="center" vertical="top" wrapText="1"/>
    </xf>
    <xf numFmtId="167" fontId="21" fillId="0" borderId="0" xfId="3" applyNumberFormat="1" applyFont="1" applyAlignment="1">
      <alignment horizontal="left" vertical="top" wrapText="1"/>
    </xf>
    <xf numFmtId="167" fontId="17" fillId="0" borderId="0" xfId="3" applyNumberFormat="1" applyFont="1" applyAlignment="1">
      <alignment horizontal="center" vertical="top" wrapText="1"/>
    </xf>
    <xf numFmtId="167" fontId="16" fillId="0" borderId="0" xfId="3" applyNumberFormat="1" applyFont="1" applyAlignment="1">
      <alignment horizontal="left" vertical="top" wrapText="1"/>
    </xf>
    <xf numFmtId="168" fontId="21" fillId="0" borderId="0" xfId="3" applyNumberFormat="1" applyFont="1" applyAlignment="1">
      <alignment vertical="top" wrapText="1"/>
    </xf>
    <xf numFmtId="166" fontId="16" fillId="0" borderId="0" xfId="3" applyNumberFormat="1" applyFont="1" applyAlignment="1">
      <alignment horizontal="right" vertical="top" wrapText="1"/>
    </xf>
    <xf numFmtId="167" fontId="17" fillId="0" borderId="0" xfId="3" applyNumberFormat="1" applyFont="1" applyAlignment="1">
      <alignment vertical="top" wrapText="1"/>
    </xf>
    <xf numFmtId="0" fontId="22" fillId="0" borderId="0" xfId="3" applyFont="1" applyAlignment="1">
      <alignment vertical="top" wrapText="1"/>
    </xf>
    <xf numFmtId="167" fontId="22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vertical="top" wrapText="1"/>
    </xf>
    <xf numFmtId="0" fontId="17" fillId="0" borderId="0" xfId="3" quotePrefix="1" applyFont="1" applyAlignment="1">
      <alignment vertical="top" wrapText="1"/>
    </xf>
    <xf numFmtId="3" fontId="17" fillId="0" borderId="0" xfId="3" applyNumberFormat="1" applyFont="1" applyAlignment="1">
      <alignment horizontal="center" vertical="top" wrapText="1"/>
    </xf>
    <xf numFmtId="0" fontId="21" fillId="0" borderId="0" xfId="3" quotePrefix="1" applyFont="1" applyAlignment="1">
      <alignment vertical="top" wrapText="1"/>
    </xf>
    <xf numFmtId="3" fontId="41" fillId="0" borderId="0" xfId="3" applyNumberFormat="1" applyFont="1" applyAlignment="1">
      <alignment horizontal="center" vertical="top" wrapText="1"/>
    </xf>
    <xf numFmtId="3" fontId="21" fillId="0" borderId="0" xfId="3" applyNumberFormat="1" applyFont="1" applyAlignment="1">
      <alignment horizontal="center" vertical="top" wrapText="1"/>
    </xf>
    <xf numFmtId="0" fontId="23" fillId="10" borderId="0" xfId="3" quotePrefix="1" applyFont="1" applyFill="1" applyAlignment="1">
      <alignment vertical="top" wrapText="1"/>
    </xf>
    <xf numFmtId="167" fontId="18" fillId="0" borderId="0" xfId="3" quotePrefix="1" applyNumberFormat="1" applyFont="1" applyAlignment="1">
      <alignment vertical="top" wrapText="1"/>
    </xf>
    <xf numFmtId="167" fontId="17" fillId="0" borderId="0" xfId="3" quotePrefix="1" applyNumberFormat="1" applyFont="1" applyAlignment="1">
      <alignment vertical="top" wrapText="1"/>
    </xf>
    <xf numFmtId="0" fontId="41" fillId="0" borderId="0" xfId="0" applyFont="1" applyAlignment="1">
      <alignment vertical="top" wrapText="1"/>
    </xf>
    <xf numFmtId="167" fontId="24" fillId="0" borderId="0" xfId="3" applyNumberFormat="1" applyFont="1" applyAlignment="1">
      <alignment vertical="top" wrapText="1"/>
    </xf>
    <xf numFmtId="0" fontId="18" fillId="0" borderId="7" xfId="3" applyFont="1" applyBorder="1" applyAlignment="1">
      <alignment vertical="top" wrapText="1"/>
    </xf>
    <xf numFmtId="3" fontId="41" fillId="0" borderId="7" xfId="3" applyNumberFormat="1" applyFont="1" applyBorder="1" applyAlignment="1">
      <alignment vertical="top" wrapText="1"/>
    </xf>
    <xf numFmtId="0" fontId="23" fillId="10" borderId="0" xfId="3" applyFont="1" applyFill="1" applyAlignment="1">
      <alignment vertical="top" wrapText="1"/>
    </xf>
    <xf numFmtId="0" fontId="25" fillId="10" borderId="0" xfId="3" applyFont="1" applyFill="1" applyAlignment="1">
      <alignment horizontal="center" vertical="top" wrapText="1"/>
    </xf>
    <xf numFmtId="167" fontId="26" fillId="0" borderId="0" xfId="3" applyNumberFormat="1" applyFont="1" applyAlignment="1">
      <alignment vertical="top" wrapText="1"/>
    </xf>
    <xf numFmtId="167" fontId="26" fillId="0" borderId="0" xfId="3" applyNumberFormat="1" applyFont="1" applyAlignment="1">
      <alignment horizontal="left" vertical="top" wrapText="1"/>
    </xf>
    <xf numFmtId="0" fontId="26" fillId="0" borderId="0" xfId="3" applyFont="1" applyAlignment="1">
      <alignment horizontal="left" vertical="top" wrapText="1"/>
    </xf>
    <xf numFmtId="0" fontId="17" fillId="0" borderId="7" xfId="3" applyFont="1" applyBorder="1" applyAlignment="1">
      <alignment vertical="top" wrapText="1"/>
    </xf>
    <xf numFmtId="168" fontId="41" fillId="0" borderId="7" xfId="3" applyNumberFormat="1" applyFont="1" applyBorder="1" applyAlignment="1">
      <alignment vertical="top" wrapText="1"/>
    </xf>
    <xf numFmtId="3" fontId="18" fillId="0" borderId="0" xfId="3" applyNumberFormat="1" applyFont="1" applyAlignment="1">
      <alignment horizontal="center" vertical="top" wrapText="1"/>
    </xf>
    <xf numFmtId="167" fontId="26" fillId="0" borderId="0" xfId="3" applyNumberFormat="1" applyFont="1" applyAlignment="1">
      <alignment horizontal="center" vertical="top" wrapText="1"/>
    </xf>
    <xf numFmtId="2" fontId="26" fillId="0" borderId="0" xfId="3" applyNumberFormat="1" applyFont="1" applyAlignment="1">
      <alignment horizontal="right" vertical="top" wrapText="1"/>
    </xf>
    <xf numFmtId="3" fontId="41" fillId="0" borderId="0" xfId="3" applyNumberFormat="1" applyFont="1" applyAlignment="1">
      <alignment vertical="top" wrapText="1"/>
    </xf>
    <xf numFmtId="0" fontId="26" fillId="0" borderId="0" xfId="3" applyFont="1" applyAlignment="1">
      <alignment vertical="top" wrapText="1"/>
    </xf>
    <xf numFmtId="167" fontId="27" fillId="0" borderId="0" xfId="3" applyNumberFormat="1" applyFont="1" applyAlignment="1">
      <alignment horizontal="left" vertical="top" wrapText="1"/>
    </xf>
    <xf numFmtId="167" fontId="27" fillId="0" borderId="0" xfId="3" applyNumberFormat="1" applyFont="1" applyAlignment="1">
      <alignment horizontal="center" vertical="top" wrapText="1"/>
    </xf>
    <xf numFmtId="2" fontId="27" fillId="0" borderId="0" xfId="3" applyNumberFormat="1" applyFont="1" applyAlignment="1">
      <alignment horizontal="right" vertical="top" wrapText="1"/>
    </xf>
    <xf numFmtId="2" fontId="17" fillId="0" borderId="0" xfId="3" applyNumberFormat="1" applyFont="1" applyAlignment="1">
      <alignment vertical="top" wrapText="1"/>
    </xf>
    <xf numFmtId="167" fontId="41" fillId="0" borderId="0" xfId="3" applyNumberFormat="1" applyFont="1" applyAlignment="1">
      <alignment horizontal="center" vertical="top" wrapText="1"/>
    </xf>
    <xf numFmtId="167" fontId="28" fillId="0" borderId="0" xfId="3" applyNumberFormat="1" applyFont="1" applyAlignment="1">
      <alignment horizontal="left" vertical="top" wrapText="1"/>
    </xf>
    <xf numFmtId="167" fontId="28" fillId="0" borderId="0" xfId="3" applyNumberFormat="1" applyFont="1" applyAlignment="1">
      <alignment horizontal="center" vertical="top" wrapText="1"/>
    </xf>
    <xf numFmtId="2" fontId="28" fillId="0" borderId="0" xfId="3" applyNumberFormat="1" applyFont="1" applyAlignment="1">
      <alignment horizontal="right" vertical="top" wrapText="1"/>
    </xf>
    <xf numFmtId="167" fontId="18" fillId="0" borderId="0" xfId="3" applyNumberFormat="1" applyFont="1" applyAlignment="1">
      <alignment vertical="top" wrapText="1"/>
    </xf>
    <xf numFmtId="0" fontId="41" fillId="0" borderId="0" xfId="0" applyFont="1" applyAlignment="1">
      <alignment horizontal="center" vertical="top" wrapText="1"/>
    </xf>
    <xf numFmtId="3" fontId="27" fillId="0" borderId="0" xfId="3" applyNumberFormat="1" applyFont="1" applyAlignment="1">
      <alignment horizontal="right" vertical="top" wrapText="1"/>
    </xf>
    <xf numFmtId="3" fontId="17" fillId="0" borderId="0" xfId="3" applyNumberFormat="1" applyFont="1" applyAlignment="1">
      <alignment vertical="top" wrapText="1"/>
    </xf>
    <xf numFmtId="167" fontId="29" fillId="0" borderId="0" xfId="3" applyNumberFormat="1" applyFont="1" applyAlignment="1">
      <alignment horizontal="center" vertical="top" wrapText="1"/>
    </xf>
    <xf numFmtId="0" fontId="24" fillId="0" borderId="8" xfId="3" applyFont="1" applyBorder="1" applyAlignment="1">
      <alignment vertical="top" wrapText="1"/>
    </xf>
    <xf numFmtId="3" fontId="41" fillId="0" borderId="8" xfId="3" applyNumberFormat="1" applyFont="1" applyBorder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quotePrefix="1" applyFont="1" applyAlignment="1">
      <alignment horizontal="right" vertical="top" wrapText="1"/>
    </xf>
    <xf numFmtId="0" fontId="25" fillId="12" borderId="0" xfId="3" applyFont="1" applyFill="1" applyAlignment="1">
      <alignment vertical="top" wrapText="1"/>
    </xf>
    <xf numFmtId="0" fontId="23" fillId="12" borderId="0" xfId="3" applyFont="1" applyFill="1" applyAlignment="1">
      <alignment vertical="top" wrapText="1"/>
    </xf>
    <xf numFmtId="0" fontId="23" fillId="13" borderId="0" xfId="0" applyFont="1" applyFill="1" applyAlignment="1">
      <alignment vertical="top" wrapText="1"/>
    </xf>
    <xf numFmtId="0" fontId="18" fillId="9" borderId="0" xfId="0" applyFont="1" applyFill="1" applyAlignment="1">
      <alignment horizontal="center" vertical="top" wrapText="1"/>
    </xf>
    <xf numFmtId="0" fontId="18" fillId="9" borderId="0" xfId="0" applyFont="1" applyFill="1" applyAlignment="1">
      <alignment vertical="top" wrapText="1"/>
    </xf>
    <xf numFmtId="0" fontId="18" fillId="11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3" fontId="17" fillId="0" borderId="0" xfId="0" applyNumberFormat="1" applyFont="1" applyAlignment="1">
      <alignment horizontal="center" vertical="top" wrapText="1"/>
    </xf>
    <xf numFmtId="3" fontId="32" fillId="11" borderId="0" xfId="0" applyNumberFormat="1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3" fontId="41" fillId="0" borderId="0" xfId="0" applyNumberFormat="1" applyFont="1" applyAlignment="1">
      <alignment horizontal="center" vertical="top" wrapText="1"/>
    </xf>
    <xf numFmtId="3" fontId="33" fillId="0" borderId="0" xfId="0" applyNumberFormat="1" applyFont="1" applyAlignment="1">
      <alignment horizontal="center" vertical="top" wrapText="1"/>
    </xf>
    <xf numFmtId="0" fontId="17" fillId="0" borderId="9" xfId="0" applyFont="1" applyBorder="1" applyAlignment="1">
      <alignment vertical="top" wrapText="1"/>
    </xf>
    <xf numFmtId="3" fontId="17" fillId="0" borderId="9" xfId="0" applyNumberFormat="1" applyFont="1" applyBorder="1" applyAlignment="1">
      <alignment horizontal="center" vertical="top" wrapText="1"/>
    </xf>
    <xf numFmtId="3" fontId="26" fillId="11" borderId="0" xfId="0" applyNumberFormat="1" applyFont="1" applyFill="1" applyAlignment="1">
      <alignment horizontal="center" vertical="top" wrapText="1"/>
    </xf>
    <xf numFmtId="3" fontId="18" fillId="0" borderId="0" xfId="0" applyNumberFormat="1" applyFont="1" applyAlignment="1">
      <alignment horizontal="center" vertical="top" wrapText="1"/>
    </xf>
    <xf numFmtId="0" fontId="18" fillId="0" borderId="0" xfId="3" applyFont="1" applyAlignment="1">
      <alignment horizontal="center" vertical="top" wrapText="1"/>
    </xf>
    <xf numFmtId="9" fontId="17" fillId="0" borderId="0" xfId="3" applyNumberFormat="1" applyFont="1" applyAlignment="1">
      <alignment vertical="top" wrapText="1"/>
    </xf>
    <xf numFmtId="0" fontId="41" fillId="0" borderId="0" xfId="3" applyFont="1" applyAlignment="1">
      <alignment vertical="top" wrapText="1"/>
    </xf>
    <xf numFmtId="43" fontId="17" fillId="0" borderId="0" xfId="1" applyFont="1" applyAlignment="1">
      <alignment horizontal="center" vertical="top" wrapText="1"/>
    </xf>
    <xf numFmtId="3" fontId="17" fillId="0" borderId="10" xfId="3" applyNumberFormat="1" applyFont="1" applyBorder="1" applyAlignment="1">
      <alignment horizontal="center" vertical="top" wrapText="1"/>
    </xf>
    <xf numFmtId="3" fontId="17" fillId="0" borderId="10" xfId="3" applyNumberFormat="1" applyFont="1" applyBorder="1" applyAlignment="1">
      <alignment vertical="top" wrapText="1"/>
    </xf>
    <xf numFmtId="3" fontId="41" fillId="0" borderId="10" xfId="3" applyNumberFormat="1" applyFont="1" applyBorder="1" applyAlignment="1">
      <alignment vertical="top" wrapText="1"/>
    </xf>
    <xf numFmtId="0" fontId="25" fillId="14" borderId="0" xfId="3" applyFont="1" applyFill="1" applyAlignment="1">
      <alignment vertical="top" wrapText="1"/>
    </xf>
    <xf numFmtId="3" fontId="18" fillId="0" borderId="0" xfId="3" applyNumberFormat="1" applyFont="1" applyAlignment="1">
      <alignment vertical="top" wrapText="1"/>
    </xf>
    <xf numFmtId="0" fontId="43" fillId="35" borderId="11" xfId="4" applyFont="1" applyFill="1" applyBorder="1" applyAlignment="1">
      <alignment vertical="top" wrapText="1"/>
    </xf>
    <xf numFmtId="0" fontId="0" fillId="0" borderId="11" xfId="4" applyFont="1" applyBorder="1" applyAlignment="1">
      <alignment vertical="top" wrapText="1"/>
    </xf>
    <xf numFmtId="0" fontId="35" fillId="16" borderId="11" xfId="4" applyFont="1" applyFill="1" applyBorder="1" applyAlignment="1">
      <alignment vertical="top" wrapText="1"/>
    </xf>
    <xf numFmtId="0" fontId="40" fillId="0" borderId="11" xfId="4" applyFont="1" applyBorder="1" applyAlignment="1">
      <alignment vertical="top" wrapText="1"/>
    </xf>
    <xf numFmtId="0" fontId="44" fillId="36" borderId="11" xfId="4" applyFont="1" applyFill="1" applyBorder="1" applyAlignment="1">
      <alignment vertical="top" wrapText="1"/>
    </xf>
    <xf numFmtId="0" fontId="36" fillId="15" borderId="11" xfId="4" applyFont="1" applyFill="1" applyBorder="1" applyAlignment="1">
      <alignment vertical="top" wrapText="1"/>
    </xf>
    <xf numFmtId="169" fontId="40" fillId="0" borderId="11" xfId="4" applyNumberFormat="1" applyFont="1" applyBorder="1" applyAlignment="1">
      <alignment vertical="top" wrapText="1"/>
    </xf>
    <xf numFmtId="0" fontId="35" fillId="17" borderId="11" xfId="4" applyFont="1" applyFill="1" applyBorder="1" applyAlignment="1">
      <alignment vertical="top" wrapText="1"/>
    </xf>
    <xf numFmtId="0" fontId="43" fillId="35" borderId="0" xfId="4" applyFont="1" applyFill="1" applyAlignment="1">
      <alignment horizontal="center" vertical="top" wrapText="1"/>
    </xf>
    <xf numFmtId="0" fontId="0" fillId="2" borderId="11" xfId="4" applyFont="1" applyFill="1" applyBorder="1" applyAlignment="1">
      <alignment vertical="top" wrapText="1"/>
    </xf>
    <xf numFmtId="169" fontId="40" fillId="2" borderId="11" xfId="4" applyNumberFormat="1" applyFont="1" applyFill="1" applyBorder="1" applyAlignment="1">
      <alignment vertical="top" wrapText="1"/>
    </xf>
    <xf numFmtId="171" fontId="41" fillId="2" borderId="11" xfId="4" applyNumberFormat="1" applyFont="1" applyFill="1" applyBorder="1" applyAlignment="1">
      <alignment vertical="top" wrapText="1"/>
    </xf>
    <xf numFmtId="171" fontId="40" fillId="2" borderId="11" xfId="4" applyNumberFormat="1" applyFont="1" applyFill="1" applyBorder="1" applyAlignment="1">
      <alignment vertical="top" wrapText="1"/>
    </xf>
    <xf numFmtId="0" fontId="0" fillId="18" borderId="11" xfId="4" applyFont="1" applyFill="1" applyBorder="1" applyAlignment="1">
      <alignment vertical="top" wrapText="1"/>
    </xf>
    <xf numFmtId="169" fontId="40" fillId="18" borderId="11" xfId="4" applyNumberFormat="1" applyFont="1" applyFill="1" applyBorder="1" applyAlignment="1">
      <alignment vertical="top" wrapText="1"/>
    </xf>
    <xf numFmtId="171" fontId="41" fillId="18" borderId="11" xfId="4" applyNumberFormat="1" applyFont="1" applyFill="1" applyBorder="1" applyAlignment="1">
      <alignment vertical="top" wrapText="1"/>
    </xf>
    <xf numFmtId="171" fontId="40" fillId="18" borderId="11" xfId="4" applyNumberFormat="1" applyFont="1" applyFill="1" applyBorder="1" applyAlignment="1">
      <alignment vertical="top" wrapText="1"/>
    </xf>
    <xf numFmtId="0" fontId="36" fillId="37" borderId="11" xfId="4" applyFont="1" applyFill="1" applyBorder="1" applyAlignment="1">
      <alignment vertical="top" wrapText="1"/>
    </xf>
    <xf numFmtId="169" fontId="41" fillId="18" borderId="11" xfId="4" applyNumberFormat="1" applyFont="1" applyFill="1" applyBorder="1" applyAlignment="1">
      <alignment vertical="top" wrapText="1"/>
    </xf>
    <xf numFmtId="0" fontId="0" fillId="19" borderId="11" xfId="4" applyFont="1" applyFill="1" applyBorder="1" applyAlignment="1">
      <alignment vertical="top" wrapText="1"/>
    </xf>
    <xf numFmtId="169" fontId="40" fillId="19" borderId="11" xfId="4" applyNumberFormat="1" applyFont="1" applyFill="1" applyBorder="1" applyAlignment="1">
      <alignment vertical="top" wrapText="1"/>
    </xf>
    <xf numFmtId="171" fontId="41" fillId="19" borderId="11" xfId="4" applyNumberFormat="1" applyFont="1" applyFill="1" applyBorder="1" applyAlignment="1">
      <alignment vertical="top" wrapText="1"/>
    </xf>
    <xf numFmtId="171" fontId="40" fillId="19" borderId="11" xfId="4" applyNumberFormat="1" applyFont="1" applyFill="1" applyBorder="1" applyAlignment="1">
      <alignment vertical="top" wrapText="1"/>
    </xf>
    <xf numFmtId="0" fontId="0" fillId="20" borderId="11" xfId="4" applyFont="1" applyFill="1" applyBorder="1" applyAlignment="1">
      <alignment vertical="top" wrapText="1"/>
    </xf>
    <xf numFmtId="169" fontId="40" fillId="20" borderId="11" xfId="4" applyNumberFormat="1" applyFont="1" applyFill="1" applyBorder="1" applyAlignment="1">
      <alignment vertical="top" wrapText="1"/>
    </xf>
    <xf numFmtId="171" fontId="41" fillId="20" borderId="11" xfId="4" applyNumberFormat="1" applyFont="1" applyFill="1" applyBorder="1" applyAlignment="1">
      <alignment vertical="top" wrapText="1"/>
    </xf>
    <xf numFmtId="171" fontId="40" fillId="20" borderId="11" xfId="4" applyNumberFormat="1" applyFont="1" applyFill="1" applyBorder="1" applyAlignment="1">
      <alignment vertical="top" wrapText="1"/>
    </xf>
    <xf numFmtId="0" fontId="0" fillId="21" borderId="11" xfId="4" applyFont="1" applyFill="1" applyBorder="1" applyAlignment="1">
      <alignment vertical="top" wrapText="1"/>
    </xf>
    <xf numFmtId="169" fontId="40" fillId="21" borderId="11" xfId="4" applyNumberFormat="1" applyFont="1" applyFill="1" applyBorder="1" applyAlignment="1">
      <alignment vertical="top" wrapText="1"/>
    </xf>
    <xf numFmtId="171" fontId="41" fillId="21" borderId="11" xfId="4" applyNumberFormat="1" applyFont="1" applyFill="1" applyBorder="1" applyAlignment="1">
      <alignment vertical="top" wrapText="1"/>
    </xf>
    <xf numFmtId="171" fontId="40" fillId="21" borderId="11" xfId="4" applyNumberFormat="1" applyFont="1" applyFill="1" applyBorder="1" applyAlignment="1">
      <alignment vertical="top" wrapText="1"/>
    </xf>
    <xf numFmtId="0" fontId="0" fillId="22" borderId="11" xfId="4" applyFont="1" applyFill="1" applyBorder="1" applyAlignment="1">
      <alignment vertical="top" wrapText="1"/>
    </xf>
    <xf numFmtId="169" fontId="40" fillId="22" borderId="11" xfId="4" applyNumberFormat="1" applyFont="1" applyFill="1" applyBorder="1" applyAlignment="1">
      <alignment vertical="top" wrapText="1"/>
    </xf>
    <xf numFmtId="171" fontId="41" fillId="22" borderId="11" xfId="4" applyNumberFormat="1" applyFont="1" applyFill="1" applyBorder="1" applyAlignment="1">
      <alignment vertical="top" wrapText="1"/>
    </xf>
    <xf numFmtId="171" fontId="40" fillId="22" borderId="11" xfId="4" applyNumberFormat="1" applyFont="1" applyFill="1" applyBorder="1" applyAlignment="1">
      <alignment vertical="top" wrapText="1"/>
    </xf>
    <xf numFmtId="173" fontId="40" fillId="35" borderId="11" xfId="4" applyNumberFormat="1" applyFont="1" applyFill="1" applyBorder="1" applyAlignment="1">
      <alignment horizontal="center" vertical="top" wrapText="1"/>
    </xf>
    <xf numFmtId="0" fontId="40" fillId="23" borderId="11" xfId="4" applyFont="1" applyFill="1" applyBorder="1" applyAlignment="1">
      <alignment vertical="top" wrapText="1"/>
    </xf>
    <xf numFmtId="173" fontId="40" fillId="23" borderId="11" xfId="4" applyNumberFormat="1" applyFont="1" applyFill="1" applyBorder="1" applyAlignment="1">
      <alignment vertical="top" wrapText="1"/>
    </xf>
    <xf numFmtId="171" fontId="40" fillId="23" borderId="11" xfId="4" applyNumberFormat="1" applyFont="1" applyFill="1" applyBorder="1" applyAlignment="1">
      <alignment vertical="top" wrapText="1"/>
    </xf>
    <xf numFmtId="0" fontId="40" fillId="24" borderId="11" xfId="4" applyFont="1" applyFill="1" applyBorder="1" applyAlignment="1">
      <alignment horizontal="center" vertical="top" wrapText="1"/>
    </xf>
    <xf numFmtId="0" fontId="40" fillId="0" borderId="11" xfId="4" applyFont="1" applyBorder="1" applyAlignment="1">
      <alignment horizontal="center" vertical="top" wrapText="1"/>
    </xf>
    <xf numFmtId="0" fontId="40" fillId="18" borderId="11" xfId="4" applyFont="1" applyFill="1" applyBorder="1" applyAlignment="1">
      <alignment vertical="top" wrapText="1"/>
    </xf>
    <xf numFmtId="173" fontId="40" fillId="18" borderId="11" xfId="4" applyNumberFormat="1" applyFont="1" applyFill="1" applyBorder="1" applyAlignment="1">
      <alignment vertical="top" wrapText="1"/>
    </xf>
    <xf numFmtId="0" fontId="40" fillId="25" borderId="11" xfId="4" applyFont="1" applyFill="1" applyBorder="1" applyAlignment="1">
      <alignment horizontal="center" vertical="top" wrapText="1"/>
    </xf>
    <xf numFmtId="0" fontId="40" fillId="20" borderId="11" xfId="4" applyFont="1" applyFill="1" applyBorder="1" applyAlignment="1">
      <alignment vertical="top" wrapText="1"/>
    </xf>
    <xf numFmtId="173" fontId="40" fillId="20" borderId="11" xfId="4" applyNumberFormat="1" applyFont="1" applyFill="1" applyBorder="1" applyAlignment="1">
      <alignment vertical="top" wrapText="1"/>
    </xf>
    <xf numFmtId="0" fontId="40" fillId="26" borderId="11" xfId="4" applyFont="1" applyFill="1" applyBorder="1" applyAlignment="1">
      <alignment horizontal="center" vertical="top" wrapText="1"/>
    </xf>
    <xf numFmtId="0" fontId="40" fillId="2" borderId="11" xfId="4" applyFont="1" applyFill="1" applyBorder="1" applyAlignment="1">
      <alignment vertical="top" wrapText="1"/>
    </xf>
    <xf numFmtId="173" fontId="40" fillId="2" borderId="11" xfId="4" applyNumberFormat="1" applyFont="1" applyFill="1" applyBorder="1" applyAlignment="1">
      <alignment vertical="top" wrapText="1"/>
    </xf>
    <xf numFmtId="0" fontId="40" fillId="3" borderId="11" xfId="4" applyFont="1" applyFill="1" applyBorder="1" applyAlignment="1">
      <alignment horizontal="center" vertical="top" wrapText="1"/>
    </xf>
    <xf numFmtId="0" fontId="40" fillId="19" borderId="11" xfId="4" applyFont="1" applyFill="1" applyBorder="1" applyAlignment="1">
      <alignment vertical="top" wrapText="1"/>
    </xf>
    <xf numFmtId="173" fontId="40" fillId="19" borderId="11" xfId="4" applyNumberFormat="1" applyFont="1" applyFill="1" applyBorder="1" applyAlignment="1">
      <alignment vertical="top" wrapText="1"/>
    </xf>
    <xf numFmtId="0" fontId="40" fillId="27" borderId="11" xfId="4" applyFont="1" applyFill="1" applyBorder="1" applyAlignment="1">
      <alignment horizontal="center" vertical="top" wrapText="1"/>
    </xf>
    <xf numFmtId="0" fontId="40" fillId="22" borderId="11" xfId="4" applyFont="1" applyFill="1" applyBorder="1" applyAlignment="1">
      <alignment vertical="top" wrapText="1"/>
    </xf>
    <xf numFmtId="173" fontId="40" fillId="22" borderId="11" xfId="4" applyNumberFormat="1" applyFont="1" applyFill="1" applyBorder="1" applyAlignment="1">
      <alignment vertical="top" wrapText="1"/>
    </xf>
    <xf numFmtId="0" fontId="40" fillId="28" borderId="11" xfId="4" applyFont="1" applyFill="1" applyBorder="1" applyAlignment="1">
      <alignment horizontal="center" vertical="top" wrapText="1"/>
    </xf>
    <xf numFmtId="0" fontId="40" fillId="29" borderId="11" xfId="4" applyFont="1" applyFill="1" applyBorder="1" applyAlignment="1">
      <alignment horizontal="center" vertical="top" wrapText="1"/>
    </xf>
    <xf numFmtId="0" fontId="40" fillId="21" borderId="11" xfId="4" applyFont="1" applyFill="1" applyBorder="1" applyAlignment="1">
      <alignment vertical="top" wrapText="1"/>
    </xf>
    <xf numFmtId="173" fontId="40" fillId="21" borderId="11" xfId="4" applyNumberFormat="1" applyFont="1" applyFill="1" applyBorder="1" applyAlignment="1">
      <alignment vertical="top" wrapText="1"/>
    </xf>
    <xf numFmtId="0" fontId="40" fillId="30" borderId="11" xfId="4" applyFont="1" applyFill="1" applyBorder="1" applyAlignment="1">
      <alignment horizontal="center" vertical="top" wrapText="1"/>
    </xf>
    <xf numFmtId="0" fontId="40" fillId="31" borderId="11" xfId="4" applyFont="1" applyFill="1" applyBorder="1" applyAlignment="1">
      <alignment vertical="top" wrapText="1"/>
    </xf>
    <xf numFmtId="173" fontId="40" fillId="31" borderId="11" xfId="4" applyNumberFormat="1" applyFont="1" applyFill="1" applyBorder="1" applyAlignment="1">
      <alignment vertical="top" wrapText="1"/>
    </xf>
    <xf numFmtId="171" fontId="40" fillId="31" borderId="11" xfId="4" applyNumberFormat="1" applyFont="1" applyFill="1" applyBorder="1" applyAlignment="1">
      <alignment vertical="top" wrapText="1"/>
    </xf>
    <xf numFmtId="0" fontId="40" fillId="32" borderId="11" xfId="4" applyFont="1" applyFill="1" applyBorder="1" applyAlignment="1">
      <alignment horizontal="center" vertical="top" wrapText="1"/>
    </xf>
    <xf numFmtId="0" fontId="43" fillId="35" borderId="11" xfId="0" applyFont="1" applyFill="1" applyBorder="1" applyAlignment="1">
      <alignment vertical="top" wrapText="1"/>
    </xf>
    <xf numFmtId="1" fontId="39" fillId="34" borderId="11" xfId="0" applyNumberFormat="1" applyFont="1" applyFill="1" applyBorder="1" applyAlignment="1">
      <alignment vertical="top" wrapText="1"/>
    </xf>
    <xf numFmtId="1" fontId="0" fillId="0" borderId="11" xfId="0" applyNumberFormat="1" applyBorder="1" applyAlignment="1">
      <alignment vertical="top" wrapText="1"/>
    </xf>
    <xf numFmtId="0" fontId="44" fillId="36" borderId="0" xfId="0" applyFont="1" applyFill="1"/>
    <xf numFmtId="0" fontId="45" fillId="35" borderId="11" xfId="0" applyFont="1" applyFill="1" applyBorder="1" applyAlignment="1">
      <alignment vertical="top" wrapText="1"/>
    </xf>
    <xf numFmtId="172" fontId="44" fillId="36" borderId="11" xfId="0" applyNumberFormat="1" applyFont="1" applyFill="1" applyBorder="1" applyAlignment="1">
      <alignment vertical="top" wrapText="1"/>
    </xf>
    <xf numFmtId="172" fontId="40" fillId="0" borderId="11" xfId="0" applyNumberFormat="1" applyFont="1" applyBorder="1" applyAlignment="1">
      <alignment vertical="top" wrapText="1"/>
    </xf>
    <xf numFmtId="172" fontId="41" fillId="0" borderId="11" xfId="0" applyNumberFormat="1" applyFont="1" applyBorder="1" applyAlignment="1">
      <alignment vertical="top" wrapText="1"/>
    </xf>
    <xf numFmtId="171" fontId="44" fillId="36" borderId="11" xfId="0" applyNumberFormat="1" applyFont="1" applyFill="1" applyBorder="1" applyAlignment="1">
      <alignment vertical="top" wrapText="1"/>
    </xf>
    <xf numFmtId="0" fontId="46" fillId="35" borderId="11" xfId="0" applyFont="1" applyFill="1" applyBorder="1" applyAlignment="1">
      <alignment vertical="top" wrapText="1"/>
    </xf>
    <xf numFmtId="17" fontId="44" fillId="36" borderId="11" xfId="0" applyNumberFormat="1" applyFont="1" applyFill="1" applyBorder="1" applyAlignment="1">
      <alignment vertical="top" wrapText="1"/>
    </xf>
    <xf numFmtId="0" fontId="46" fillId="0" borderId="11" xfId="0" applyFont="1" applyBorder="1" applyAlignment="1">
      <alignment vertical="top" wrapText="1"/>
    </xf>
    <xf numFmtId="171" fontId="44" fillId="0" borderId="11" xfId="0" applyNumberFormat="1" applyFont="1" applyBorder="1" applyAlignment="1">
      <alignment vertical="top" wrapText="1"/>
    </xf>
    <xf numFmtId="0" fontId="44" fillId="38" borderId="11" xfId="0" applyFont="1" applyFill="1" applyBorder="1" applyAlignment="1">
      <alignment vertical="top" wrapText="1"/>
    </xf>
    <xf numFmtId="171" fontId="44" fillId="38" borderId="11" xfId="0" applyNumberFormat="1" applyFont="1" applyFill="1" applyBorder="1" applyAlignment="1">
      <alignment vertical="top" wrapText="1"/>
    </xf>
    <xf numFmtId="0" fontId="44" fillId="39" borderId="11" xfId="0" applyFont="1" applyFill="1" applyBorder="1" applyAlignment="1">
      <alignment vertical="top" wrapText="1"/>
    </xf>
    <xf numFmtId="171" fontId="44" fillId="39" borderId="11" xfId="0" applyNumberFormat="1" applyFont="1" applyFill="1" applyBorder="1" applyAlignment="1">
      <alignment vertical="top" wrapText="1"/>
    </xf>
    <xf numFmtId="17" fontId="43" fillId="35" borderId="11" xfId="0" applyNumberFormat="1" applyFont="1" applyFill="1" applyBorder="1" applyAlignment="1">
      <alignment vertical="top" wrapText="1"/>
    </xf>
    <xf numFmtId="0" fontId="45" fillId="35" borderId="0" xfId="0" applyFont="1" applyFill="1"/>
    <xf numFmtId="0" fontId="43" fillId="35" borderId="0" xfId="0" applyFont="1" applyFill="1"/>
    <xf numFmtId="0" fontId="49" fillId="0" borderId="0" xfId="0" applyFont="1"/>
    <xf numFmtId="168" fontId="50" fillId="0" borderId="0" xfId="0" applyNumberFormat="1" applyFont="1"/>
    <xf numFmtId="170" fontId="51" fillId="0" borderId="0" xfId="0" applyNumberFormat="1" applyFont="1"/>
    <xf numFmtId="0" fontId="52" fillId="41" borderId="0" xfId="0" applyFont="1" applyFill="1"/>
    <xf numFmtId="0" fontId="53" fillId="40" borderId="0" xfId="0" applyFont="1" applyFill="1"/>
    <xf numFmtId="0" fontId="53" fillId="40" borderId="0" xfId="0" applyFont="1" applyFill="1" applyAlignment="1">
      <alignment horizontal="center"/>
    </xf>
    <xf numFmtId="0" fontId="53" fillId="40" borderId="0" xfId="0" applyFont="1" applyFill="1" applyAlignment="1">
      <alignment horizontal="right"/>
    </xf>
    <xf numFmtId="0" fontId="3" fillId="41" borderId="0" xfId="0" applyFont="1" applyFill="1"/>
    <xf numFmtId="0" fontId="0" fillId="41" borderId="0" xfId="0" applyFill="1"/>
    <xf numFmtId="174" fontId="0" fillId="0" borderId="0" xfId="0" applyNumberFormat="1"/>
    <xf numFmtId="170" fontId="0" fillId="0" borderId="0" xfId="0" applyNumberFormat="1"/>
    <xf numFmtId="0" fontId="3" fillId="0" borderId="0" xfId="0" applyFont="1" applyAlignment="1">
      <alignment horizontal="right"/>
    </xf>
    <xf numFmtId="174" fontId="3" fillId="41" borderId="0" xfId="0" applyNumberFormat="1" applyFont="1" applyFill="1"/>
    <xf numFmtId="170" fontId="3" fillId="41" borderId="0" xfId="0" applyNumberFormat="1" applyFont="1" applyFill="1"/>
    <xf numFmtId="174" fontId="54" fillId="0" borderId="0" xfId="0" applyNumberFormat="1" applyFont="1"/>
    <xf numFmtId="174" fontId="55" fillId="0" borderId="0" xfId="0" applyNumberFormat="1" applyFont="1"/>
    <xf numFmtId="174" fontId="55" fillId="0" borderId="0" xfId="0" applyNumberFormat="1" applyFont="1" applyAlignment="1">
      <alignment horizontal="right"/>
    </xf>
    <xf numFmtId="0" fontId="56" fillId="0" borderId="0" xfId="0" applyFont="1"/>
    <xf numFmtId="0" fontId="3" fillId="42" borderId="0" xfId="0" applyFont="1" applyFill="1"/>
    <xf numFmtId="0" fontId="3" fillId="43" borderId="0" xfId="0" applyFont="1" applyFill="1"/>
    <xf numFmtId="170" fontId="56" fillId="0" borderId="0" xfId="0" applyNumberFormat="1" applyFont="1"/>
    <xf numFmtId="0" fontId="53" fillId="44" borderId="0" xfId="0" applyFont="1" applyFill="1"/>
    <xf numFmtId="174" fontId="57" fillId="0" borderId="0" xfId="0" applyNumberFormat="1" applyFont="1"/>
    <xf numFmtId="174" fontId="51" fillId="0" borderId="0" xfId="0" applyNumberFormat="1" applyFont="1"/>
    <xf numFmtId="174" fontId="3" fillId="42" borderId="0" xfId="0" applyNumberFormat="1" applyFont="1" applyFill="1"/>
    <xf numFmtId="174" fontId="3" fillId="43" borderId="0" xfId="0" applyNumberFormat="1" applyFont="1" applyFill="1"/>
    <xf numFmtId="174" fontId="53" fillId="44" borderId="0" xfId="0" applyNumberFormat="1" applyFont="1" applyFill="1"/>
    <xf numFmtId="0" fontId="58" fillId="0" borderId="0" xfId="0" applyFont="1" applyAlignment="1">
      <alignment wrapText="1"/>
    </xf>
    <xf numFmtId="0" fontId="48" fillId="40" borderId="0" xfId="0" applyFont="1" applyFill="1"/>
    <xf numFmtId="0" fontId="48" fillId="40" borderId="0" xfId="0" applyFont="1" applyFill="1"/>
    <xf numFmtId="0" fontId="49" fillId="0" borderId="0" xfId="0" applyFont="1"/>
    <xf numFmtId="0" fontId="0" fillId="0" borderId="0" xfId="0" applyAlignment="1">
      <alignment vertical="top" wrapText="1"/>
    </xf>
    <xf numFmtId="0" fontId="42" fillId="35" borderId="11" xfId="6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44" fillId="36" borderId="11" xfId="6" applyFont="1" applyFill="1" applyBorder="1" applyAlignment="1">
      <alignment vertical="top" wrapText="1"/>
    </xf>
    <xf numFmtId="0" fontId="44" fillId="36" borderId="1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 vertical="top" wrapText="1"/>
    </xf>
    <xf numFmtId="0" fontId="0" fillId="0" borderId="6" xfId="0" applyBorder="1"/>
    <xf numFmtId="43" fontId="0" fillId="0" borderId="1" xfId="1" applyFont="1" applyBorder="1" applyAlignment="1">
      <alignment horizontal="center" vertical="top" wrapText="1"/>
    </xf>
    <xf numFmtId="174" fontId="60" fillId="0" borderId="0" xfId="0" applyNumberFormat="1" applyFont="1"/>
    <xf numFmtId="174" fontId="60" fillId="0" borderId="0" xfId="0" quotePrefix="1" applyNumberFormat="1" applyFont="1"/>
    <xf numFmtId="0" fontId="17" fillId="7" borderId="0" xfId="3" applyFont="1" applyFill="1"/>
    <xf numFmtId="0" fontId="0" fillId="7" borderId="0" xfId="0" applyFill="1"/>
    <xf numFmtId="0" fontId="61" fillId="0" borderId="0" xfId="0" applyFont="1"/>
    <xf numFmtId="0" fontId="0" fillId="0" borderId="0" xfId="0" applyAlignment="1">
      <alignment horizontal="center"/>
    </xf>
    <xf numFmtId="174" fontId="50" fillId="0" borderId="0" xfId="0" applyNumberFormat="1" applyFont="1"/>
    <xf numFmtId="0" fontId="0" fillId="43" borderId="0" xfId="0" applyFill="1"/>
    <xf numFmtId="0" fontId="0" fillId="0" borderId="0" xfId="0" applyAlignment="1">
      <alignment horizontal="center" vertical="top"/>
    </xf>
    <xf numFmtId="174" fontId="3" fillId="0" borderId="0" xfId="0" applyNumberFormat="1" applyFont="1" applyAlignment="1">
      <alignment vertical="top"/>
    </xf>
    <xf numFmtId="43" fontId="1" fillId="0" borderId="0" xfId="1"/>
    <xf numFmtId="3" fontId="41" fillId="0" borderId="0" xfId="3" applyNumberFormat="1" applyFont="1" applyBorder="1" applyAlignment="1">
      <alignment vertical="top" wrapText="1"/>
    </xf>
    <xf numFmtId="174" fontId="3" fillId="0" borderId="0" xfId="0" applyNumberFormat="1" applyFont="1" applyBorder="1" applyAlignment="1">
      <alignment vertical="top"/>
    </xf>
    <xf numFmtId="3" fontId="17" fillId="7" borderId="0" xfId="3" applyNumberFormat="1" applyFont="1" applyFill="1"/>
    <xf numFmtId="174" fontId="62" fillId="0" borderId="0" xfId="0" applyNumberFormat="1" applyFont="1"/>
    <xf numFmtId="168" fontId="0" fillId="7" borderId="0" xfId="0" applyNumberFormat="1" applyFill="1"/>
    <xf numFmtId="0" fontId="23" fillId="45" borderId="0" xfId="3" applyFont="1" applyFill="1"/>
    <xf numFmtId="0" fontId="59" fillId="0" borderId="0" xfId="7"/>
    <xf numFmtId="0" fontId="65" fillId="40" borderId="0" xfId="7" applyFont="1" applyFill="1"/>
    <xf numFmtId="174" fontId="66" fillId="0" borderId="0" xfId="0" applyNumberFormat="1" applyFont="1"/>
    <xf numFmtId="0" fontId="0" fillId="43" borderId="0" xfId="0" applyFill="1" applyAlignment="1">
      <alignment horizontal="center"/>
    </xf>
    <xf numFmtId="174" fontId="68" fillId="43" borderId="0" xfId="0" applyNumberFormat="1" applyFont="1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0" fillId="0" borderId="0" xfId="0" applyFill="1"/>
    <xf numFmtId="174" fontId="68" fillId="0" borderId="0" xfId="0" applyNumberFormat="1" applyFont="1"/>
    <xf numFmtId="174" fontId="69" fillId="0" borderId="0" xfId="0" applyNumberFormat="1" applyFont="1" applyFill="1"/>
    <xf numFmtId="174" fontId="68" fillId="0" borderId="0" xfId="0" applyNumberFormat="1" applyFont="1" applyFill="1"/>
    <xf numFmtId="0" fontId="64" fillId="40" borderId="0" xfId="7" applyFont="1" applyFill="1"/>
    <xf numFmtId="0" fontId="0" fillId="7" borderId="0" xfId="0" applyFill="1" applyAlignment="1">
      <alignment vertical="top" wrapText="1"/>
    </xf>
    <xf numFmtId="0" fontId="0" fillId="46" borderId="0" xfId="0" applyFill="1" applyAlignment="1">
      <alignment horizontal="center"/>
    </xf>
    <xf numFmtId="0" fontId="0" fillId="46" borderId="0" xfId="0" applyFont="1" applyFill="1"/>
    <xf numFmtId="174" fontId="51" fillId="46" borderId="0" xfId="0" applyNumberFormat="1" applyFont="1" applyFill="1"/>
    <xf numFmtId="174" fontId="62" fillId="46" borderId="0" xfId="0" applyNumberFormat="1" applyFont="1" applyFill="1"/>
    <xf numFmtId="0" fontId="68" fillId="43" borderId="0" xfId="0" applyFont="1" applyFill="1"/>
    <xf numFmtId="174" fontId="70" fillId="0" borderId="0" xfId="0" applyNumberFormat="1" applyFont="1"/>
    <xf numFmtId="0" fontId="71" fillId="0" borderId="0" xfId="0" applyFont="1"/>
    <xf numFmtId="0" fontId="72" fillId="11" borderId="0" xfId="0" applyFont="1" applyFill="1"/>
    <xf numFmtId="174" fontId="72" fillId="11" borderId="0" xfId="0" applyNumberFormat="1" applyFont="1" applyFill="1"/>
    <xf numFmtId="17" fontId="53" fillId="40" borderId="0" xfId="0" applyNumberFormat="1" applyFont="1" applyFill="1" applyAlignment="1">
      <alignment horizontal="center"/>
    </xf>
    <xf numFmtId="0" fontId="73" fillId="40" borderId="0" xfId="0" applyFont="1" applyFill="1"/>
    <xf numFmtId="174" fontId="53" fillId="40" borderId="0" xfId="0" applyNumberFormat="1" applyFont="1" applyFill="1"/>
    <xf numFmtId="0" fontId="53" fillId="47" borderId="0" xfId="0" applyFont="1" applyFill="1"/>
    <xf numFmtId="174" fontId="53" fillId="47" borderId="0" xfId="0" applyNumberFormat="1" applyFont="1" applyFill="1"/>
    <xf numFmtId="0" fontId="61" fillId="48" borderId="0" xfId="0" applyFont="1" applyFill="1"/>
    <xf numFmtId="0" fontId="53" fillId="48" borderId="0" xfId="0" applyFont="1" applyFill="1" applyAlignment="1">
      <alignment horizontal="center"/>
    </xf>
    <xf numFmtId="0" fontId="0" fillId="48" borderId="0" xfId="0" applyFill="1"/>
    <xf numFmtId="174" fontId="57" fillId="48" borderId="0" xfId="0" applyNumberFormat="1" applyFont="1" applyFill="1"/>
    <xf numFmtId="174" fontId="50" fillId="48" borderId="0" xfId="0" applyNumberFormat="1" applyFont="1" applyFill="1"/>
    <xf numFmtId="174" fontId="3" fillId="48" borderId="0" xfId="0" applyNumberFormat="1" applyFont="1" applyFill="1"/>
    <xf numFmtId="174" fontId="53" fillId="48" borderId="0" xfId="0" applyNumberFormat="1" applyFont="1" applyFill="1"/>
    <xf numFmtId="174" fontId="0" fillId="48" borderId="0" xfId="0" applyNumberFormat="1" applyFill="1"/>
    <xf numFmtId="174" fontId="62" fillId="48" borderId="0" xfId="0" applyNumberFormat="1" applyFont="1" applyFill="1"/>
    <xf numFmtId="174" fontId="51" fillId="48" borderId="0" xfId="0" applyNumberFormat="1" applyFont="1" applyFill="1"/>
  </cellXfs>
  <cellStyles count="8">
    <cellStyle name="Normal" xfId="4" xr:uid="{00000000-0005-0000-0000-000004000000}"/>
    <cellStyle name="Гиперссылка" xfId="7" builtinId="8"/>
    <cellStyle name="Обычный" xfId="0" builtinId="0"/>
    <cellStyle name="Обычный 2" xfId="3" xr:uid="{00000000-0005-0000-0000-000003000000}"/>
    <cellStyle name="Обычный 3" xfId="5" xr:uid="{00000000-0005-0000-0000-000005000000}"/>
    <cellStyle name="Обычный 4" xfId="6" xr:uid="{00000000-0005-0000-0000-000006000000}"/>
    <cellStyle name="Финансовый" xfId="1" builtinId="3"/>
    <cellStyle name="Финансов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ru-RU"/>
              <a:t>Накопленный денежный поток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>
              <a:prstDash val="solid"/>
            </a:ln>
          </c:spPr>
          <c:marker>
            <c:symbol val="none"/>
          </c:marker>
          <c:cat>
            <c:numRef>
              <c:f>FIN_4_CashFlow!$B$2:$Q$2</c:f>
              <c:numCache>
                <c:formatCode>mmm\-yy</c:formatCode>
                <c:ptCount val="16"/>
                <c:pt idx="0">
                  <c:v>46204</c:v>
                </c:pt>
                <c:pt idx="1">
                  <c:v>46235</c:v>
                </c:pt>
                <c:pt idx="2">
                  <c:v>46266</c:v>
                </c:pt>
                <c:pt idx="3">
                  <c:v>46296</c:v>
                </c:pt>
                <c:pt idx="4">
                  <c:v>46327</c:v>
                </c:pt>
                <c:pt idx="5">
                  <c:v>46357</c:v>
                </c:pt>
                <c:pt idx="6">
                  <c:v>46388</c:v>
                </c:pt>
                <c:pt idx="7">
                  <c:v>46419</c:v>
                </c:pt>
                <c:pt idx="8">
                  <c:v>46447</c:v>
                </c:pt>
                <c:pt idx="9">
                  <c:v>46478</c:v>
                </c:pt>
                <c:pt idx="10">
                  <c:v>46508</c:v>
                </c:pt>
                <c:pt idx="11">
                  <c:v>46539</c:v>
                </c:pt>
                <c:pt idx="12">
                  <c:v>46569</c:v>
                </c:pt>
                <c:pt idx="13">
                  <c:v>46600</c:v>
                </c:pt>
                <c:pt idx="14">
                  <c:v>46631</c:v>
                </c:pt>
                <c:pt idx="15">
                  <c:v>46661</c:v>
                </c:pt>
              </c:numCache>
            </c:numRef>
          </c:cat>
          <c:val>
            <c:numRef>
              <c:f>FIN_4_CashFlow!$B$38:$Q$38</c:f>
              <c:numCache>
                <c:formatCode>General</c:formatCode>
                <c:ptCount val="16"/>
                <c:pt idx="0">
                  <c:v>18280048041.588249</c:v>
                </c:pt>
                <c:pt idx="1">
                  <c:v>8900138984.6929665</c:v>
                </c:pt>
                <c:pt idx="2">
                  <c:v>8008127705.3245735</c:v>
                </c:pt>
                <c:pt idx="3">
                  <c:v>4220561012.0787544</c:v>
                </c:pt>
                <c:pt idx="4">
                  <c:v>562942418.56946373</c:v>
                </c:pt>
                <c:pt idx="5">
                  <c:v>-370973776.4175148</c:v>
                </c:pt>
                <c:pt idx="6">
                  <c:v>-1251966220.5833092</c:v>
                </c:pt>
                <c:pt idx="7">
                  <c:v>-3001495281.5727367</c:v>
                </c:pt>
                <c:pt idx="8">
                  <c:v>-5352186444.108736</c:v>
                </c:pt>
                <c:pt idx="9">
                  <c:v>2595996336.6511431</c:v>
                </c:pt>
                <c:pt idx="10">
                  <c:v>12949257227.930176</c:v>
                </c:pt>
                <c:pt idx="11">
                  <c:v>12949257227.930176</c:v>
                </c:pt>
                <c:pt idx="12">
                  <c:v>12949257227.930176</c:v>
                </c:pt>
                <c:pt idx="13">
                  <c:v>12949257227.930176</c:v>
                </c:pt>
                <c:pt idx="14">
                  <c:v>12949257227.930176</c:v>
                </c:pt>
                <c:pt idx="15">
                  <c:v>12949257227.930176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205-4BF6-A171-20A34EB0B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date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Месяц</a:t>
                </a:r>
              </a:p>
            </c:rich>
          </c:tx>
          <c:overlay val="1"/>
        </c:title>
        <c:numFmt formatCode="mmm\-yy" sourceLinked="1"/>
        <c:majorTickMark val="none"/>
        <c:minorTickMark val="none"/>
        <c:tickLblPos val="nextTo"/>
        <c:crossAx val="100"/>
        <c:crosses val="autoZero"/>
        <c:auto val="1"/>
        <c:lblOffset val="100"/>
        <c:baseTimeUnit val="months"/>
      </c:date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руб.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ru-RU"/>
              <a:t>Выручка и затраты по месяцам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FIN_5_Dashboard!$A$45</c:f>
              <c:strCache>
                <c:ptCount val="1"/>
                <c:pt idx="0">
                  <c:v>12 664 893 937</c:v>
                </c:pt>
              </c:strCache>
            </c:strRef>
          </c:tx>
          <c:spPr>
            <a:ln>
              <a:prstDash val="solid"/>
            </a:ln>
          </c:spPr>
          <c:invertIfNegative val="1"/>
          <c:val>
            <c:numRef>
              <c:f>FIN_5_Dashboard!$B$45:$P$45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FIN_5_Dashboard!$A$44:$P$44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16F-4E04-842B-D8387B867789}"/>
            </c:ext>
          </c:extLst>
        </c:ser>
        <c:ser>
          <c:idx val="1"/>
          <c:order val="1"/>
          <c:tx>
            <c:strRef>
              <c:f>FIN_5_Dashboard!$A$46</c:f>
              <c:strCache>
                <c:ptCount val="1"/>
                <c:pt idx="0">
                  <c:v>12 433 257 146</c:v>
                </c:pt>
              </c:strCache>
            </c:strRef>
          </c:tx>
          <c:spPr>
            <a:ln>
              <a:prstDash val="solid"/>
            </a:ln>
          </c:spPr>
          <c:invertIfNegative val="1"/>
          <c:val>
            <c:numRef>
              <c:f>FIN_5_Dashboard!$B$46:$P$46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FIN_5_Dashboard!$A$44:$P$44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16F-4E04-842B-D8387B867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Месяц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руб.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612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0</xdr:colOff>
      <xdr:row>24</xdr:row>
      <xdr:rowOff>0</xdr:rowOff>
    </xdr:from>
    <xdr:ext cx="612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  <wetp:taskpane dockstate="right" visibility="0" width="422" row="2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85E28B7-0D5C-4F11-B5BF-E062440A0F67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498a901a-9d0d-45e1-bdfe-201e8e92e615&quot;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F4831A19-8D97-4836-A5C1-F4553D0A128C}">
  <we:reference id="wa200010725" version="1.0.0.1" store="ru-RU" storeType="OMEX"/>
  <we:alternateReferences>
    <we:reference id="wa200010725" version="1.0.0.1" store="WA200010725" storeType="OMEX"/>
  </we:alternateReferences>
  <we:properties>
    <we:property name="claude.fileId" value="&quot;6ab5acaa-0c19-4b86-aef5-a9833c7c3b44&quot;"/>
  </we:properties>
  <we:bindings/>
  <we:snapshot xmlns:r="http://schemas.openxmlformats.org/officeDocument/2006/relationships"/>
</we:webextension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817E-4A23-40E0-BFC1-851A5DFA11E1}">
  <dimension ref="A1"/>
  <sheetViews>
    <sheetView workbookViewId="0"/>
  </sheetViews>
  <sheetFormatPr defaultRowHeight="15"/>
  <sheetData>
    <row r="1" spans="1:1" ht="409.6">
      <c r="A1" s="410" t="s">
        <v>1037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15DE-67F0-4168-81F6-9C86F0868E99}">
  <sheetPr>
    <tabColor rgb="FF00B050"/>
  </sheetPr>
  <dimension ref="A1:D5"/>
  <sheetViews>
    <sheetView workbookViewId="0">
      <selection activeCell="B1" sqref="B1"/>
    </sheetView>
  </sheetViews>
  <sheetFormatPr defaultRowHeight="15"/>
  <cols>
    <col min="1" max="1" width="6.7109375" customWidth="1"/>
    <col min="2" max="2" width="61" customWidth="1"/>
    <col min="3" max="4" width="34.28515625" customWidth="1"/>
  </cols>
  <sheetData>
    <row r="1" spans="1:4" s="429" customFormat="1">
      <c r="B1" s="453" t="s">
        <v>984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30">
        <v>1</v>
      </c>
      <c r="B4" s="2" t="s">
        <v>515</v>
      </c>
      <c r="C4" s="431">
        <v>1125000</v>
      </c>
      <c r="D4" s="431">
        <f>C4/(1+FIN_0_Параметры!$B$10)</f>
        <v>922131.14754098363</v>
      </c>
    </row>
    <row r="5" spans="1:4">
      <c r="A5" s="432"/>
      <c r="B5" s="402" t="s">
        <v>1018</v>
      </c>
      <c r="C5" s="408">
        <f>SUM(C4:C4)</f>
        <v>1125000</v>
      </c>
      <c r="D5" s="408">
        <f>SUM(D4:D4)</f>
        <v>922131.14754098363</v>
      </c>
    </row>
  </sheetData>
  <hyperlinks>
    <hyperlink ref="B1" location="FIN_PnL_Финальный!A24" tooltip="Перейти к статье «Аренда транспорта» в P&amp;L" display="Аренда транспорта" xr:uid="{90D12A96-802D-45CD-A736-62E7D0AC93C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6DB2-71FE-48E8-9A58-4F157367B09F}">
  <sheetPr>
    <tabColor rgb="FF00B050"/>
  </sheetPr>
  <dimension ref="A1:E11"/>
  <sheetViews>
    <sheetView workbookViewId="0">
      <selection activeCell="B1" sqref="B1"/>
    </sheetView>
  </sheetViews>
  <sheetFormatPr defaultRowHeight="15"/>
  <cols>
    <col min="1" max="1" width="6.7109375" customWidth="1"/>
    <col min="2" max="2" width="72.42578125" customWidth="1"/>
    <col min="3" max="3" width="20.7109375" bestFit="1" customWidth="1"/>
    <col min="4" max="4" width="22.140625" bestFit="1" customWidth="1"/>
    <col min="5" max="5" width="19.7109375" customWidth="1"/>
  </cols>
  <sheetData>
    <row r="1" spans="1:5" ht="18.75">
      <c r="B1" s="443" t="str">
        <f>HYPERLINK("#'FIN_PnL_Финальный'!A22","ФОТ управленческий")</f>
        <v>ФОТ управленческий</v>
      </c>
    </row>
    <row r="3" spans="1:5">
      <c r="A3" s="388" t="s">
        <v>613</v>
      </c>
      <c r="B3" s="387" t="s">
        <v>461</v>
      </c>
      <c r="C3" s="388" t="s">
        <v>1041</v>
      </c>
      <c r="D3" s="388" t="s">
        <v>1042</v>
      </c>
      <c r="E3" s="388" t="s">
        <v>795</v>
      </c>
    </row>
    <row r="4" spans="1:5">
      <c r="A4" s="430">
        <v>1</v>
      </c>
      <c r="B4" t="s">
        <v>1043</v>
      </c>
      <c r="C4" s="406">
        <f>1743000*9</f>
        <v>15687000</v>
      </c>
      <c r="D4" s="439">
        <f>C4/0.87*1.302-C4</f>
        <v>7789406.8965517282</v>
      </c>
      <c r="E4" s="450">
        <f>C4+D4</f>
        <v>23476406.896551728</v>
      </c>
    </row>
    <row r="5" spans="1:5">
      <c r="A5" s="430">
        <v>2</v>
      </c>
      <c r="B5" t="s">
        <v>1044</v>
      </c>
      <c r="C5" s="406"/>
      <c r="D5" s="439">
        <f>C5/0.87*1.302-C5</f>
        <v>0</v>
      </c>
      <c r="E5" s="450">
        <f>C5+D5</f>
        <v>0</v>
      </c>
    </row>
    <row r="6" spans="1:5">
      <c r="A6" s="430">
        <v>3</v>
      </c>
      <c r="B6" t="s">
        <v>1045</v>
      </c>
      <c r="C6" s="406"/>
      <c r="D6" s="439">
        <f>C6/0.87*1.302-C6</f>
        <v>0</v>
      </c>
      <c r="E6" s="450">
        <f>C6+D6</f>
        <v>0</v>
      </c>
    </row>
    <row r="7" spans="1:5">
      <c r="A7" s="430">
        <v>4</v>
      </c>
      <c r="B7" t="s">
        <v>1046</v>
      </c>
      <c r="C7" s="406"/>
      <c r="D7" s="439">
        <f>C7/0.87*1.302-C7</f>
        <v>0</v>
      </c>
      <c r="E7" s="450">
        <f>C7+D7</f>
        <v>0</v>
      </c>
    </row>
    <row r="8" spans="1:5">
      <c r="A8" s="430">
        <v>5</v>
      </c>
      <c r="B8" t="s">
        <v>1047</v>
      </c>
      <c r="C8" s="406"/>
      <c r="D8" s="439">
        <f>C8/0.87*1.302-C8</f>
        <v>0</v>
      </c>
      <c r="E8" s="450">
        <f>C8+D8</f>
        <v>0</v>
      </c>
    </row>
    <row r="9" spans="1:5">
      <c r="A9" s="430">
        <v>6</v>
      </c>
      <c r="B9" t="s">
        <v>1048</v>
      </c>
      <c r="C9" s="406"/>
      <c r="D9" s="439">
        <f>C9/0.87*1.302-C9</f>
        <v>0</v>
      </c>
      <c r="E9" s="450">
        <f>C9+D9</f>
        <v>0</v>
      </c>
    </row>
    <row r="10" spans="1:5">
      <c r="A10" s="430">
        <v>7</v>
      </c>
      <c r="B10" t="s">
        <v>1049</v>
      </c>
      <c r="C10" s="406"/>
      <c r="D10" s="439">
        <f>C10/0.87*1.302-C10</f>
        <v>0</v>
      </c>
      <c r="E10" s="450">
        <f>C10+D10</f>
        <v>0</v>
      </c>
    </row>
    <row r="11" spans="1:5">
      <c r="A11" s="432"/>
      <c r="B11" s="402" t="s">
        <v>1050</v>
      </c>
      <c r="C11" s="408">
        <f>SUM(C4:C10)</f>
        <v>15687000</v>
      </c>
      <c r="D11" s="446">
        <f>SUM(D4:D10)</f>
        <v>7789406.8965517282</v>
      </c>
      <c r="E11" s="446">
        <f>SUM(E4:E10)</f>
        <v>23476406.896551728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CF3C-3ABE-4798-A72C-6CF3D4D4E228}">
  <sheetPr>
    <tabColor rgb="FF00B050"/>
  </sheetPr>
  <dimension ref="A1:D8"/>
  <sheetViews>
    <sheetView workbookViewId="0">
      <selection activeCell="B1" sqref="B1"/>
    </sheetView>
  </sheetViews>
  <sheetFormatPr defaultRowHeight="15"/>
  <cols>
    <col min="1" max="1" width="6.7109375" customWidth="1"/>
    <col min="2" max="2" width="61" customWidth="1"/>
    <col min="3" max="3" width="23.140625" bestFit="1" customWidth="1"/>
    <col min="4" max="4" width="25.5703125" bestFit="1" customWidth="1"/>
  </cols>
  <sheetData>
    <row r="1" spans="1:4" s="429" customFormat="1">
      <c r="B1" s="453" t="s">
        <v>501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30">
        <v>1</v>
      </c>
      <c r="B4" s="2" t="s">
        <v>503</v>
      </c>
      <c r="C4" s="431">
        <f>'ежемесячные расходы'!E46*9*1000</f>
        <v>0</v>
      </c>
      <c r="D4" s="431">
        <f>C4/(1+FIN_0_Параметры!$B$10)</f>
        <v>0</v>
      </c>
    </row>
    <row r="5" spans="1:4">
      <c r="A5" s="430">
        <v>2</v>
      </c>
      <c r="B5" s="2" t="s">
        <v>478</v>
      </c>
      <c r="C5" s="431">
        <f>'ежемесячные расходы'!E47*9*1000</f>
        <v>2556000</v>
      </c>
      <c r="D5" s="431">
        <f>C5/(1+FIN_0_Параметры!$B$10)</f>
        <v>2095081.9672131147</v>
      </c>
    </row>
    <row r="6" spans="1:4">
      <c r="A6" s="430">
        <v>3</v>
      </c>
      <c r="B6" s="2" t="s">
        <v>504</v>
      </c>
      <c r="C6" s="431">
        <f>'ежемесячные расходы'!E48*9*1000</f>
        <v>383400</v>
      </c>
      <c r="D6" s="431">
        <f>C6/(1+FIN_0_Параметры!$B$10)</f>
        <v>314262.2950819672</v>
      </c>
    </row>
    <row r="7" spans="1:4">
      <c r="A7" s="430">
        <v>4</v>
      </c>
      <c r="B7" s="2" t="s">
        <v>505</v>
      </c>
      <c r="C7" s="431">
        <f>'ежемесячные расходы'!E49*9*1000</f>
        <v>0</v>
      </c>
      <c r="D7" s="431">
        <f>C7/(1+FIN_0_Параметры!$B$10)</f>
        <v>0</v>
      </c>
    </row>
    <row r="8" spans="1:4">
      <c r="A8" s="432"/>
      <c r="B8" s="402" t="s">
        <v>1017</v>
      </c>
      <c r="C8" s="408">
        <f>SUM(C4:C7)</f>
        <v>2939400</v>
      </c>
      <c r="D8" s="408">
        <f>SUM(D4:D7)</f>
        <v>2409344.2622950817</v>
      </c>
    </row>
  </sheetData>
  <hyperlinks>
    <hyperlink ref="B1" location="FIN_PnL_Финальный!A25" tooltip="Перейти к статье «Аутсорсинг» в P&amp;L" display="Аутсорсинг" xr:uid="{7B9B4FF2-C5D3-432A-8579-E0C64206504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AD7F-586A-489E-B3FB-A15B80496691}">
  <sheetPr>
    <tabColor rgb="FF00B050"/>
  </sheetPr>
  <dimension ref="A1:D8"/>
  <sheetViews>
    <sheetView workbookViewId="0">
      <selection activeCell="B1" sqref="B1"/>
    </sheetView>
  </sheetViews>
  <sheetFormatPr defaultRowHeight="15"/>
  <cols>
    <col min="1" max="1" width="6.7109375" customWidth="1"/>
    <col min="2" max="2" width="76.42578125" customWidth="1"/>
    <col min="3" max="3" width="23.140625" bestFit="1" customWidth="1"/>
    <col min="4" max="4" width="25.5703125" bestFit="1" customWidth="1"/>
  </cols>
  <sheetData>
    <row r="1" spans="1:4" s="429" customFormat="1">
      <c r="B1" s="453" t="s">
        <v>538</v>
      </c>
    </row>
    <row r="2" spans="1:4">
      <c r="A2" s="383"/>
    </row>
    <row r="4" spans="1:4">
      <c r="A4" s="388" t="s">
        <v>613</v>
      </c>
      <c r="B4" s="387" t="s">
        <v>1009</v>
      </c>
      <c r="C4" s="388" t="s">
        <v>1016</v>
      </c>
      <c r="D4" s="388" t="s">
        <v>1010</v>
      </c>
    </row>
    <row r="5" spans="1:4" ht="30">
      <c r="A5" s="433">
        <v>1</v>
      </c>
      <c r="B5" s="141" t="s">
        <v>1011</v>
      </c>
      <c r="C5" s="437">
        <v>1163000</v>
      </c>
      <c r="D5" s="431">
        <f>C5/(1+FIN_0_Параметры!$B$10)</f>
        <v>953278.68852459022</v>
      </c>
    </row>
    <row r="6" spans="1:4" ht="30">
      <c r="A6" s="433">
        <v>2</v>
      </c>
      <c r="B6" s="141" t="s">
        <v>1012</v>
      </c>
      <c r="C6" s="436">
        <v>2866500</v>
      </c>
      <c r="D6" s="431">
        <f>C6/(1+FIN_0_Параметры!$B$10)</f>
        <v>2349590.1639344264</v>
      </c>
    </row>
    <row r="7" spans="1:4">
      <c r="A7" s="433">
        <v>3</v>
      </c>
      <c r="B7" s="141" t="s">
        <v>1014</v>
      </c>
      <c r="C7" s="434">
        <v>9000000</v>
      </c>
      <c r="D7" s="431">
        <f>C7/(1+FIN_0_Параметры!$B$10)</f>
        <v>7377049.180327869</v>
      </c>
    </row>
    <row r="8" spans="1:4">
      <c r="A8" s="432"/>
      <c r="B8" s="402" t="s">
        <v>1015</v>
      </c>
      <c r="C8" s="408">
        <f>SUM(C5:C7)</f>
        <v>13029500</v>
      </c>
      <c r="D8" s="408">
        <f>SUM(D5:D7)</f>
        <v>10679918.032786885</v>
      </c>
    </row>
  </sheetData>
  <hyperlinks>
    <hyperlink ref="B1" location="FIN_PnL_Финальный!A26" tooltip="Перейти к статье «Прочие расходы» в P&amp;L" display="Прочие расходы" xr:uid="{795D4EA6-6A4B-4163-9B5A-0F9CBC61D3F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C779-73BC-4D3F-B7A9-949BD485E681}">
  <sheetPr>
    <tabColor rgb="FF00B050"/>
  </sheetPr>
  <dimension ref="A1:E15"/>
  <sheetViews>
    <sheetView workbookViewId="0">
      <selection activeCell="B1" sqref="B1"/>
    </sheetView>
  </sheetViews>
  <sheetFormatPr defaultRowHeight="15"/>
  <cols>
    <col min="1" max="1" width="6.7109375" customWidth="1"/>
    <col min="2" max="2" width="72.42578125" customWidth="1"/>
    <col min="3" max="3" width="20.7109375" bestFit="1" customWidth="1"/>
    <col min="4" max="4" width="22.140625" bestFit="1" customWidth="1"/>
    <col min="5" max="5" width="16.7109375" customWidth="1"/>
  </cols>
  <sheetData>
    <row r="1" spans="1:5" s="429" customFormat="1" ht="18.75">
      <c r="B1" s="443" t="str">
        <f>HYPERLINK("#'FIN_PnL_Финальный'!A29","ФОТ управленческий (ГО)")</f>
        <v>ФОТ управленческий (ГО)</v>
      </c>
    </row>
    <row r="3" spans="1:5">
      <c r="A3" s="388" t="s">
        <v>613</v>
      </c>
      <c r="B3" s="387" t="s">
        <v>461</v>
      </c>
      <c r="C3" s="388" t="s">
        <v>1041</v>
      </c>
      <c r="D3" s="388" t="s">
        <v>1042</v>
      </c>
      <c r="E3" s="388" t="s">
        <v>795</v>
      </c>
    </row>
    <row r="4" spans="1:5">
      <c r="A4" s="430">
        <v>1</v>
      </c>
      <c r="B4" t="s">
        <v>1051</v>
      </c>
      <c r="C4" s="406">
        <f>534000*9</f>
        <v>4806000</v>
      </c>
      <c r="D4" s="439">
        <f>C4/0.87*1.302-C4</f>
        <v>2386427.5862068972</v>
      </c>
      <c r="E4" s="450">
        <f>C4+D4</f>
        <v>7192427.5862068972</v>
      </c>
    </row>
    <row r="5" spans="1:5">
      <c r="A5" s="430">
        <v>2</v>
      </c>
      <c r="B5" t="s">
        <v>1052</v>
      </c>
      <c r="C5" s="406"/>
      <c r="D5" s="439">
        <f>C5/0.87*1.302-C5</f>
        <v>0</v>
      </c>
      <c r="E5" s="450">
        <f>C5+D5</f>
        <v>0</v>
      </c>
    </row>
    <row r="6" spans="1:5">
      <c r="A6" s="430">
        <v>3</v>
      </c>
      <c r="B6" t="s">
        <v>1053</v>
      </c>
      <c r="C6" s="406"/>
      <c r="D6" s="439">
        <f>C6/0.87*1.302-C6</f>
        <v>0</v>
      </c>
      <c r="E6" s="450">
        <f>C6+D6</f>
        <v>0</v>
      </c>
    </row>
    <row r="7" spans="1:5">
      <c r="A7" s="430">
        <v>4</v>
      </c>
      <c r="B7" t="s">
        <v>1054</v>
      </c>
      <c r="C7" s="406"/>
      <c r="D7" s="439">
        <f>C7/0.87*1.302-C7</f>
        <v>0</v>
      </c>
      <c r="E7" s="450">
        <f>C7+D7</f>
        <v>0</v>
      </c>
    </row>
    <row r="8" spans="1:5">
      <c r="A8" s="430">
        <v>5</v>
      </c>
      <c r="B8" t="s">
        <v>1055</v>
      </c>
      <c r="C8" s="406"/>
      <c r="D8" s="439">
        <f>C8/0.87*1.302-C8</f>
        <v>0</v>
      </c>
      <c r="E8" s="450">
        <f>C8+D8</f>
        <v>0</v>
      </c>
    </row>
    <row r="9" spans="1:5">
      <c r="A9" s="430">
        <v>6</v>
      </c>
      <c r="B9" t="s">
        <v>1056</v>
      </c>
      <c r="C9" s="406"/>
      <c r="D9" s="439">
        <f>C9/0.87*1.302-C9</f>
        <v>0</v>
      </c>
      <c r="E9" s="450">
        <f>C9+D9</f>
        <v>0</v>
      </c>
    </row>
    <row r="10" spans="1:5">
      <c r="A10" s="430">
        <v>7</v>
      </c>
      <c r="B10" t="s">
        <v>1057</v>
      </c>
      <c r="C10" s="406"/>
      <c r="D10" s="439">
        <f>C10/0.87*1.302-C10</f>
        <v>0</v>
      </c>
      <c r="E10" s="450">
        <f>C10+D10</f>
        <v>0</v>
      </c>
    </row>
    <row r="11" spans="1:5">
      <c r="A11" s="430">
        <v>8</v>
      </c>
      <c r="B11" t="s">
        <v>1058</v>
      </c>
      <c r="C11" s="406"/>
      <c r="D11" s="439">
        <f>C11/0.87*1.302-C11</f>
        <v>0</v>
      </c>
      <c r="E11" s="450">
        <f>C11+D11</f>
        <v>0</v>
      </c>
    </row>
    <row r="12" spans="1:5">
      <c r="A12" s="430">
        <v>9</v>
      </c>
      <c r="B12" t="s">
        <v>1059</v>
      </c>
      <c r="C12" s="406"/>
      <c r="D12" s="439">
        <f>C12/0.87*1.302-C12</f>
        <v>0</v>
      </c>
      <c r="E12" s="450">
        <f>C12+D12</f>
        <v>0</v>
      </c>
    </row>
    <row r="13" spans="1:5">
      <c r="A13" s="430">
        <v>10</v>
      </c>
      <c r="B13" t="s">
        <v>1060</v>
      </c>
      <c r="C13" s="406"/>
      <c r="D13" s="439">
        <f>C13/0.87*1.302-C13</f>
        <v>0</v>
      </c>
      <c r="E13" s="450">
        <f>C13+D13</f>
        <v>0</v>
      </c>
    </row>
    <row r="14" spans="1:5">
      <c r="A14" s="430">
        <v>11</v>
      </c>
      <c r="B14" t="s">
        <v>1061</v>
      </c>
      <c r="C14" s="406"/>
      <c r="D14" s="439">
        <f>C14/0.87*1.302-C14</f>
        <v>0</v>
      </c>
      <c r="E14" s="450">
        <f>C14+D14</f>
        <v>0</v>
      </c>
    </row>
    <row r="15" spans="1:5">
      <c r="A15" s="432"/>
      <c r="B15" s="402" t="s">
        <v>1062</v>
      </c>
      <c r="C15" s="408">
        <f>SUM(C4:C14)</f>
        <v>4806000</v>
      </c>
      <c r="D15" s="446">
        <f>SUM(D4:D14)</f>
        <v>2386427.5862068972</v>
      </c>
      <c r="E15" s="446">
        <f>SUM(E4:E14)</f>
        <v>7192427.5862068972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6C9F-6C01-4DF6-88C4-98D9F9CB8111}">
  <sheetPr>
    <tabColor rgb="FF00B050"/>
  </sheetPr>
  <dimension ref="A1:D5"/>
  <sheetViews>
    <sheetView workbookViewId="0">
      <selection activeCell="B1" sqref="B1"/>
    </sheetView>
  </sheetViews>
  <sheetFormatPr defaultRowHeight="15"/>
  <cols>
    <col min="1" max="1" width="6.7109375" customWidth="1"/>
    <col min="2" max="2" width="72.42578125" customWidth="1"/>
    <col min="3" max="4" width="38.140625" customWidth="1"/>
  </cols>
  <sheetData>
    <row r="1" spans="1:4" s="429" customFormat="1" ht="18.75">
      <c r="B1" s="443" t="str">
        <f>HYPERLINK("#'FIN_PnL_Финальный'!A30","Содержание офиса")</f>
        <v>Содержание офиса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55">
        <v>1</v>
      </c>
      <c r="B4" s="456" t="s">
        <v>1013</v>
      </c>
      <c r="C4" s="457">
        <v>6300000</v>
      </c>
      <c r="D4" s="458">
        <f>C4/(1+FIN_0_Параметры!$B$10)</f>
        <v>5163934.4262295086</v>
      </c>
    </row>
    <row r="5" spans="1:4">
      <c r="A5" s="445"/>
      <c r="B5" s="459" t="s">
        <v>1063</v>
      </c>
      <c r="C5" s="446">
        <f>SUM(C4:C4)</f>
        <v>6300000</v>
      </c>
      <c r="D5" s="446">
        <f>SUM(D4:D4)</f>
        <v>5163934.4262295086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showGridLines="0" workbookViewId="0">
      <pane ySplit="2" topLeftCell="A15" activePane="bottomLeft" state="frozen"/>
      <selection activeCell="A15" sqref="A15"/>
      <selection pane="bottomLeft" activeCell="C30" sqref="C30"/>
    </sheetView>
  </sheetViews>
  <sheetFormatPr defaultColWidth="9" defaultRowHeight="15"/>
  <cols>
    <col min="1" max="1" width="40" style="138" customWidth="1"/>
    <col min="2" max="2" width="18" style="138" customWidth="1"/>
    <col min="3" max="3" width="16" style="138" customWidth="1"/>
    <col min="4" max="4" width="42" style="138" customWidth="1"/>
    <col min="5" max="5" width="38" style="138" customWidth="1"/>
    <col min="6" max="8" width="12" style="138" customWidth="1"/>
    <col min="9" max="9" width="22" style="138" customWidth="1"/>
    <col min="10" max="10" width="9" style="138" customWidth="1"/>
    <col min="11" max="16384" width="9" style="138"/>
  </cols>
  <sheetData>
    <row r="1" spans="1:6" ht="18" customHeight="1">
      <c r="A1" s="415" t="s">
        <v>38</v>
      </c>
      <c r="B1" s="416"/>
      <c r="C1" s="416"/>
      <c r="D1" s="416"/>
      <c r="E1" s="416"/>
      <c r="F1" s="416"/>
    </row>
    <row r="2" spans="1:6" ht="14.65" customHeight="1" thickBot="1">
      <c r="A2" s="151" t="s">
        <v>39</v>
      </c>
      <c r="B2" s="151" t="s">
        <v>40</v>
      </c>
      <c r="C2" s="151" t="s">
        <v>41</v>
      </c>
      <c r="D2" s="151" t="s">
        <v>42</v>
      </c>
      <c r="E2" s="151" t="s">
        <v>43</v>
      </c>
      <c r="F2" s="151" t="s">
        <v>44</v>
      </c>
    </row>
    <row r="3" spans="1:6" ht="14.65" customHeight="1" thickBot="1">
      <c r="A3" s="417" t="s">
        <v>45</v>
      </c>
      <c r="B3" s="418"/>
      <c r="C3" s="418"/>
      <c r="D3" s="418"/>
      <c r="E3" s="418"/>
      <c r="F3" s="418"/>
    </row>
    <row r="4" spans="1:6" ht="28.5" customHeight="1">
      <c r="A4" s="152" t="s">
        <v>46</v>
      </c>
      <c r="B4" s="153">
        <v>46204</v>
      </c>
      <c r="C4" s="152" t="s">
        <v>2</v>
      </c>
      <c r="D4" s="152" t="s">
        <v>47</v>
      </c>
      <c r="E4" s="152" t="s">
        <v>48</v>
      </c>
      <c r="F4" s="152" t="s">
        <v>49</v>
      </c>
    </row>
    <row r="5" spans="1:6" ht="28.5" customHeight="1">
      <c r="A5" s="152" t="s">
        <v>50</v>
      </c>
      <c r="B5" s="154">
        <f>MAX(График!$F$2:$F$33)</f>
        <v>46477</v>
      </c>
      <c r="C5" s="152" t="s">
        <v>2</v>
      </c>
      <c r="D5" s="152" t="s">
        <v>51</v>
      </c>
      <c r="E5" s="152" t="s">
        <v>52</v>
      </c>
      <c r="F5" s="152" t="s">
        <v>49</v>
      </c>
    </row>
    <row r="6" spans="1:6">
      <c r="A6" s="152" t="s">
        <v>53</v>
      </c>
      <c r="B6" s="155">
        <f>B5-B4+1</f>
        <v>274</v>
      </c>
      <c r="C6" s="152" t="s">
        <v>54</v>
      </c>
      <c r="D6" s="152" t="s">
        <v>55</v>
      </c>
      <c r="E6" s="152"/>
      <c r="F6" s="152" t="s">
        <v>56</v>
      </c>
    </row>
    <row r="7" spans="1:6" ht="28.5" customHeight="1">
      <c r="A7" s="152" t="s">
        <v>53</v>
      </c>
      <c r="B7" s="156">
        <f>B6/30.4375</f>
        <v>9.0020533880903493</v>
      </c>
      <c r="C7" s="152" t="s">
        <v>57</v>
      </c>
      <c r="D7" s="152" t="s">
        <v>55</v>
      </c>
      <c r="E7" s="152" t="s">
        <v>58</v>
      </c>
      <c r="F7" s="152" t="s">
        <v>56</v>
      </c>
    </row>
    <row r="8" spans="1:6" ht="14.65" customHeight="1" thickBot="1">
      <c r="A8" s="152" t="s">
        <v>59</v>
      </c>
      <c r="B8" s="157">
        <v>70</v>
      </c>
      <c r="C8" s="152" t="s">
        <v>60</v>
      </c>
      <c r="D8" s="152" t="s">
        <v>61</v>
      </c>
      <c r="E8" s="152"/>
      <c r="F8" s="152" t="s">
        <v>49</v>
      </c>
    </row>
    <row r="9" spans="1:6" ht="14.65" customHeight="1" thickBot="1">
      <c r="A9" s="417" t="s">
        <v>62</v>
      </c>
      <c r="B9" s="418"/>
      <c r="C9" s="418"/>
      <c r="D9" s="418"/>
      <c r="E9" s="418"/>
      <c r="F9" s="418"/>
    </row>
    <row r="10" spans="1:6" ht="28.5" customHeight="1">
      <c r="A10" s="152" t="s">
        <v>63</v>
      </c>
      <c r="B10" s="158">
        <v>0.22</v>
      </c>
      <c r="C10" s="152" t="s">
        <v>25</v>
      </c>
      <c r="D10" s="152" t="s">
        <v>64</v>
      </c>
      <c r="E10" s="152" t="s">
        <v>65</v>
      </c>
      <c r="F10" s="152" t="s">
        <v>49</v>
      </c>
    </row>
    <row r="11" spans="1:6">
      <c r="A11" s="152" t="s">
        <v>66</v>
      </c>
      <c r="B11" s="158">
        <v>0.25</v>
      </c>
      <c r="C11" s="152" t="s">
        <v>25</v>
      </c>
      <c r="D11" s="152" t="s">
        <v>64</v>
      </c>
      <c r="E11" s="152" t="s">
        <v>67</v>
      </c>
      <c r="F11" s="152" t="s">
        <v>49</v>
      </c>
    </row>
    <row r="12" spans="1:6" ht="42.75" customHeight="1">
      <c r="A12" s="152" t="s">
        <v>68</v>
      </c>
      <c r="B12" s="158">
        <v>0.11</v>
      </c>
      <c r="C12" s="152" t="s">
        <v>69</v>
      </c>
      <c r="D12" s="152" t="s">
        <v>70</v>
      </c>
      <c r="E12" s="152" t="s">
        <v>71</v>
      </c>
      <c r="F12" s="152" t="s">
        <v>49</v>
      </c>
    </row>
    <row r="13" spans="1:6" ht="28.5" customHeight="1">
      <c r="A13" s="152" t="s">
        <v>72</v>
      </c>
      <c r="B13" s="159">
        <f>B12/(1-B11)</f>
        <v>0.14666666666666667</v>
      </c>
      <c r="C13" s="152" t="s">
        <v>69</v>
      </c>
      <c r="D13" s="152" t="s">
        <v>73</v>
      </c>
      <c r="E13" s="152"/>
      <c r="F13" s="152" t="s">
        <v>56</v>
      </c>
    </row>
    <row r="14" spans="1:6" ht="114.4" customHeight="1" thickBot="1">
      <c r="A14" s="152" t="s">
        <v>22</v>
      </c>
      <c r="B14" s="160" t="s">
        <v>74</v>
      </c>
      <c r="C14" s="152"/>
      <c r="D14" s="152"/>
      <c r="E14" s="152"/>
      <c r="F14" s="152"/>
    </row>
    <row r="15" spans="1:6" ht="14.65" customHeight="1" thickBot="1">
      <c r="A15" s="417" t="s">
        <v>75</v>
      </c>
      <c r="B15" s="418"/>
      <c r="C15" s="418"/>
      <c r="D15" s="418"/>
      <c r="E15" s="418"/>
      <c r="F15" s="418"/>
    </row>
    <row r="16" spans="1:6" ht="28.5" customHeight="1">
      <c r="A16" s="152" t="s">
        <v>76</v>
      </c>
      <c r="B16" s="158">
        <v>0.3</v>
      </c>
      <c r="C16" s="152" t="s">
        <v>77</v>
      </c>
      <c r="D16" s="152" t="s">
        <v>78</v>
      </c>
      <c r="E16" s="152"/>
      <c r="F16" s="152" t="s">
        <v>49</v>
      </c>
    </row>
    <row r="17" spans="1:6" ht="28.5" customHeight="1">
      <c r="A17" s="152" t="s">
        <v>79</v>
      </c>
      <c r="B17" s="158">
        <v>0.5</v>
      </c>
      <c r="C17" s="152" t="s">
        <v>80</v>
      </c>
      <c r="D17" s="152" t="s">
        <v>81</v>
      </c>
      <c r="E17" s="152"/>
      <c r="F17" s="152" t="s">
        <v>49</v>
      </c>
    </row>
    <row r="18" spans="1:6" ht="28.5" customHeight="1">
      <c r="A18" s="152" t="s">
        <v>82</v>
      </c>
      <c r="B18" s="158">
        <v>0.05</v>
      </c>
      <c r="C18" s="152" t="s">
        <v>83</v>
      </c>
      <c r="D18" s="152" t="s">
        <v>84</v>
      </c>
      <c r="E18" s="152"/>
      <c r="F18" s="152" t="s">
        <v>49</v>
      </c>
    </row>
    <row r="19" spans="1:6" ht="42.75" customHeight="1">
      <c r="A19" s="152" t="s">
        <v>85</v>
      </c>
      <c r="B19" s="158">
        <v>0</v>
      </c>
      <c r="C19" s="152" t="s">
        <v>86</v>
      </c>
      <c r="D19" s="152" t="s">
        <v>87</v>
      </c>
      <c r="E19" s="152" t="s">
        <v>88</v>
      </c>
      <c r="F19" s="152" t="s">
        <v>49</v>
      </c>
    </row>
    <row r="20" spans="1:6" ht="28.5" customHeight="1">
      <c r="A20" s="152" t="s">
        <v>89</v>
      </c>
      <c r="B20" s="161">
        <f>B16</f>
        <v>0.3</v>
      </c>
      <c r="C20" s="152" t="s">
        <v>86</v>
      </c>
      <c r="D20" s="152" t="s">
        <v>90</v>
      </c>
      <c r="E20" s="152"/>
      <c r="F20" s="152" t="s">
        <v>49</v>
      </c>
    </row>
    <row r="21" spans="1:6" ht="28.5" customHeight="1">
      <c r="A21" s="152" t="s">
        <v>91</v>
      </c>
      <c r="B21" s="162">
        <v>0.15</v>
      </c>
      <c r="C21" s="152" t="s">
        <v>86</v>
      </c>
      <c r="D21" s="152" t="s">
        <v>90</v>
      </c>
      <c r="E21" s="152"/>
      <c r="F21" s="152" t="s">
        <v>92</v>
      </c>
    </row>
    <row r="22" spans="1:6" ht="42.75" customHeight="1">
      <c r="A22" s="152" t="s">
        <v>93</v>
      </c>
      <c r="B22" s="157">
        <v>2</v>
      </c>
      <c r="C22" s="152" t="s">
        <v>57</v>
      </c>
      <c r="D22" s="152" t="s">
        <v>94</v>
      </c>
      <c r="E22" s="152" t="s">
        <v>95</v>
      </c>
      <c r="F22" s="152" t="s">
        <v>49</v>
      </c>
    </row>
    <row r="23" spans="1:6">
      <c r="A23" s="152" t="s">
        <v>96</v>
      </c>
      <c r="B23" s="157">
        <v>0</v>
      </c>
      <c r="C23" s="152" t="s">
        <v>57</v>
      </c>
      <c r="D23" s="152" t="s">
        <v>97</v>
      </c>
      <c r="E23" s="152"/>
      <c r="F23" s="152" t="s">
        <v>49</v>
      </c>
    </row>
    <row r="24" spans="1:6" ht="28.5" customHeight="1">
      <c r="A24" s="152" t="s">
        <v>98</v>
      </c>
      <c r="B24" s="157">
        <v>1</v>
      </c>
      <c r="C24" s="152" t="s">
        <v>57</v>
      </c>
      <c r="D24" s="152" t="s">
        <v>97</v>
      </c>
      <c r="E24" s="152" t="s">
        <v>99</v>
      </c>
      <c r="F24" s="152" t="s">
        <v>49</v>
      </c>
    </row>
    <row r="25" spans="1:6" ht="28.5" customHeight="1">
      <c r="A25" s="152" t="s">
        <v>100</v>
      </c>
      <c r="B25" s="157">
        <v>1</v>
      </c>
      <c r="C25" s="152" t="s">
        <v>57</v>
      </c>
      <c r="D25" s="152" t="s">
        <v>97</v>
      </c>
      <c r="E25" s="152" t="s">
        <v>99</v>
      </c>
      <c r="F25" s="152" t="s">
        <v>49</v>
      </c>
    </row>
    <row r="26" spans="1:6" ht="28.9" customHeight="1" thickBot="1">
      <c r="A26" s="152" t="s">
        <v>101</v>
      </c>
      <c r="B26" s="157">
        <v>1</v>
      </c>
      <c r="C26" s="152" t="s">
        <v>57</v>
      </c>
      <c r="D26" s="152" t="s">
        <v>97</v>
      </c>
      <c r="E26" s="152"/>
      <c r="F26" s="152" t="s">
        <v>49</v>
      </c>
    </row>
    <row r="27" spans="1:6" ht="14.65" customHeight="1" thickBot="1">
      <c r="A27" s="417" t="s">
        <v>102</v>
      </c>
      <c r="B27" s="418"/>
      <c r="C27" s="418"/>
      <c r="D27" s="418"/>
      <c r="E27" s="418"/>
      <c r="F27" s="418"/>
    </row>
    <row r="28" spans="1:6" ht="28.5" customHeight="1">
      <c r="A28" s="152" t="s">
        <v>103</v>
      </c>
      <c r="B28" s="158">
        <v>1E-3</v>
      </c>
      <c r="C28" s="152" t="s">
        <v>69</v>
      </c>
      <c r="D28" s="152" t="s">
        <v>104</v>
      </c>
      <c r="E28" s="152"/>
      <c r="F28" s="152" t="s">
        <v>49</v>
      </c>
    </row>
    <row r="29" spans="1:6" ht="28.5" customHeight="1">
      <c r="A29" s="152" t="s">
        <v>105</v>
      </c>
      <c r="B29" s="158">
        <v>1.4999999999999999E-2</v>
      </c>
      <c r="C29" s="152" t="s">
        <v>106</v>
      </c>
      <c r="D29" s="152" t="s">
        <v>107</v>
      </c>
      <c r="E29" s="152" t="s">
        <v>108</v>
      </c>
      <c r="F29" s="152" t="s">
        <v>49</v>
      </c>
    </row>
    <row r="30" spans="1:6" ht="28.5" customHeight="1">
      <c r="A30" s="152" t="s">
        <v>109</v>
      </c>
      <c r="B30" s="158">
        <v>0.03</v>
      </c>
      <c r="C30" s="152" t="s">
        <v>110</v>
      </c>
      <c r="D30" s="152" t="s">
        <v>111</v>
      </c>
      <c r="E30" s="152" t="s">
        <v>112</v>
      </c>
      <c r="F30" s="152" t="s">
        <v>49</v>
      </c>
    </row>
    <row r="31" spans="1:6" ht="42.75" customHeight="1">
      <c r="A31" s="152" t="s">
        <v>113</v>
      </c>
      <c r="B31" s="163"/>
      <c r="C31" s="152" t="s">
        <v>114</v>
      </c>
      <c r="D31" s="152" t="s">
        <v>115</v>
      </c>
      <c r="E31" s="152" t="s">
        <v>116</v>
      </c>
      <c r="F31" s="152" t="s">
        <v>49</v>
      </c>
    </row>
    <row r="32" spans="1:6" ht="30">
      <c r="A32" s="152" t="s">
        <v>117</v>
      </c>
      <c r="B32" s="158">
        <v>0.2</v>
      </c>
      <c r="C32" s="152" t="s">
        <v>83</v>
      </c>
      <c r="D32" s="152" t="s">
        <v>97</v>
      </c>
      <c r="E32" s="152" t="s">
        <v>118</v>
      </c>
      <c r="F32" s="152" t="s">
        <v>49</v>
      </c>
    </row>
    <row r="33" spans="1:6" ht="28.5" customHeight="1">
      <c r="A33" s="152" t="s">
        <v>119</v>
      </c>
      <c r="B33" s="157">
        <v>0</v>
      </c>
      <c r="C33" s="152" t="s">
        <v>120</v>
      </c>
      <c r="D33" s="152" t="s">
        <v>121</v>
      </c>
      <c r="E33" s="152" t="s">
        <v>122</v>
      </c>
      <c r="F33" s="152" t="s">
        <v>49</v>
      </c>
    </row>
    <row r="34" spans="1:6" ht="42.75" customHeight="1">
      <c r="A34" s="152" t="s">
        <v>123</v>
      </c>
      <c r="B34" s="164" t="s">
        <v>124</v>
      </c>
      <c r="C34" s="152"/>
      <c r="D34" s="152" t="s">
        <v>125</v>
      </c>
      <c r="E34" s="152" t="s">
        <v>126</v>
      </c>
      <c r="F34" s="152" t="s">
        <v>56</v>
      </c>
    </row>
    <row r="35" spans="1:6">
      <c r="A35" s="144"/>
      <c r="B35" s="144"/>
      <c r="C35" s="144"/>
      <c r="D35" s="144"/>
      <c r="E35" s="144"/>
      <c r="F35" s="144"/>
    </row>
    <row r="36" spans="1:6">
      <c r="A36" s="142" t="s">
        <v>127</v>
      </c>
      <c r="B36" s="142"/>
      <c r="C36" s="142"/>
      <c r="D36" s="142"/>
      <c r="E36" s="142"/>
      <c r="F36" s="142"/>
    </row>
    <row r="37" spans="1:6">
      <c r="A37" s="144" t="s">
        <v>128</v>
      </c>
      <c r="B37" s="165">
        <v>0.13</v>
      </c>
      <c r="C37" s="144" t="s">
        <v>25</v>
      </c>
      <c r="D37" s="144" t="s">
        <v>97</v>
      </c>
      <c r="E37" s="144" t="s">
        <v>48</v>
      </c>
      <c r="F37" s="144" t="s">
        <v>49</v>
      </c>
    </row>
    <row r="38" spans="1:6">
      <c r="A38" s="144" t="s">
        <v>129</v>
      </c>
      <c r="B38" s="165">
        <v>0.32</v>
      </c>
      <c r="C38" s="144" t="s">
        <v>25</v>
      </c>
      <c r="D38" s="144" t="s">
        <v>97</v>
      </c>
      <c r="E38" s="144" t="s">
        <v>48</v>
      </c>
      <c r="F38" s="144" t="s">
        <v>49</v>
      </c>
    </row>
    <row r="39" spans="1:6">
      <c r="A39" s="144" t="s">
        <v>130</v>
      </c>
      <c r="B39" s="166">
        <f>((1+B38)/(1-B37))</f>
        <v>1.517241379310345</v>
      </c>
      <c r="C39" s="144" t="s">
        <v>131</v>
      </c>
      <c r="D39" s="144" t="s">
        <v>132</v>
      </c>
      <c r="E39" s="144"/>
      <c r="F39" s="144" t="s">
        <v>56</v>
      </c>
    </row>
    <row r="40" spans="1:6">
      <c r="A40" s="144" t="s">
        <v>133</v>
      </c>
      <c r="B40" s="167">
        <f>'ежемесячные расходы'!$F$20*1000</f>
        <v>2000000</v>
      </c>
      <c r="C40" s="144" t="s">
        <v>134</v>
      </c>
      <c r="D40" s="144" t="s">
        <v>135</v>
      </c>
      <c r="E40" s="144" t="s">
        <v>136</v>
      </c>
      <c r="F40" s="144" t="s">
        <v>56</v>
      </c>
    </row>
    <row r="41" spans="1:6" ht="30">
      <c r="A41" s="144" t="s">
        <v>137</v>
      </c>
      <c r="B41" s="168">
        <v>1600000</v>
      </c>
      <c r="C41" s="144" t="s">
        <v>134</v>
      </c>
      <c r="D41" s="144" t="s">
        <v>138</v>
      </c>
      <c r="E41" s="144" t="s">
        <v>139</v>
      </c>
      <c r="F41" s="144" t="s">
        <v>49</v>
      </c>
    </row>
    <row r="42" spans="1:6" ht="30">
      <c r="A42" s="144" t="s">
        <v>140</v>
      </c>
      <c r="B42" s="168">
        <v>15</v>
      </c>
      <c r="C42" s="144" t="s">
        <v>141</v>
      </c>
      <c r="D42" s="144" t="s">
        <v>142</v>
      </c>
      <c r="E42" s="144" t="s">
        <v>143</v>
      </c>
      <c r="F42" s="144" t="s">
        <v>49</v>
      </c>
    </row>
    <row r="43" spans="1:6">
      <c r="A43" s="144" t="s">
        <v>144</v>
      </c>
      <c r="B43" s="169">
        <v>60</v>
      </c>
      <c r="C43" s="144" t="s">
        <v>60</v>
      </c>
      <c r="D43" s="144" t="s">
        <v>145</v>
      </c>
      <c r="E43" s="144" t="s">
        <v>146</v>
      </c>
      <c r="F43" s="144" t="s">
        <v>56</v>
      </c>
    </row>
    <row r="44" spans="1:6" ht="30">
      <c r="A44" s="144" t="s">
        <v>147</v>
      </c>
      <c r="B44" s="169">
        <v>10</v>
      </c>
      <c r="C44" s="144" t="s">
        <v>141</v>
      </c>
      <c r="D44" s="144" t="s">
        <v>148</v>
      </c>
      <c r="E44" s="144" t="s">
        <v>149</v>
      </c>
      <c r="F44" s="144" t="s">
        <v>56</v>
      </c>
    </row>
    <row r="45" spans="1:6" ht="30">
      <c r="A45" s="144" t="s">
        <v>150</v>
      </c>
      <c r="B45" s="170">
        <f>EDATE(B4,9)-1</f>
        <v>46477</v>
      </c>
      <c r="C45" s="144" t="s">
        <v>2</v>
      </c>
      <c r="D45" s="144" t="s">
        <v>151</v>
      </c>
      <c r="E45" s="144" t="s">
        <v>152</v>
      </c>
      <c r="F45" s="144" t="s">
        <v>56</v>
      </c>
    </row>
    <row r="46" spans="1:6">
      <c r="A46" s="144" t="s">
        <v>153</v>
      </c>
      <c r="B46" s="166" t="str">
        <f>IF(B5&lt;=B45,"OK","ПРЕВЫШЕНИЕ")</f>
        <v>OK</v>
      </c>
      <c r="C46" s="144"/>
      <c r="D46" s="144" t="s">
        <v>154</v>
      </c>
      <c r="E46" s="144"/>
      <c r="F46" s="144" t="s">
        <v>56</v>
      </c>
    </row>
    <row r="47" spans="1:6">
      <c r="A47" s="144" t="s">
        <v>155</v>
      </c>
      <c r="B47" s="167">
        <f>FIN_3_PnL!$B$16</f>
        <v>109534012554.97546</v>
      </c>
      <c r="C47" s="144" t="s">
        <v>15</v>
      </c>
      <c r="D47" s="144" t="s">
        <v>156</v>
      </c>
      <c r="E47" s="144" t="s">
        <v>157</v>
      </c>
      <c r="F47" s="144" t="s">
        <v>56</v>
      </c>
    </row>
    <row r="48" spans="1:6">
      <c r="A48" s="144" t="s">
        <v>158</v>
      </c>
      <c r="B48" s="167">
        <f>FIN_3_PnL!$B$28</f>
        <v>133631495317.07007</v>
      </c>
      <c r="C48" s="144" t="s">
        <v>15</v>
      </c>
      <c r="D48" s="144" t="s">
        <v>156</v>
      </c>
      <c r="E48" s="144" t="s">
        <v>157</v>
      </c>
      <c r="F48" s="144" t="s">
        <v>56</v>
      </c>
    </row>
    <row r="49" spans="1:6">
      <c r="A49" s="144" t="s">
        <v>159</v>
      </c>
      <c r="B49" s="167">
        <f>FIN_3_PnL!$B$27</f>
        <v>21780734395.985992</v>
      </c>
      <c r="C49" s="144" t="s">
        <v>15</v>
      </c>
      <c r="D49" s="144" t="s">
        <v>160</v>
      </c>
      <c r="E49" s="144" t="s">
        <v>157</v>
      </c>
      <c r="F49" s="144" t="s">
        <v>56</v>
      </c>
    </row>
    <row r="50" spans="1:6">
      <c r="A50" s="144"/>
      <c r="B50" s="144"/>
      <c r="C50" s="144"/>
      <c r="D50" s="144"/>
      <c r="E50" s="144"/>
      <c r="F50" s="144"/>
    </row>
    <row r="51" spans="1:6">
      <c r="A51" s="144"/>
      <c r="B51" s="144"/>
      <c r="C51" s="144"/>
      <c r="D51" s="144"/>
      <c r="E51" s="144"/>
      <c r="F51" s="144"/>
    </row>
    <row r="52" spans="1:6">
      <c r="A52" s="144"/>
      <c r="B52" s="144"/>
      <c r="C52" s="144"/>
      <c r="D52" s="144"/>
      <c r="E52" s="144"/>
      <c r="F52" s="144"/>
    </row>
  </sheetData>
  <mergeCells count="5">
    <mergeCell ref="A1:F1"/>
    <mergeCell ref="A9:F9"/>
    <mergeCell ref="A27:F27"/>
    <mergeCell ref="A3:F3"/>
    <mergeCell ref="A15:F15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5"/>
  <sheetViews>
    <sheetView showGridLines="0" topLeftCell="A88" zoomScaleNormal="100" workbookViewId="0">
      <selection activeCell="G22" sqref="G22:G34"/>
    </sheetView>
  </sheetViews>
  <sheetFormatPr defaultRowHeight="15"/>
  <cols>
    <col min="2" max="2" width="36.28515625" bestFit="1" customWidth="1"/>
    <col min="4" max="4" width="21" bestFit="1" customWidth="1"/>
    <col min="5" max="5" width="23.7109375" bestFit="1" customWidth="1"/>
    <col min="6" max="6" width="18.42578125" bestFit="1" customWidth="1"/>
  </cols>
  <sheetData>
    <row r="1" spans="1:7" ht="60">
      <c r="A1" s="275" t="s">
        <v>459</v>
      </c>
      <c r="B1" s="97"/>
      <c r="C1" s="98"/>
      <c r="D1" s="97"/>
      <c r="E1" s="97"/>
      <c r="F1" s="97"/>
      <c r="G1" s="428"/>
    </row>
    <row r="2" spans="1:7">
      <c r="A2" s="97"/>
      <c r="B2" s="97"/>
      <c r="C2" s="98"/>
      <c r="D2" s="97"/>
      <c r="E2" s="97"/>
      <c r="F2" s="97"/>
      <c r="G2" s="428"/>
    </row>
    <row r="3" spans="1:7">
      <c r="A3" s="58"/>
      <c r="B3" s="58"/>
      <c r="C3" s="96"/>
      <c r="D3" s="58"/>
      <c r="E3" s="58"/>
      <c r="F3" s="58"/>
      <c r="G3" s="428"/>
    </row>
    <row r="4" spans="1:7" ht="30">
      <c r="A4" s="276" t="s">
        <v>460</v>
      </c>
      <c r="B4" s="100"/>
      <c r="C4" s="101"/>
      <c r="D4" s="99"/>
      <c r="E4" s="99"/>
      <c r="F4" s="102"/>
      <c r="G4" s="428"/>
    </row>
    <row r="5" spans="1:7" ht="71.25" customHeight="1">
      <c r="A5" s="277" t="s">
        <v>415</v>
      </c>
      <c r="B5" s="278" t="s">
        <v>461</v>
      </c>
      <c r="C5" s="277" t="s">
        <v>462</v>
      </c>
      <c r="D5" s="277" t="s">
        <v>463</v>
      </c>
      <c r="E5" s="277" t="s">
        <v>464</v>
      </c>
      <c r="F5" s="278" t="s">
        <v>465</v>
      </c>
      <c r="G5" s="428"/>
    </row>
    <row r="6" spans="1:7">
      <c r="A6" s="70"/>
      <c r="B6" s="279" t="s">
        <v>466</v>
      </c>
      <c r="C6" s="103"/>
      <c r="D6" s="104"/>
      <c r="E6" s="105"/>
      <c r="G6" s="428"/>
    </row>
    <row r="7" spans="1:7">
      <c r="B7" s="280" t="s">
        <v>467</v>
      </c>
      <c r="C7" s="281">
        <v>1</v>
      </c>
      <c r="D7" s="108"/>
      <c r="E7" s="109"/>
      <c r="F7" s="108"/>
      <c r="G7" s="428"/>
    </row>
    <row r="8" spans="1:7">
      <c r="B8" s="280" t="s">
        <v>468</v>
      </c>
      <c r="C8" s="281">
        <v>1</v>
      </c>
      <c r="D8" s="108"/>
      <c r="E8" s="109"/>
      <c r="F8" s="108"/>
      <c r="G8" s="428"/>
    </row>
    <row r="9" spans="1:7">
      <c r="B9" s="280" t="s">
        <v>469</v>
      </c>
      <c r="C9" s="281">
        <v>1</v>
      </c>
      <c r="D9" s="108"/>
      <c r="E9" s="109"/>
      <c r="F9" s="108"/>
      <c r="G9" s="428"/>
    </row>
    <row r="10" spans="1:7" ht="99.75" customHeight="1">
      <c r="B10" s="280" t="s">
        <v>470</v>
      </c>
      <c r="C10" s="107"/>
      <c r="D10" s="108"/>
      <c r="E10" s="109"/>
      <c r="F10" s="108"/>
      <c r="G10" s="428"/>
    </row>
    <row r="11" spans="1:7" ht="30">
      <c r="B11" s="280" t="s">
        <v>471</v>
      </c>
      <c r="C11" s="107"/>
      <c r="D11" s="108"/>
      <c r="E11" s="109"/>
      <c r="F11" s="108"/>
      <c r="G11" s="428"/>
    </row>
    <row r="12" spans="1:7">
      <c r="B12" s="280" t="s">
        <v>472</v>
      </c>
      <c r="C12" s="107"/>
      <c r="D12" s="108"/>
      <c r="E12" s="109"/>
      <c r="F12" s="108"/>
      <c r="G12" s="428"/>
    </row>
    <row r="13" spans="1:7">
      <c r="B13" s="280" t="s">
        <v>473</v>
      </c>
      <c r="C13" s="281">
        <v>1</v>
      </c>
      <c r="D13" s="108"/>
      <c r="E13" s="109"/>
      <c r="F13" s="108"/>
      <c r="G13" s="428"/>
    </row>
    <row r="14" spans="1:7">
      <c r="B14" s="280" t="s">
        <v>474</v>
      </c>
      <c r="C14" s="281">
        <v>1</v>
      </c>
      <c r="D14" s="108"/>
      <c r="E14" s="109"/>
      <c r="F14" s="108"/>
      <c r="G14" s="428"/>
    </row>
    <row r="15" spans="1:7">
      <c r="B15" s="280" t="s">
        <v>475</v>
      </c>
      <c r="C15" s="281">
        <v>0</v>
      </c>
      <c r="D15" s="108"/>
      <c r="E15" s="109"/>
      <c r="F15" s="108"/>
      <c r="G15" s="428"/>
    </row>
    <row r="16" spans="1:7">
      <c r="B16" s="280" t="s">
        <v>476</v>
      </c>
      <c r="C16" s="281">
        <v>1</v>
      </c>
      <c r="D16" s="108"/>
      <c r="E16" s="109"/>
      <c r="F16" s="108"/>
      <c r="G16" s="428"/>
    </row>
    <row r="17" spans="1:7">
      <c r="B17" s="280" t="s">
        <v>477</v>
      </c>
      <c r="C17" s="281">
        <v>1</v>
      </c>
      <c r="D17" s="108"/>
      <c r="E17" s="109"/>
      <c r="F17" s="108"/>
      <c r="G17" s="428"/>
    </row>
    <row r="18" spans="1:7">
      <c r="B18" s="280" t="s">
        <v>478</v>
      </c>
      <c r="C18" s="281">
        <v>0</v>
      </c>
      <c r="D18" s="108"/>
      <c r="E18" s="109"/>
      <c r="F18" s="108"/>
      <c r="G18" s="428"/>
    </row>
    <row r="19" spans="1:7">
      <c r="B19" s="106"/>
      <c r="D19" s="108"/>
      <c r="E19" s="109"/>
      <c r="F19" s="282" t="s">
        <v>479</v>
      </c>
      <c r="G19" s="428"/>
    </row>
    <row r="20" spans="1:7" ht="75">
      <c r="A20" s="283" t="s">
        <v>480</v>
      </c>
      <c r="B20" s="106"/>
      <c r="C20" s="284">
        <f>SUM(C7:C18)</f>
        <v>7</v>
      </c>
      <c r="D20" s="108"/>
      <c r="E20" s="111"/>
      <c r="F20" s="285">
        <v>2000</v>
      </c>
      <c r="G20" s="454" t="s">
        <v>426</v>
      </c>
    </row>
    <row r="21" spans="1:7">
      <c r="A21" s="110"/>
      <c r="B21" s="106"/>
      <c r="C21" s="107"/>
      <c r="D21" s="108"/>
      <c r="E21" s="111"/>
      <c r="F21" s="112"/>
      <c r="G21" s="428"/>
    </row>
    <row r="22" spans="1:7">
      <c r="A22" s="70"/>
      <c r="B22" s="279" t="s">
        <v>481</v>
      </c>
      <c r="C22" s="113"/>
      <c r="D22" s="114"/>
      <c r="E22" s="105"/>
      <c r="G22" s="428"/>
    </row>
    <row r="23" spans="1:7">
      <c r="B23" s="280" t="s">
        <v>482</v>
      </c>
      <c r="C23" s="281">
        <v>1</v>
      </c>
      <c r="D23" s="108"/>
      <c r="E23" s="109"/>
      <c r="F23" s="108"/>
      <c r="G23" s="428"/>
    </row>
    <row r="24" spans="1:7">
      <c r="B24" s="280" t="s">
        <v>483</v>
      </c>
      <c r="C24" s="281">
        <v>1</v>
      </c>
      <c r="D24" s="108"/>
      <c r="E24" s="109"/>
      <c r="F24" s="108"/>
      <c r="G24" s="428"/>
    </row>
    <row r="25" spans="1:7">
      <c r="B25" s="280" t="s">
        <v>484</v>
      </c>
      <c r="C25" s="281">
        <v>1</v>
      </c>
      <c r="D25" s="108"/>
      <c r="E25" s="109"/>
      <c r="F25" s="108"/>
      <c r="G25" s="428"/>
    </row>
    <row r="26" spans="1:7">
      <c r="B26" s="280" t="s">
        <v>485</v>
      </c>
      <c r="C26" s="281">
        <v>1</v>
      </c>
      <c r="D26" s="108"/>
      <c r="E26" s="109"/>
      <c r="F26" s="108"/>
      <c r="G26" s="428"/>
    </row>
    <row r="27" spans="1:7">
      <c r="B27" s="280" t="s">
        <v>486</v>
      </c>
      <c r="C27" s="281">
        <v>1</v>
      </c>
      <c r="D27" s="108"/>
      <c r="E27" s="109"/>
      <c r="F27" s="108"/>
      <c r="G27" s="428"/>
    </row>
    <row r="28" spans="1:7">
      <c r="B28" s="280" t="s">
        <v>487</v>
      </c>
      <c r="C28" s="281">
        <v>1</v>
      </c>
      <c r="D28" s="108"/>
      <c r="E28" s="109"/>
      <c r="F28" s="108"/>
      <c r="G28" s="428"/>
    </row>
    <row r="29" spans="1:7">
      <c r="B29" s="280" t="s">
        <v>488</v>
      </c>
      <c r="C29" s="281">
        <v>1</v>
      </c>
      <c r="D29" s="108"/>
      <c r="E29" s="109"/>
      <c r="F29" s="108"/>
      <c r="G29" s="428"/>
    </row>
    <row r="30" spans="1:7">
      <c r="B30" s="280" t="s">
        <v>489</v>
      </c>
      <c r="C30" s="281">
        <v>1</v>
      </c>
      <c r="D30" s="108"/>
      <c r="E30" s="109"/>
      <c r="F30" s="108"/>
      <c r="G30" s="428"/>
    </row>
    <row r="31" spans="1:7" ht="30">
      <c r="B31" s="280" t="s">
        <v>490</v>
      </c>
      <c r="C31" s="281">
        <v>1</v>
      </c>
      <c r="D31" s="115"/>
      <c r="E31" s="109"/>
      <c r="F31" s="108"/>
      <c r="G31" s="428"/>
    </row>
    <row r="32" spans="1:7" ht="30">
      <c r="B32" s="280" t="s">
        <v>490</v>
      </c>
      <c r="C32" s="281">
        <v>1</v>
      </c>
      <c r="D32" s="115"/>
      <c r="E32" s="109"/>
      <c r="F32" s="108"/>
      <c r="G32" s="428"/>
    </row>
    <row r="33" spans="1:7">
      <c r="B33" s="286" t="s">
        <v>491</v>
      </c>
      <c r="C33" s="287">
        <v>1</v>
      </c>
      <c r="D33" s="116"/>
      <c r="E33" s="117"/>
      <c r="F33" s="288" t="s">
        <v>479</v>
      </c>
      <c r="G33" s="428"/>
    </row>
    <row r="34" spans="1:7" ht="60">
      <c r="A34" s="283" t="s">
        <v>492</v>
      </c>
      <c r="B34" s="118"/>
      <c r="C34" s="119"/>
      <c r="D34" s="120"/>
      <c r="E34" s="118"/>
      <c r="F34" s="289">
        <v>1000</v>
      </c>
      <c r="G34" s="454" t="s">
        <v>426</v>
      </c>
    </row>
    <row r="35" spans="1:7">
      <c r="A35" s="121"/>
      <c r="B35" s="121"/>
      <c r="C35" s="121"/>
      <c r="D35" s="121"/>
      <c r="E35" s="121"/>
      <c r="F35" s="121"/>
    </row>
    <row r="36" spans="1:7" ht="90">
      <c r="A36" s="275" t="s">
        <v>493</v>
      </c>
      <c r="B36" s="122"/>
      <c r="C36" s="123"/>
      <c r="D36" s="122"/>
      <c r="E36" s="122"/>
      <c r="F36" s="124"/>
      <c r="G36" s="428"/>
    </row>
    <row r="37" spans="1:7" ht="28.5" customHeight="1">
      <c r="A37" s="210" t="s">
        <v>415</v>
      </c>
      <c r="B37" s="209" t="s">
        <v>461</v>
      </c>
      <c r="C37" s="210" t="s">
        <v>462</v>
      </c>
      <c r="D37" s="210" t="s">
        <v>463</v>
      </c>
      <c r="E37" s="210" t="s">
        <v>464</v>
      </c>
      <c r="F37" s="209" t="s">
        <v>494</v>
      </c>
      <c r="G37" s="428"/>
    </row>
    <row r="38" spans="1:7">
      <c r="A38" s="290">
        <v>1</v>
      </c>
      <c r="B38" s="217" t="s">
        <v>495</v>
      </c>
      <c r="C38" s="94"/>
      <c r="D38" s="95"/>
      <c r="E38" s="125"/>
      <c r="F38" s="95"/>
      <c r="G38" s="428"/>
    </row>
    <row r="39" spans="1:7">
      <c r="A39" s="273" t="s">
        <v>496</v>
      </c>
      <c r="B39" s="232" t="s">
        <v>497</v>
      </c>
      <c r="C39" s="234">
        <v>1</v>
      </c>
      <c r="D39" s="268">
        <v>170</v>
      </c>
      <c r="E39" s="291">
        <v>1</v>
      </c>
      <c r="F39" s="255">
        <f>D39/0.87*1.32*C39*E39</f>
        <v>257.93103448275861</v>
      </c>
      <c r="G39" s="428"/>
    </row>
    <row r="40" spans="1:7">
      <c r="A40" s="273" t="s">
        <v>496</v>
      </c>
      <c r="B40" s="232" t="s">
        <v>498</v>
      </c>
      <c r="C40" s="234">
        <v>3</v>
      </c>
      <c r="D40" s="268">
        <v>160</v>
      </c>
      <c r="E40" s="291">
        <v>1</v>
      </c>
      <c r="F40" s="255">
        <f>D40/0.87*1.32*C40*E40</f>
        <v>728.27586206896558</v>
      </c>
      <c r="G40" s="428"/>
    </row>
    <row r="41" spans="1:7">
      <c r="A41" s="126"/>
      <c r="B41" s="270" t="s">
        <v>499</v>
      </c>
      <c r="C41" s="88"/>
      <c r="D41" s="90"/>
      <c r="E41" s="127"/>
      <c r="F41" s="271">
        <f>SUM(F39:F40)</f>
        <v>986.20689655172418</v>
      </c>
      <c r="G41" s="428"/>
    </row>
    <row r="42" spans="1:7" ht="120">
      <c r="A42" s="243" t="s">
        <v>500</v>
      </c>
      <c r="B42" s="65"/>
      <c r="C42" s="128"/>
      <c r="D42" s="65"/>
      <c r="E42" s="65"/>
      <c r="F42" s="244">
        <f>F41</f>
        <v>986.20689655172418</v>
      </c>
      <c r="G42" s="454" t="s">
        <v>426</v>
      </c>
    </row>
    <row r="43" spans="1:7">
      <c r="A43" s="61"/>
      <c r="B43" s="61"/>
      <c r="C43" s="92"/>
      <c r="D43" s="61"/>
      <c r="E43" s="61"/>
      <c r="F43" s="95"/>
    </row>
    <row r="44" spans="1:7" ht="30">
      <c r="A44" s="275" t="s">
        <v>501</v>
      </c>
      <c r="B44" s="122"/>
      <c r="C44" s="123"/>
      <c r="D44" s="122"/>
      <c r="E44" s="122"/>
      <c r="F44" s="438"/>
    </row>
    <row r="45" spans="1:7" ht="71.25" customHeight="1">
      <c r="A45" s="210" t="s">
        <v>415</v>
      </c>
      <c r="B45" s="209" t="s">
        <v>279</v>
      </c>
      <c r="C45" s="210" t="s">
        <v>462</v>
      </c>
      <c r="D45" s="209" t="s">
        <v>416</v>
      </c>
      <c r="E45" s="209" t="s">
        <v>502</v>
      </c>
      <c r="F45" s="438"/>
    </row>
    <row r="46" spans="1:7">
      <c r="A46" s="272">
        <v>1</v>
      </c>
      <c r="B46" s="232" t="s">
        <v>503</v>
      </c>
      <c r="C46" s="272">
        <v>0</v>
      </c>
      <c r="D46" s="232">
        <v>60</v>
      </c>
      <c r="E46" s="292">
        <f>C46*D46*1.42</f>
        <v>0</v>
      </c>
      <c r="F46" s="438"/>
    </row>
    <row r="47" spans="1:7">
      <c r="A47" s="272">
        <v>2</v>
      </c>
      <c r="B47" s="232" t="s">
        <v>478</v>
      </c>
      <c r="C47" s="272">
        <v>1</v>
      </c>
      <c r="D47" s="232">
        <v>200</v>
      </c>
      <c r="E47" s="292">
        <f>C47*D47*1.42</f>
        <v>284</v>
      </c>
      <c r="F47" s="438"/>
    </row>
    <row r="48" spans="1:7">
      <c r="A48" s="272">
        <v>3</v>
      </c>
      <c r="B48" s="232" t="s">
        <v>504</v>
      </c>
      <c r="C48" s="272">
        <v>1</v>
      </c>
      <c r="D48" s="232">
        <v>30</v>
      </c>
      <c r="E48" s="292">
        <f>C48*D48*1.42</f>
        <v>42.599999999999994</v>
      </c>
      <c r="F48" s="438"/>
    </row>
    <row r="49" spans="1:6">
      <c r="A49" s="272">
        <v>4</v>
      </c>
      <c r="B49" s="232" t="s">
        <v>505</v>
      </c>
      <c r="C49" s="272">
        <v>0</v>
      </c>
      <c r="D49" s="232">
        <v>60</v>
      </c>
      <c r="E49" s="292">
        <f>C49*D49*1.42</f>
        <v>0</v>
      </c>
      <c r="F49" s="438"/>
    </row>
    <row r="50" spans="1:6" ht="75">
      <c r="A50" s="243" t="s">
        <v>506</v>
      </c>
      <c r="B50" s="66"/>
      <c r="C50" s="67"/>
      <c r="D50" s="68"/>
      <c r="E50" s="244">
        <f>SUM(E46:E49)</f>
        <v>326.60000000000002</v>
      </c>
      <c r="F50" s="435">
        <f>E50*9*1000</f>
        <v>2939400</v>
      </c>
    </row>
    <row r="51" spans="1:6">
      <c r="A51" s="58"/>
      <c r="B51" s="58"/>
      <c r="C51" s="96"/>
      <c r="D51" s="58"/>
      <c r="E51" s="58"/>
      <c r="F51" s="64"/>
    </row>
    <row r="52" spans="1:6" ht="60">
      <c r="A52" s="275" t="s">
        <v>507</v>
      </c>
      <c r="B52" s="122"/>
      <c r="C52" s="123"/>
      <c r="D52" s="122"/>
      <c r="E52" s="122"/>
      <c r="F52" s="427"/>
    </row>
    <row r="53" spans="1:6" ht="30">
      <c r="A53" s="210" t="s">
        <v>415</v>
      </c>
      <c r="B53" s="209" t="s">
        <v>279</v>
      </c>
      <c r="C53" s="210" t="s">
        <v>165</v>
      </c>
      <c r="D53" s="209" t="s">
        <v>508</v>
      </c>
      <c r="E53" s="209" t="s">
        <v>277</v>
      </c>
      <c r="F53" s="427"/>
    </row>
    <row r="54" spans="1:6">
      <c r="A54" s="272">
        <v>1</v>
      </c>
      <c r="B54" s="232" t="s">
        <v>509</v>
      </c>
      <c r="C54" s="234">
        <v>1</v>
      </c>
      <c r="D54" s="268">
        <v>250</v>
      </c>
      <c r="E54" s="255">
        <f>C54*D54</f>
        <v>250</v>
      </c>
      <c r="F54" s="427"/>
    </row>
    <row r="55" spans="1:6">
      <c r="A55" s="272">
        <v>2</v>
      </c>
      <c r="B55" s="232" t="s">
        <v>510</v>
      </c>
      <c r="C55" s="234">
        <v>1</v>
      </c>
      <c r="D55" s="268">
        <v>450</v>
      </c>
      <c r="E55" s="255">
        <f>C55*D55</f>
        <v>450</v>
      </c>
      <c r="F55" s="427"/>
    </row>
    <row r="56" spans="1:6">
      <c r="A56" s="272">
        <v>3</v>
      </c>
      <c r="B56" s="58"/>
      <c r="C56" s="53"/>
      <c r="D56" s="64"/>
      <c r="E56" s="255">
        <f>C56*D56</f>
        <v>0</v>
      </c>
      <c r="F56" s="427"/>
    </row>
    <row r="57" spans="1:6">
      <c r="A57" s="272">
        <v>4</v>
      </c>
      <c r="B57" s="58"/>
      <c r="C57" s="53"/>
      <c r="D57" s="64"/>
      <c r="E57" s="64"/>
      <c r="F57" s="427"/>
    </row>
    <row r="58" spans="1:6" ht="75">
      <c r="A58" s="243" t="s">
        <v>511</v>
      </c>
      <c r="B58" s="65"/>
      <c r="C58" s="67"/>
      <c r="D58" s="68"/>
      <c r="E58" s="244">
        <f>SUM(E54:E57)</f>
        <v>700</v>
      </c>
      <c r="F58" s="141">
        <f>E58*9</f>
        <v>6300</v>
      </c>
    </row>
    <row r="59" spans="1:6">
      <c r="A59" s="126"/>
      <c r="B59" s="58"/>
      <c r="C59" s="53"/>
      <c r="D59" s="64"/>
      <c r="E59" s="64"/>
      <c r="F59" s="58"/>
    </row>
    <row r="60" spans="1:6" ht="45">
      <c r="A60" s="274" t="s">
        <v>1008</v>
      </c>
      <c r="B60" s="122"/>
      <c r="C60" s="123"/>
      <c r="D60" s="122"/>
      <c r="E60" s="122"/>
      <c r="F60" s="427"/>
    </row>
    <row r="61" spans="1:6" ht="30">
      <c r="A61" s="210" t="s">
        <v>415</v>
      </c>
      <c r="B61" s="209" t="s">
        <v>279</v>
      </c>
      <c r="C61" s="210" t="s">
        <v>513</v>
      </c>
      <c r="D61" s="209" t="s">
        <v>1006</v>
      </c>
      <c r="E61" s="209" t="s">
        <v>1005</v>
      </c>
      <c r="F61" s="427"/>
    </row>
    <row r="62" spans="1:6">
      <c r="A62" s="126"/>
      <c r="B62" s="232" t="s">
        <v>515</v>
      </c>
      <c r="C62" s="234">
        <v>9</v>
      </c>
      <c r="D62" s="268">
        <v>125000</v>
      </c>
      <c r="E62" s="255">
        <f>C62*D62</f>
        <v>1125000</v>
      </c>
      <c r="F62" s="427"/>
    </row>
    <row r="63" spans="1:6">
      <c r="A63" s="126"/>
      <c r="B63" s="232" t="s">
        <v>516</v>
      </c>
      <c r="C63" s="293">
        <v>4.5</v>
      </c>
      <c r="D63" s="268">
        <v>1050000</v>
      </c>
      <c r="E63" s="255">
        <f>C63*D63</f>
        <v>4725000</v>
      </c>
      <c r="F63" s="427"/>
    </row>
    <row r="64" spans="1:6" ht="30">
      <c r="A64" s="126"/>
      <c r="B64" s="232" t="s">
        <v>517</v>
      </c>
      <c r="C64" s="293">
        <v>4.5</v>
      </c>
      <c r="D64" s="255">
        <v>780000</v>
      </c>
      <c r="E64" s="255">
        <f>C64*D64</f>
        <v>3510000</v>
      </c>
      <c r="F64" s="427"/>
    </row>
    <row r="65" spans="1:10">
      <c r="A65" s="129"/>
      <c r="B65" s="130"/>
      <c r="C65" s="294">
        <v>0</v>
      </c>
      <c r="D65" s="295">
        <v>0</v>
      </c>
      <c r="E65" s="296">
        <f>C65*D65</f>
        <v>0</v>
      </c>
      <c r="F65" s="427"/>
    </row>
    <row r="66" spans="1:10">
      <c r="A66" s="126"/>
      <c r="B66" s="58"/>
      <c r="C66" s="53"/>
      <c r="D66" s="64"/>
      <c r="E66" s="255">
        <f>SUM(E62:E65)</f>
        <v>9360000</v>
      </c>
      <c r="F66" s="427"/>
    </row>
    <row r="67" spans="1:10">
      <c r="A67" s="126"/>
      <c r="B67" s="58"/>
      <c r="C67" s="53"/>
      <c r="D67" s="64"/>
      <c r="E67" s="64"/>
      <c r="F67" s="427"/>
    </row>
    <row r="68" spans="1:10" ht="30">
      <c r="A68" s="297" t="s">
        <v>518</v>
      </c>
      <c r="B68" s="133"/>
      <c r="C68" s="134"/>
      <c r="D68" s="133"/>
      <c r="E68" s="133"/>
      <c r="F68" s="427"/>
    </row>
    <row r="69" spans="1:10" ht="30">
      <c r="A69" s="210" t="s">
        <v>415</v>
      </c>
      <c r="B69" s="209" t="s">
        <v>279</v>
      </c>
      <c r="C69" s="210" t="s">
        <v>513</v>
      </c>
      <c r="D69" s="209" t="s">
        <v>1007</v>
      </c>
      <c r="E69" s="209" t="s">
        <v>1005</v>
      </c>
      <c r="F69" s="427"/>
    </row>
    <row r="70" spans="1:10">
      <c r="A70" s="126"/>
      <c r="B70" s="232" t="s">
        <v>519</v>
      </c>
      <c r="C70" s="234">
        <v>4</v>
      </c>
      <c r="D70" s="268">
        <v>35000</v>
      </c>
      <c r="E70" s="255">
        <f>C70*D70</f>
        <v>140000</v>
      </c>
      <c r="F70" s="427"/>
    </row>
    <row r="71" spans="1:10">
      <c r="A71" s="126"/>
      <c r="B71" s="232" t="s">
        <v>520</v>
      </c>
      <c r="C71" s="234">
        <v>4</v>
      </c>
      <c r="D71" s="268">
        <v>32000</v>
      </c>
      <c r="E71" s="255">
        <f>C71*D71</f>
        <v>128000</v>
      </c>
      <c r="F71" s="427"/>
    </row>
    <row r="72" spans="1:10">
      <c r="A72" s="126"/>
      <c r="B72" s="232" t="s">
        <v>521</v>
      </c>
      <c r="C72" s="234">
        <v>8</v>
      </c>
      <c r="D72" s="268">
        <v>40000</v>
      </c>
      <c r="E72" s="255">
        <f>C72*D72</f>
        <v>320000</v>
      </c>
      <c r="F72" s="427"/>
    </row>
    <row r="73" spans="1:10">
      <c r="A73" s="126"/>
      <c r="B73" s="232" t="s">
        <v>522</v>
      </c>
      <c r="C73" s="234">
        <v>0</v>
      </c>
      <c r="D73" s="268"/>
      <c r="E73" s="255">
        <f>C73*D73</f>
        <v>0</v>
      </c>
      <c r="F73" s="427"/>
    </row>
    <row r="74" spans="1:10">
      <c r="A74" s="126"/>
      <c r="B74" s="232" t="s">
        <v>523</v>
      </c>
      <c r="C74" s="272">
        <v>0</v>
      </c>
      <c r="D74" s="232"/>
      <c r="E74" s="255">
        <f>C74*D74</f>
        <v>0</v>
      </c>
      <c r="F74" s="427"/>
    </row>
    <row r="75" spans="1:10">
      <c r="A75" s="129"/>
      <c r="B75" s="130"/>
      <c r="C75" s="131"/>
      <c r="D75" s="132"/>
      <c r="E75" s="296">
        <f>SUM(E70:E74)</f>
        <v>588000</v>
      </c>
      <c r="F75" s="427"/>
    </row>
    <row r="76" spans="1:10">
      <c r="A76" s="126"/>
      <c r="B76" s="58"/>
      <c r="C76" s="53"/>
      <c r="D76" s="64"/>
      <c r="E76" s="64"/>
      <c r="F76" s="58"/>
    </row>
    <row r="77" spans="1:10">
      <c r="A77" s="126"/>
      <c r="B77" s="58"/>
      <c r="C77" s="53"/>
      <c r="D77" s="64"/>
      <c r="E77" s="64"/>
      <c r="F77" s="58"/>
    </row>
    <row r="78" spans="1:10" ht="105">
      <c r="A78" s="275" t="s">
        <v>524</v>
      </c>
      <c r="B78" s="122"/>
      <c r="C78" s="123"/>
      <c r="D78" s="122"/>
      <c r="E78" s="122"/>
      <c r="F78" s="124"/>
      <c r="G78" s="124"/>
      <c r="H78" s="124"/>
      <c r="I78" s="124"/>
      <c r="J78" s="428"/>
    </row>
    <row r="79" spans="1:10" ht="114" customHeight="1">
      <c r="A79" s="210" t="s">
        <v>415</v>
      </c>
      <c r="B79" s="209" t="s">
        <v>279</v>
      </c>
      <c r="C79" s="210" t="s">
        <v>165</v>
      </c>
      <c r="D79" s="209" t="s">
        <v>525</v>
      </c>
      <c r="E79" s="209" t="s">
        <v>526</v>
      </c>
      <c r="F79" s="209" t="s">
        <v>527</v>
      </c>
      <c r="G79" s="209" t="s">
        <v>528</v>
      </c>
      <c r="H79" s="210" t="s">
        <v>529</v>
      </c>
      <c r="I79" s="209" t="s">
        <v>530</v>
      </c>
      <c r="J79" s="428"/>
    </row>
    <row r="80" spans="1:10">
      <c r="A80" s="272">
        <v>1</v>
      </c>
      <c r="B80" s="232" t="s">
        <v>531</v>
      </c>
      <c r="C80" s="53"/>
      <c r="D80" s="64"/>
      <c r="E80" s="64"/>
      <c r="F80" s="64"/>
      <c r="G80" s="64"/>
      <c r="H80" s="268">
        <v>15</v>
      </c>
      <c r="I80" s="64"/>
      <c r="J80" s="428"/>
    </row>
    <row r="81" spans="1:10">
      <c r="A81" s="273" t="s">
        <v>496</v>
      </c>
      <c r="B81" s="232" t="s">
        <v>532</v>
      </c>
      <c r="C81" s="234"/>
      <c r="D81" s="268">
        <v>30</v>
      </c>
      <c r="E81" s="268">
        <v>10</v>
      </c>
      <c r="F81" s="268">
        <v>2</v>
      </c>
      <c r="G81" s="268">
        <v>78</v>
      </c>
      <c r="H81" s="255">
        <f>$H$323</f>
        <v>0</v>
      </c>
      <c r="I81" s="215">
        <f>C81*D81*E81*F81*G81/1000+H81</f>
        <v>0</v>
      </c>
      <c r="J81" s="428"/>
    </row>
    <row r="82" spans="1:10">
      <c r="A82" s="273" t="s">
        <v>496</v>
      </c>
      <c r="B82" s="232" t="s">
        <v>533</v>
      </c>
      <c r="C82" s="234"/>
      <c r="D82" s="268">
        <v>30</v>
      </c>
      <c r="E82" s="268">
        <v>10</v>
      </c>
      <c r="F82" s="268">
        <v>2</v>
      </c>
      <c r="G82" s="268">
        <v>68</v>
      </c>
      <c r="H82" s="255">
        <f>$H$323</f>
        <v>0</v>
      </c>
      <c r="I82" s="215">
        <f>C82*D82*E82*F82*G82/1000+H82</f>
        <v>0</v>
      </c>
      <c r="J82" s="428"/>
    </row>
    <row r="83" spans="1:10">
      <c r="A83" s="273" t="s">
        <v>496</v>
      </c>
      <c r="B83" s="232" t="s">
        <v>534</v>
      </c>
      <c r="C83" s="234">
        <v>9</v>
      </c>
      <c r="D83" s="268">
        <v>22</v>
      </c>
      <c r="E83" s="268">
        <v>10</v>
      </c>
      <c r="F83" s="268">
        <v>2</v>
      </c>
      <c r="G83" s="268">
        <v>68</v>
      </c>
      <c r="H83" s="255">
        <f>$H$323</f>
        <v>0</v>
      </c>
      <c r="I83" s="215">
        <f>G83*C83</f>
        <v>612</v>
      </c>
      <c r="J83" s="428"/>
    </row>
    <row r="84" spans="1:10">
      <c r="A84" s="273" t="s">
        <v>496</v>
      </c>
      <c r="B84" s="232" t="s">
        <v>535</v>
      </c>
      <c r="C84" s="234">
        <v>9</v>
      </c>
      <c r="D84" s="268">
        <v>30</v>
      </c>
      <c r="E84" s="268">
        <v>10</v>
      </c>
      <c r="F84" s="268">
        <v>2</v>
      </c>
      <c r="G84" s="268">
        <v>68</v>
      </c>
      <c r="H84" s="255">
        <f>$H$323</f>
        <v>0</v>
      </c>
      <c r="I84" s="215">
        <f>C84*D84*E84*F84*G84/1000+H84</f>
        <v>367.2</v>
      </c>
      <c r="J84" s="428"/>
    </row>
    <row r="85" spans="1:10">
      <c r="A85" s="273" t="s">
        <v>496</v>
      </c>
      <c r="B85" s="232" t="s">
        <v>536</v>
      </c>
      <c r="C85" s="234">
        <v>9</v>
      </c>
      <c r="D85" s="268">
        <v>15</v>
      </c>
      <c r="E85" s="268">
        <v>10</v>
      </c>
      <c r="F85" s="268">
        <v>2</v>
      </c>
      <c r="G85" s="268">
        <v>68</v>
      </c>
      <c r="H85" s="255">
        <f>$H$323</f>
        <v>0</v>
      </c>
      <c r="I85" s="215">
        <f>C85*D85*E85*F85*G85/1000+H85</f>
        <v>183.6</v>
      </c>
      <c r="J85" s="428"/>
    </row>
    <row r="86" spans="1:10" ht="45">
      <c r="A86" s="243" t="s">
        <v>537</v>
      </c>
      <c r="B86" s="65"/>
      <c r="C86" s="67"/>
      <c r="D86" s="68"/>
      <c r="E86" s="68"/>
      <c r="F86" s="68"/>
      <c r="G86" s="68"/>
      <c r="H86" s="68"/>
      <c r="I86" s="244">
        <f>SUM(I81:I85)</f>
        <v>1162.8</v>
      </c>
      <c r="J86" s="141" t="s">
        <v>426</v>
      </c>
    </row>
    <row r="88" spans="1:10" ht="30">
      <c r="A88" s="275" t="s">
        <v>538</v>
      </c>
      <c r="B88" s="122"/>
      <c r="C88" s="123"/>
      <c r="D88" s="122"/>
      <c r="E88" s="122"/>
      <c r="F88" s="428"/>
    </row>
    <row r="89" spans="1:10" ht="30">
      <c r="A89" s="210" t="s">
        <v>415</v>
      </c>
      <c r="B89" s="209" t="s">
        <v>279</v>
      </c>
      <c r="C89" s="210" t="s">
        <v>165</v>
      </c>
      <c r="D89" s="209" t="s">
        <v>514</v>
      </c>
      <c r="E89" s="209" t="s">
        <v>277</v>
      </c>
      <c r="F89" s="428"/>
    </row>
    <row r="90" spans="1:10">
      <c r="A90" s="272">
        <v>1</v>
      </c>
      <c r="B90" s="232" t="s">
        <v>539</v>
      </c>
      <c r="C90" s="234">
        <v>1</v>
      </c>
      <c r="D90" s="255">
        <f>50*1.13</f>
        <v>56.499999999999993</v>
      </c>
      <c r="E90" s="255">
        <f t="shared" ref="E90:E101" si="0">C90*D90</f>
        <v>56.499999999999993</v>
      </c>
      <c r="F90" s="428"/>
    </row>
    <row r="91" spans="1:10">
      <c r="A91" s="272">
        <v>2</v>
      </c>
      <c r="B91" s="232" t="s">
        <v>540</v>
      </c>
      <c r="C91" s="234">
        <v>0</v>
      </c>
      <c r="D91" s="255">
        <f>37*1.13</f>
        <v>41.809999999999995</v>
      </c>
      <c r="E91" s="255">
        <f t="shared" si="0"/>
        <v>0</v>
      </c>
      <c r="F91" s="428"/>
    </row>
    <row r="92" spans="1:10">
      <c r="A92" s="272">
        <v>3</v>
      </c>
      <c r="B92" s="232" t="s">
        <v>541</v>
      </c>
      <c r="C92" s="234">
        <v>1</v>
      </c>
      <c r="D92" s="268">
        <v>30</v>
      </c>
      <c r="E92" s="255">
        <f t="shared" si="0"/>
        <v>30</v>
      </c>
      <c r="F92" s="428"/>
    </row>
    <row r="93" spans="1:10">
      <c r="A93" s="272">
        <v>4</v>
      </c>
      <c r="B93" s="232" t="s">
        <v>542</v>
      </c>
      <c r="C93" s="234">
        <v>2</v>
      </c>
      <c r="D93" s="268">
        <v>16</v>
      </c>
      <c r="E93" s="255">
        <f t="shared" si="0"/>
        <v>32</v>
      </c>
      <c r="F93" s="428"/>
    </row>
    <row r="94" spans="1:10" ht="30">
      <c r="A94" s="272">
        <v>5</v>
      </c>
      <c r="B94" s="232" t="s">
        <v>543</v>
      </c>
      <c r="C94" s="234">
        <v>5</v>
      </c>
      <c r="D94" s="268">
        <v>8</v>
      </c>
      <c r="E94" s="255">
        <f t="shared" si="0"/>
        <v>40</v>
      </c>
      <c r="F94" s="428"/>
    </row>
    <row r="95" spans="1:10">
      <c r="A95" s="272">
        <v>6</v>
      </c>
      <c r="B95" s="232" t="s">
        <v>544</v>
      </c>
      <c r="C95" s="234">
        <v>1</v>
      </c>
      <c r="D95" s="268">
        <v>5</v>
      </c>
      <c r="E95" s="255">
        <f t="shared" si="0"/>
        <v>5</v>
      </c>
      <c r="F95" s="428"/>
    </row>
    <row r="96" spans="1:10">
      <c r="A96" s="272">
        <v>7</v>
      </c>
      <c r="B96" s="232" t="s">
        <v>545</v>
      </c>
      <c r="C96" s="234">
        <v>1</v>
      </c>
      <c r="D96" s="268">
        <v>20</v>
      </c>
      <c r="E96" s="255">
        <f t="shared" si="0"/>
        <v>20</v>
      </c>
      <c r="F96" s="428"/>
    </row>
    <row r="97" spans="1:6">
      <c r="A97" s="272">
        <v>8</v>
      </c>
      <c r="B97" s="232" t="s">
        <v>546</v>
      </c>
      <c r="C97" s="234">
        <v>1</v>
      </c>
      <c r="D97" s="268">
        <v>30</v>
      </c>
      <c r="E97" s="255">
        <f t="shared" si="0"/>
        <v>30</v>
      </c>
      <c r="F97" s="428"/>
    </row>
    <row r="98" spans="1:6" ht="30">
      <c r="A98" s="272">
        <v>9</v>
      </c>
      <c r="B98" s="232" t="s">
        <v>547</v>
      </c>
      <c r="C98" s="234">
        <v>1</v>
      </c>
      <c r="D98" s="268">
        <v>35</v>
      </c>
      <c r="E98" s="255">
        <f t="shared" si="0"/>
        <v>35</v>
      </c>
      <c r="F98" s="428"/>
    </row>
    <row r="99" spans="1:6">
      <c r="A99" s="272">
        <v>10</v>
      </c>
      <c r="B99" s="232" t="s">
        <v>548</v>
      </c>
      <c r="C99" s="234">
        <v>1</v>
      </c>
      <c r="D99" s="268">
        <v>20</v>
      </c>
      <c r="E99" s="255">
        <f t="shared" si="0"/>
        <v>20</v>
      </c>
      <c r="F99" s="428"/>
    </row>
    <row r="100" spans="1:6">
      <c r="A100" s="69"/>
      <c r="B100" s="232" t="s">
        <v>549</v>
      </c>
      <c r="C100" s="234">
        <v>1</v>
      </c>
      <c r="D100" s="268">
        <v>10</v>
      </c>
      <c r="E100" s="255">
        <f t="shared" si="0"/>
        <v>10</v>
      </c>
      <c r="F100" s="428"/>
    </row>
    <row r="101" spans="1:6">
      <c r="A101" s="272">
        <v>12</v>
      </c>
      <c r="B101" s="232" t="s">
        <v>550</v>
      </c>
      <c r="C101" s="234">
        <v>1</v>
      </c>
      <c r="D101" s="268">
        <v>40</v>
      </c>
      <c r="E101" s="255">
        <f t="shared" si="0"/>
        <v>40</v>
      </c>
      <c r="F101" s="428"/>
    </row>
    <row r="102" spans="1:6" ht="45">
      <c r="A102" s="243" t="s">
        <v>551</v>
      </c>
      <c r="B102" s="65"/>
      <c r="C102" s="67"/>
      <c r="D102" s="68"/>
      <c r="E102" s="244">
        <f>SUM(E90:E101)*1000</f>
        <v>318500</v>
      </c>
      <c r="F102" s="435">
        <f>E102*9</f>
        <v>2866500</v>
      </c>
    </row>
    <row r="104" spans="1:6">
      <c r="A104" s="122"/>
      <c r="B104" s="123"/>
      <c r="C104" s="122"/>
      <c r="D104" s="275" t="s">
        <v>552</v>
      </c>
      <c r="E104" s="428"/>
    </row>
    <row r="105" spans="1:6" ht="45">
      <c r="A105" s="232" t="s">
        <v>553</v>
      </c>
      <c r="B105" s="234">
        <v>1</v>
      </c>
      <c r="C105" s="268">
        <v>2000</v>
      </c>
      <c r="D105" s="298">
        <v>1000000</v>
      </c>
      <c r="E105" s="141" t="s">
        <v>426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8"/>
  <sheetViews>
    <sheetView showGridLines="0" workbookViewId="0">
      <selection activeCell="A15" sqref="A15"/>
    </sheetView>
  </sheetViews>
  <sheetFormatPr defaultColWidth="9" defaultRowHeight="14.25"/>
  <cols>
    <col min="1" max="1" width="32" style="135" customWidth="1"/>
    <col min="2" max="2" width="28" style="135" customWidth="1"/>
    <col min="3" max="3" width="16" style="135" customWidth="1"/>
    <col min="4" max="4" width="60" style="135" customWidth="1"/>
    <col min="5" max="5" width="12" style="135" customWidth="1"/>
    <col min="6" max="6" width="9" style="135" customWidth="1"/>
    <col min="7" max="16384" width="9" style="135"/>
  </cols>
  <sheetData>
    <row r="1" spans="1:5" ht="36" customHeight="1">
      <c r="A1" s="299" t="s">
        <v>554</v>
      </c>
      <c r="B1" s="299"/>
      <c r="C1" s="299"/>
      <c r="D1" s="299"/>
      <c r="E1" s="299"/>
    </row>
    <row r="2" spans="1:5" ht="14.25" customHeight="1">
      <c r="A2" s="300"/>
      <c r="B2" s="300"/>
      <c r="C2" s="300"/>
      <c r="D2" s="300"/>
      <c r="E2" s="300"/>
    </row>
    <row r="3" spans="1:5" ht="14.25" customHeight="1">
      <c r="A3" s="301" t="s">
        <v>46</v>
      </c>
      <c r="B3" s="302">
        <f>FIN_0_Параметры!$B$4</f>
        <v>46204</v>
      </c>
      <c r="C3" s="300"/>
      <c r="D3" s="300"/>
      <c r="E3" s="300"/>
    </row>
    <row r="4" spans="1:5" ht="27.75" customHeight="1">
      <c r="A4" s="301" t="s">
        <v>555</v>
      </c>
      <c r="B4" s="302">
        <f>FIN_0_Параметры!$B$8</f>
        <v>70</v>
      </c>
      <c r="C4" s="300"/>
      <c r="D4" s="300"/>
      <c r="E4" s="300"/>
    </row>
    <row r="5" spans="1:5" ht="14.25" customHeight="1">
      <c r="A5" s="301" t="s">
        <v>556</v>
      </c>
      <c r="B5" s="302">
        <f>График!$F$4</f>
        <v>46273</v>
      </c>
      <c r="C5" s="300"/>
      <c r="D5" s="300"/>
      <c r="E5" s="300"/>
    </row>
    <row r="6" spans="1:5" ht="27.75" customHeight="1">
      <c r="A6" s="301" t="s">
        <v>557</v>
      </c>
      <c r="B6" s="302">
        <f>FIN_0_Параметры!$B$5-График!$F$4</f>
        <v>204</v>
      </c>
      <c r="C6" s="300"/>
      <c r="D6" s="300"/>
      <c r="E6" s="300"/>
    </row>
    <row r="7" spans="1:5" ht="14.25" customHeight="1">
      <c r="A7" s="301" t="s">
        <v>558</v>
      </c>
      <c r="B7" s="302">
        <f>FIN_0_Параметры!$B$5</f>
        <v>46477</v>
      </c>
      <c r="C7" s="300"/>
      <c r="D7" s="300"/>
      <c r="E7" s="300"/>
    </row>
    <row r="8" spans="1:5" ht="14.25" customHeight="1">
      <c r="A8" s="301" t="s">
        <v>559</v>
      </c>
      <c r="B8" s="302">
        <f>FIN_0_Параметры!$B$6</f>
        <v>274</v>
      </c>
      <c r="C8" s="300"/>
      <c r="D8" s="300"/>
      <c r="E8" s="300"/>
    </row>
    <row r="9" spans="1:5" ht="57" customHeight="1">
      <c r="A9" s="301" t="s">
        <v>560</v>
      </c>
      <c r="B9" s="300" t="s">
        <v>561</v>
      </c>
      <c r="C9" s="300"/>
      <c r="D9" s="300"/>
      <c r="E9" s="300"/>
    </row>
    <row r="10" spans="1:5" ht="42.75" customHeight="1">
      <c r="A10" s="301" t="s">
        <v>562</v>
      </c>
      <c r="B10" s="300" t="s">
        <v>563</v>
      </c>
      <c r="C10" s="300"/>
      <c r="D10" s="300"/>
      <c r="E10" s="300"/>
    </row>
    <row r="11" spans="1:5" ht="14.25" customHeight="1">
      <c r="A11" s="300"/>
      <c r="B11" s="300"/>
      <c r="C11" s="300"/>
      <c r="D11" s="300"/>
      <c r="E11" s="300"/>
    </row>
    <row r="12" spans="1:5" ht="13.9" customHeight="1">
      <c r="A12" s="303" t="s">
        <v>564</v>
      </c>
      <c r="B12" s="303"/>
      <c r="C12" s="303"/>
      <c r="D12" s="303"/>
      <c r="E12" s="303"/>
    </row>
    <row r="13" spans="1:5" ht="42.75" customHeight="1">
      <c r="A13" s="300" t="s">
        <v>565</v>
      </c>
      <c r="B13" s="300" t="s">
        <v>566</v>
      </c>
      <c r="C13" s="300"/>
      <c r="D13" s="300"/>
      <c r="E13" s="300"/>
    </row>
    <row r="14" spans="1:5" ht="42.75" customHeight="1">
      <c r="A14" s="300" t="s">
        <v>567</v>
      </c>
      <c r="B14" s="300" t="s">
        <v>568</v>
      </c>
      <c r="C14" s="300"/>
      <c r="D14" s="300"/>
      <c r="E14" s="300"/>
    </row>
    <row r="15" spans="1:5" ht="57" customHeight="1">
      <c r="A15" s="300" t="s">
        <v>569</v>
      </c>
      <c r="B15" s="300" t="s">
        <v>570</v>
      </c>
      <c r="C15" s="300"/>
      <c r="D15" s="300"/>
      <c r="E15" s="300"/>
    </row>
    <row r="16" spans="1:5" ht="42.75" customHeight="1">
      <c r="A16" s="300" t="s">
        <v>571</v>
      </c>
      <c r="B16" s="300" t="s">
        <v>572</v>
      </c>
      <c r="C16" s="300"/>
      <c r="D16" s="300"/>
      <c r="E16" s="300"/>
    </row>
    <row r="17" spans="1:5" ht="42.75" customHeight="1">
      <c r="A17" s="300" t="s">
        <v>573</v>
      </c>
      <c r="B17" s="300" t="s">
        <v>574</v>
      </c>
      <c r="C17" s="300"/>
      <c r="D17" s="300"/>
      <c r="E17" s="300"/>
    </row>
    <row r="18" spans="1:5" ht="42.75" customHeight="1">
      <c r="A18" s="300" t="s">
        <v>575</v>
      </c>
      <c r="B18" s="300" t="s">
        <v>576</v>
      </c>
      <c r="C18" s="300"/>
      <c r="D18" s="300"/>
      <c r="E18" s="300"/>
    </row>
    <row r="19" spans="1:5" ht="14.25" customHeight="1">
      <c r="A19" s="300"/>
      <c r="B19" s="300"/>
      <c r="C19" s="300"/>
      <c r="D19" s="300"/>
      <c r="E19" s="300"/>
    </row>
    <row r="20" spans="1:5" ht="13.9" customHeight="1">
      <c r="A20" s="303" t="s">
        <v>577</v>
      </c>
      <c r="B20" s="303"/>
      <c r="C20" s="303"/>
      <c r="D20" s="303"/>
      <c r="E20" s="303"/>
    </row>
    <row r="21" spans="1:5" ht="42.75" customHeight="1">
      <c r="A21" s="300" t="s">
        <v>578</v>
      </c>
      <c r="B21" s="300" t="s">
        <v>579</v>
      </c>
      <c r="C21" s="300" t="s">
        <v>580</v>
      </c>
      <c r="D21" s="300"/>
      <c r="E21" s="300"/>
    </row>
    <row r="22" spans="1:5" ht="42.75" customHeight="1">
      <c r="A22" s="300" t="s">
        <v>581</v>
      </c>
      <c r="B22" s="300" t="s">
        <v>582</v>
      </c>
      <c r="C22" s="300" t="s">
        <v>583</v>
      </c>
      <c r="D22" s="300"/>
      <c r="E22" s="300"/>
    </row>
    <row r="23" spans="1:5" ht="57" customHeight="1">
      <c r="A23" s="300" t="s">
        <v>584</v>
      </c>
      <c r="B23" s="300" t="s">
        <v>254</v>
      </c>
      <c r="C23" s="300" t="s">
        <v>585</v>
      </c>
      <c r="D23" s="300"/>
      <c r="E23" s="300"/>
    </row>
    <row r="24" spans="1:5" ht="57" customHeight="1">
      <c r="A24" s="300" t="s">
        <v>586</v>
      </c>
      <c r="B24" s="300" t="s">
        <v>587</v>
      </c>
      <c r="C24" s="300" t="s">
        <v>588</v>
      </c>
      <c r="D24" s="300"/>
      <c r="E24" s="300"/>
    </row>
    <row r="25" spans="1:5" ht="14.25" customHeight="1">
      <c r="A25" s="300"/>
      <c r="B25" s="300"/>
      <c r="C25" s="300"/>
      <c r="D25" s="300"/>
      <c r="E25" s="300"/>
    </row>
    <row r="26" spans="1:5" ht="13.9" customHeight="1">
      <c r="A26" s="303" t="s">
        <v>589</v>
      </c>
      <c r="B26" s="303"/>
      <c r="C26" s="303"/>
      <c r="D26" s="303"/>
      <c r="E26" s="303"/>
    </row>
    <row r="27" spans="1:5" ht="13.9" customHeight="1">
      <c r="A27" s="304" t="s">
        <v>590</v>
      </c>
      <c r="B27" s="304" t="s">
        <v>591</v>
      </c>
      <c r="C27" s="304" t="s">
        <v>592</v>
      </c>
      <c r="D27" s="304" t="s">
        <v>43</v>
      </c>
      <c r="E27" s="304" t="s">
        <v>593</v>
      </c>
    </row>
    <row r="28" spans="1:5" ht="14.25" customHeight="1">
      <c r="A28" s="300" t="s">
        <v>1</v>
      </c>
      <c r="B28" s="305">
        <f>FIN_0_Параметры!$B$4</f>
        <v>46204</v>
      </c>
      <c r="C28" s="302">
        <f>B28-FIN_0_Параметры!$B$4+1</f>
        <v>1</v>
      </c>
      <c r="D28" s="300" t="s">
        <v>594</v>
      </c>
      <c r="E28" s="300" t="s">
        <v>595</v>
      </c>
    </row>
    <row r="29" spans="1:5" ht="14.25" customHeight="1">
      <c r="A29" s="300" t="s">
        <v>556</v>
      </c>
      <c r="B29" s="305">
        <f>График!$F$4</f>
        <v>46273</v>
      </c>
      <c r="C29" s="302">
        <f>B29-FIN_0_Параметры!$B$4+1</f>
        <v>70</v>
      </c>
      <c r="D29" s="300" t="s">
        <v>596</v>
      </c>
      <c r="E29" s="300" t="s">
        <v>595</v>
      </c>
    </row>
    <row r="30" spans="1:5" ht="14.25" customHeight="1">
      <c r="A30" s="300" t="s">
        <v>597</v>
      </c>
      <c r="B30" s="305">
        <f>График!$F$10</f>
        <v>46275</v>
      </c>
      <c r="C30" s="302">
        <f>B30-FIN_0_Параметры!$B$4+1</f>
        <v>72</v>
      </c>
      <c r="D30" s="300" t="s">
        <v>598</v>
      </c>
      <c r="E30" s="300" t="s">
        <v>595</v>
      </c>
    </row>
    <row r="31" spans="1:5" ht="28.5" customHeight="1">
      <c r="A31" s="300" t="s">
        <v>599</v>
      </c>
      <c r="B31" s="305">
        <f>График!$F$15</f>
        <v>46341</v>
      </c>
      <c r="C31" s="302">
        <f>B31-FIN_0_Параметры!$B$4+1</f>
        <v>138</v>
      </c>
      <c r="D31" s="300" t="s">
        <v>600</v>
      </c>
      <c r="E31" s="300" t="s">
        <v>595</v>
      </c>
    </row>
    <row r="32" spans="1:5" ht="28.5" customHeight="1">
      <c r="A32" s="300" t="s">
        <v>601</v>
      </c>
      <c r="B32" s="305">
        <f>График!$F$18</f>
        <v>46366</v>
      </c>
      <c r="C32" s="302">
        <f>B32-FIN_0_Параметры!$B$4+1</f>
        <v>163</v>
      </c>
      <c r="D32" s="300" t="s">
        <v>602</v>
      </c>
      <c r="E32" s="300" t="s">
        <v>595</v>
      </c>
    </row>
    <row r="33" spans="1:5" ht="14.25" customHeight="1">
      <c r="A33" s="300" t="s">
        <v>603</v>
      </c>
      <c r="B33" s="305">
        <f>График!$F$26</f>
        <v>46402</v>
      </c>
      <c r="C33" s="302">
        <f>B33-FIN_0_Параметры!$B$4+1</f>
        <v>199</v>
      </c>
      <c r="D33" s="300" t="s">
        <v>604</v>
      </c>
      <c r="E33" s="300" t="s">
        <v>595</v>
      </c>
    </row>
    <row r="34" spans="1:5" ht="14.25" customHeight="1">
      <c r="A34" s="300" t="s">
        <v>605</v>
      </c>
      <c r="B34" s="305">
        <f>График!$F$27</f>
        <v>46428</v>
      </c>
      <c r="C34" s="302">
        <f>B34-FIN_0_Параметры!$B$4+1</f>
        <v>225</v>
      </c>
      <c r="D34" s="300" t="s">
        <v>606</v>
      </c>
      <c r="E34" s="300" t="s">
        <v>595</v>
      </c>
    </row>
    <row r="35" spans="1:5" ht="14.25" customHeight="1">
      <c r="A35" s="300" t="s">
        <v>607</v>
      </c>
      <c r="B35" s="305">
        <f>График!$F$30</f>
        <v>46461</v>
      </c>
      <c r="C35" s="302">
        <f>B35-FIN_0_Параметры!$B$4+1</f>
        <v>258</v>
      </c>
      <c r="D35" s="300" t="s">
        <v>608</v>
      </c>
      <c r="E35" s="300" t="s">
        <v>595</v>
      </c>
    </row>
    <row r="36" spans="1:5" ht="14.25" customHeight="1">
      <c r="A36" s="300" t="s">
        <v>609</v>
      </c>
      <c r="B36" s="305">
        <f>FIN_0_Параметры!$B$5</f>
        <v>46477</v>
      </c>
      <c r="C36" s="302">
        <f>B36-FIN_0_Параметры!$B$4+1</f>
        <v>274</v>
      </c>
      <c r="D36" s="300" t="s">
        <v>610</v>
      </c>
      <c r="E36" s="300" t="s">
        <v>595</v>
      </c>
    </row>
    <row r="37" spans="1:5" ht="14.25" customHeight="1">
      <c r="A37" s="300"/>
      <c r="B37" s="300"/>
      <c r="C37" s="300"/>
      <c r="D37" s="300"/>
      <c r="E37" s="300"/>
    </row>
    <row r="38" spans="1:5" ht="83.25" customHeight="1">
      <c r="A38" s="306" t="s">
        <v>611</v>
      </c>
      <c r="B38" s="306" t="s">
        <v>612</v>
      </c>
      <c r="C38" s="306"/>
      <c r="D38" s="306"/>
      <c r="E38" s="30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3"/>
  <sheetViews>
    <sheetView showGridLines="0" workbookViewId="0">
      <pane ySplit="1" topLeftCell="A2" activePane="bottomLeft" state="frozen"/>
      <selection activeCell="A15" sqref="A15"/>
      <selection pane="bottomLeft" activeCell="A15" sqref="A15"/>
    </sheetView>
  </sheetViews>
  <sheetFormatPr defaultColWidth="9" defaultRowHeight="15"/>
  <cols>
    <col min="1" max="1" width="6" style="135" customWidth="1"/>
    <col min="2" max="2" width="24" style="135" customWidth="1"/>
    <col min="3" max="3" width="58" style="135" customWidth="1"/>
    <col min="4" max="4" width="22" style="135" customWidth="1"/>
    <col min="5" max="5" width="13" style="135" customWidth="1"/>
    <col min="6" max="6" width="13" customWidth="1"/>
    <col min="7" max="7" width="9" style="135" customWidth="1"/>
    <col min="8" max="8" width="11" style="135" customWidth="1"/>
    <col min="9" max="9" width="7" style="135" customWidth="1"/>
    <col min="10" max="10" width="64" style="135" customWidth="1"/>
    <col min="11" max="11" width="9" style="135" customWidth="1"/>
    <col min="12" max="16384" width="9" style="135"/>
  </cols>
  <sheetData>
    <row r="1" spans="1:10" ht="27.75" customHeight="1">
      <c r="A1" s="307" t="s">
        <v>613</v>
      </c>
      <c r="B1" s="307" t="s">
        <v>427</v>
      </c>
      <c r="C1" s="307" t="s">
        <v>172</v>
      </c>
      <c r="D1" s="307" t="s">
        <v>614</v>
      </c>
      <c r="E1" s="307" t="s">
        <v>615</v>
      </c>
      <c r="F1" s="307" t="s">
        <v>616</v>
      </c>
      <c r="G1" s="307" t="s">
        <v>617</v>
      </c>
      <c r="H1" s="307" t="s">
        <v>592</v>
      </c>
      <c r="I1" s="307" t="s">
        <v>618</v>
      </c>
      <c r="J1" s="307" t="s">
        <v>619</v>
      </c>
    </row>
    <row r="2" spans="1:10" ht="28.5" customHeight="1">
      <c r="A2" s="308">
        <v>1</v>
      </c>
      <c r="B2" s="308" t="s">
        <v>620</v>
      </c>
      <c r="C2" s="308" t="s">
        <v>621</v>
      </c>
      <c r="D2" s="308" t="s">
        <v>622</v>
      </c>
      <c r="E2" s="309">
        <f>FIN_0_Параметры!$B$4+0</f>
        <v>46204</v>
      </c>
      <c r="F2" s="309">
        <f>FIN_0_Параметры!$B$4+4</f>
        <v>46208</v>
      </c>
      <c r="G2" s="310">
        <f t="shared" ref="G2:G33" si="0">F2-E2+1</f>
        <v>5</v>
      </c>
      <c r="H2" s="311">
        <f>E2-FIN_0_Параметры!$B$4+1</f>
        <v>1</v>
      </c>
      <c r="I2" s="308"/>
      <c r="J2" s="308" t="s">
        <v>623</v>
      </c>
    </row>
    <row r="3" spans="1:10" ht="28.5" customHeight="1">
      <c r="A3" s="312">
        <v>2</v>
      </c>
      <c r="B3" s="312" t="s">
        <v>624</v>
      </c>
      <c r="C3" s="312" t="s">
        <v>625</v>
      </c>
      <c r="D3" s="312" t="s">
        <v>626</v>
      </c>
      <c r="E3" s="313">
        <f>FIN_0_Параметры!$B$4+0</f>
        <v>46204</v>
      </c>
      <c r="F3" s="313">
        <f>FIN_0_Параметры!$B$4+19</f>
        <v>46223</v>
      </c>
      <c r="G3" s="314">
        <f t="shared" si="0"/>
        <v>20</v>
      </c>
      <c r="H3" s="315">
        <f>E3-FIN_0_Параметры!$B$4+1</f>
        <v>1</v>
      </c>
      <c r="I3" s="316" t="s">
        <v>618</v>
      </c>
      <c r="J3" s="312" t="s">
        <v>627</v>
      </c>
    </row>
    <row r="4" spans="1:10" ht="14.25" customHeight="1">
      <c r="A4" s="312">
        <v>3</v>
      </c>
      <c r="B4" s="312" t="s">
        <v>624</v>
      </c>
      <c r="C4" s="312" t="s">
        <v>175</v>
      </c>
      <c r="D4" s="312" t="s">
        <v>431</v>
      </c>
      <c r="E4" s="313">
        <f>FIN_0_Параметры!$B$4+0</f>
        <v>46204</v>
      </c>
      <c r="F4" s="313">
        <f>E4+FIN_0_Параметры!$B$8-1</f>
        <v>46273</v>
      </c>
      <c r="G4" s="314">
        <f t="shared" si="0"/>
        <v>70</v>
      </c>
      <c r="H4" s="315">
        <f>E4-FIN_0_Параметры!$B$4+1</f>
        <v>1</v>
      </c>
      <c r="I4" s="316" t="s">
        <v>618</v>
      </c>
      <c r="J4" s="312" t="s">
        <v>628</v>
      </c>
    </row>
    <row r="5" spans="1:10" ht="14.25" customHeight="1">
      <c r="A5" s="312">
        <v>4</v>
      </c>
      <c r="B5" s="312" t="s">
        <v>624</v>
      </c>
      <c r="C5" s="312" t="s">
        <v>629</v>
      </c>
      <c r="D5" s="312" t="s">
        <v>431</v>
      </c>
      <c r="E5" s="313">
        <f>FIN_0_Параметры!$B$4+FIN_0_Параметры!$B$8</f>
        <v>46274</v>
      </c>
      <c r="F5" s="317">
        <f>E5+9</f>
        <v>46283</v>
      </c>
      <c r="G5" s="314">
        <f t="shared" si="0"/>
        <v>10</v>
      </c>
      <c r="H5" s="315">
        <f>E5-FIN_0_Параметры!$B$4+1</f>
        <v>71</v>
      </c>
      <c r="I5" s="316" t="s">
        <v>618</v>
      </c>
      <c r="J5" s="312" t="s">
        <v>630</v>
      </c>
    </row>
    <row r="6" spans="1:10" ht="28.5" customHeight="1">
      <c r="A6" s="312">
        <v>5</v>
      </c>
      <c r="B6" s="312" t="s">
        <v>631</v>
      </c>
      <c r="C6" s="312" t="s">
        <v>632</v>
      </c>
      <c r="D6" s="312" t="s">
        <v>431</v>
      </c>
      <c r="E6" s="313">
        <f>FIN_0_Параметры!$B$4+19</f>
        <v>46223</v>
      </c>
      <c r="F6" s="313">
        <f>FIN_0_Параметры!$B$4+79</f>
        <v>46283</v>
      </c>
      <c r="G6" s="314">
        <f t="shared" si="0"/>
        <v>61</v>
      </c>
      <c r="H6" s="315">
        <f>E6-FIN_0_Параметры!$B$4+1</f>
        <v>20</v>
      </c>
      <c r="I6" s="316" t="s">
        <v>618</v>
      </c>
      <c r="J6" s="312" t="s">
        <v>633</v>
      </c>
    </row>
    <row r="7" spans="1:10" ht="28.5" customHeight="1">
      <c r="A7" s="312">
        <v>6</v>
      </c>
      <c r="B7" s="312" t="s">
        <v>631</v>
      </c>
      <c r="C7" s="312" t="s">
        <v>634</v>
      </c>
      <c r="D7" s="312" t="s">
        <v>635</v>
      </c>
      <c r="E7" s="313">
        <f>FIN_0_Параметры!$B$4+40</f>
        <v>46244</v>
      </c>
      <c r="F7" s="313">
        <f>FIN_0_Параметры!$B$4+81</f>
        <v>46285</v>
      </c>
      <c r="G7" s="314">
        <f t="shared" si="0"/>
        <v>42</v>
      </c>
      <c r="H7" s="315">
        <f>E7-FIN_0_Параметры!$B$4+1</f>
        <v>41</v>
      </c>
      <c r="I7" s="312"/>
      <c r="J7" s="312" t="s">
        <v>636</v>
      </c>
    </row>
    <row r="8" spans="1:10" ht="28.5" customHeight="1">
      <c r="A8" s="312">
        <v>7</v>
      </c>
      <c r="B8" s="312" t="s">
        <v>631</v>
      </c>
      <c r="C8" s="312" t="s">
        <v>637</v>
      </c>
      <c r="D8" s="312" t="s">
        <v>638</v>
      </c>
      <c r="E8" s="313">
        <f>FIN_0_Параметры!$B$4+20</f>
        <v>46224</v>
      </c>
      <c r="F8" s="313">
        <f>FIN_0_Параметры!$B$4+122</f>
        <v>46326</v>
      </c>
      <c r="G8" s="314">
        <f t="shared" si="0"/>
        <v>103</v>
      </c>
      <c r="H8" s="315">
        <f>E8-FIN_0_Параметры!$B$4+1</f>
        <v>21</v>
      </c>
      <c r="I8" s="316" t="s">
        <v>618</v>
      </c>
      <c r="J8" s="312" t="s">
        <v>639</v>
      </c>
    </row>
    <row r="9" spans="1:10" ht="28.5" customHeight="1">
      <c r="A9" s="312">
        <v>8</v>
      </c>
      <c r="B9" s="312" t="s">
        <v>631</v>
      </c>
      <c r="C9" s="312" t="s">
        <v>640</v>
      </c>
      <c r="D9" s="312" t="s">
        <v>641</v>
      </c>
      <c r="E9" s="313">
        <f>FIN_0_Параметры!$B$4+111</f>
        <v>46315</v>
      </c>
      <c r="F9" s="313">
        <f>FIN_0_Параметры!$B$4+137</f>
        <v>46341</v>
      </c>
      <c r="G9" s="314">
        <f t="shared" si="0"/>
        <v>27</v>
      </c>
      <c r="H9" s="315">
        <f>E9-FIN_0_Параметры!$B$4+1</f>
        <v>112</v>
      </c>
      <c r="I9" s="316" t="s">
        <v>618</v>
      </c>
      <c r="J9" s="312" t="s">
        <v>642</v>
      </c>
    </row>
    <row r="10" spans="1:10" ht="28.5" customHeight="1">
      <c r="A10" s="308">
        <v>9</v>
      </c>
      <c r="B10" s="308" t="s">
        <v>643</v>
      </c>
      <c r="C10" s="308" t="s">
        <v>644</v>
      </c>
      <c r="D10" s="308" t="s">
        <v>431</v>
      </c>
      <c r="E10" s="309">
        <f>FIN_0_Параметры!$B$4+50</f>
        <v>46254</v>
      </c>
      <c r="F10" s="309">
        <f>FIN_0_Параметры!$B$4+71</f>
        <v>46275</v>
      </c>
      <c r="G10" s="310">
        <f t="shared" si="0"/>
        <v>22</v>
      </c>
      <c r="H10" s="311">
        <f>E10-FIN_0_Параметры!$B$4+1</f>
        <v>51</v>
      </c>
      <c r="I10" s="308"/>
      <c r="J10" s="308" t="s">
        <v>645</v>
      </c>
    </row>
    <row r="11" spans="1:10" ht="28.5" customHeight="1">
      <c r="A11" s="308">
        <v>10</v>
      </c>
      <c r="B11" s="308" t="s">
        <v>643</v>
      </c>
      <c r="C11" s="308" t="s">
        <v>646</v>
      </c>
      <c r="D11" s="308" t="s">
        <v>647</v>
      </c>
      <c r="E11" s="309">
        <f>FIN_0_Параметры!$B$4+62</f>
        <v>46266</v>
      </c>
      <c r="F11" s="309">
        <f>FIN_0_Параметры!$B$4+79</f>
        <v>46283</v>
      </c>
      <c r="G11" s="310">
        <f t="shared" si="0"/>
        <v>18</v>
      </c>
      <c r="H11" s="311">
        <f>E11-FIN_0_Параметры!$B$4+1</f>
        <v>63</v>
      </c>
      <c r="I11" s="316" t="s">
        <v>618</v>
      </c>
      <c r="J11" s="308" t="s">
        <v>648</v>
      </c>
    </row>
    <row r="12" spans="1:10" ht="28.5" customHeight="1">
      <c r="A12" s="308">
        <v>11</v>
      </c>
      <c r="B12" s="308" t="s">
        <v>643</v>
      </c>
      <c r="C12" s="308" t="s">
        <v>649</v>
      </c>
      <c r="D12" s="308" t="s">
        <v>431</v>
      </c>
      <c r="E12" s="309">
        <f>FIN_0_Параметры!$B$4+62</f>
        <v>46266</v>
      </c>
      <c r="F12" s="309">
        <f>FIN_0_Параметры!$B$4+81</f>
        <v>46285</v>
      </c>
      <c r="G12" s="310">
        <f t="shared" si="0"/>
        <v>20</v>
      </c>
      <c r="H12" s="311">
        <f>E12-FIN_0_Параметры!$B$4+1</f>
        <v>63</v>
      </c>
      <c r="I12" s="316" t="s">
        <v>618</v>
      </c>
      <c r="J12" s="308" t="s">
        <v>650</v>
      </c>
    </row>
    <row r="13" spans="1:10" ht="14.25" customHeight="1">
      <c r="A13" s="318">
        <v>12</v>
      </c>
      <c r="B13" s="318" t="s">
        <v>651</v>
      </c>
      <c r="C13" s="318" t="s">
        <v>652</v>
      </c>
      <c r="D13" s="318" t="s">
        <v>653</v>
      </c>
      <c r="E13" s="319">
        <f>FIN_0_Параметры!$B$4+80</f>
        <v>46284</v>
      </c>
      <c r="F13" s="319">
        <f>FIN_0_Параметры!$B$4+101</f>
        <v>46305</v>
      </c>
      <c r="G13" s="320">
        <f t="shared" si="0"/>
        <v>22</v>
      </c>
      <c r="H13" s="321">
        <f>E13-FIN_0_Параметры!$B$4+1</f>
        <v>81</v>
      </c>
      <c r="I13" s="316" t="s">
        <v>618</v>
      </c>
      <c r="J13" s="318" t="s">
        <v>654</v>
      </c>
    </row>
    <row r="14" spans="1:10" ht="28.5" customHeight="1">
      <c r="A14" s="318">
        <v>13</v>
      </c>
      <c r="B14" s="318" t="s">
        <v>651</v>
      </c>
      <c r="C14" s="318" t="s">
        <v>655</v>
      </c>
      <c r="D14" s="318" t="s">
        <v>656</v>
      </c>
      <c r="E14" s="319">
        <f>FIN_0_Параметры!$B$4+86</f>
        <v>46290</v>
      </c>
      <c r="F14" s="319">
        <f>FIN_0_Параметры!$B$4+109</f>
        <v>46313</v>
      </c>
      <c r="G14" s="320">
        <f t="shared" si="0"/>
        <v>24</v>
      </c>
      <c r="H14" s="321">
        <f>E14-FIN_0_Параметры!$B$4+1</f>
        <v>87</v>
      </c>
      <c r="I14" s="316" t="s">
        <v>618</v>
      </c>
      <c r="J14" s="318" t="s">
        <v>657</v>
      </c>
    </row>
    <row r="15" spans="1:10" ht="28.5" customHeight="1">
      <c r="A15" s="318">
        <v>14</v>
      </c>
      <c r="B15" s="318" t="s">
        <v>651</v>
      </c>
      <c r="C15" s="318" t="s">
        <v>658</v>
      </c>
      <c r="D15" s="318" t="s">
        <v>659</v>
      </c>
      <c r="E15" s="319">
        <f>FIN_0_Параметры!$B$4+96</f>
        <v>46300</v>
      </c>
      <c r="F15" s="319">
        <f>FIN_0_Параметры!$B$4+137</f>
        <v>46341</v>
      </c>
      <c r="G15" s="320">
        <f t="shared" si="0"/>
        <v>42</v>
      </c>
      <c r="H15" s="321">
        <f>E15-FIN_0_Параметры!$B$4+1</f>
        <v>97</v>
      </c>
      <c r="I15" s="316" t="s">
        <v>618</v>
      </c>
      <c r="J15" s="318" t="s">
        <v>660</v>
      </c>
    </row>
    <row r="16" spans="1:10" ht="28.5" customHeight="1">
      <c r="A16" s="318">
        <v>15</v>
      </c>
      <c r="B16" s="318" t="s">
        <v>661</v>
      </c>
      <c r="C16" s="318" t="s">
        <v>662</v>
      </c>
      <c r="D16" s="318" t="s">
        <v>663</v>
      </c>
      <c r="E16" s="319">
        <f>FIN_0_Параметры!$B$4+92</f>
        <v>46296</v>
      </c>
      <c r="F16" s="319">
        <f>FIN_0_Параметры!$B$4+116</f>
        <v>46320</v>
      </c>
      <c r="G16" s="320">
        <f t="shared" si="0"/>
        <v>25</v>
      </c>
      <c r="H16" s="321">
        <f>E16-FIN_0_Параметры!$B$4+1</f>
        <v>93</v>
      </c>
      <c r="I16" s="316" t="s">
        <v>618</v>
      </c>
      <c r="J16" s="318" t="s">
        <v>664</v>
      </c>
    </row>
    <row r="17" spans="1:10" ht="28.5" customHeight="1">
      <c r="A17" s="318">
        <v>16</v>
      </c>
      <c r="B17" s="318" t="s">
        <v>661</v>
      </c>
      <c r="C17" s="318" t="s">
        <v>665</v>
      </c>
      <c r="D17" s="318" t="s">
        <v>656</v>
      </c>
      <c r="E17" s="319">
        <f>FIN_0_Параметры!$B$4+106</f>
        <v>46310</v>
      </c>
      <c r="F17" s="319">
        <f>FIN_0_Параметры!$B$4+132</f>
        <v>46336</v>
      </c>
      <c r="G17" s="320">
        <f t="shared" si="0"/>
        <v>27</v>
      </c>
      <c r="H17" s="321">
        <f>E17-FIN_0_Параметры!$B$4+1</f>
        <v>107</v>
      </c>
      <c r="I17" s="316" t="s">
        <v>618</v>
      </c>
      <c r="J17" s="318" t="s">
        <v>666</v>
      </c>
    </row>
    <row r="18" spans="1:10" ht="28.5" customHeight="1">
      <c r="A18" s="318">
        <v>17</v>
      </c>
      <c r="B18" s="318" t="s">
        <v>661</v>
      </c>
      <c r="C18" s="318" t="s">
        <v>667</v>
      </c>
      <c r="D18" s="318" t="s">
        <v>668</v>
      </c>
      <c r="E18" s="319">
        <f>FIN_0_Параметры!$B$4+116</f>
        <v>46320</v>
      </c>
      <c r="F18" s="319">
        <f>FIN_0_Параметры!$B$4+162</f>
        <v>46366</v>
      </c>
      <c r="G18" s="320">
        <f t="shared" si="0"/>
        <v>47</v>
      </c>
      <c r="H18" s="321">
        <f>E18-FIN_0_Параметры!$B$4+1</f>
        <v>117</v>
      </c>
      <c r="I18" s="316" t="s">
        <v>618</v>
      </c>
      <c r="J18" s="318" t="s">
        <v>669</v>
      </c>
    </row>
    <row r="19" spans="1:10" ht="28.5" customHeight="1">
      <c r="A19" s="308">
        <v>18</v>
      </c>
      <c r="B19" s="308" t="s">
        <v>670</v>
      </c>
      <c r="C19" s="308" t="s">
        <v>671</v>
      </c>
      <c r="D19" s="308" t="s">
        <v>672</v>
      </c>
      <c r="E19" s="309">
        <f>FIN_0_Параметры!$B$4+106</f>
        <v>46310</v>
      </c>
      <c r="F19" s="309">
        <f>FIN_0_Параметры!$B$4+142</f>
        <v>46346</v>
      </c>
      <c r="G19" s="310">
        <f t="shared" si="0"/>
        <v>37</v>
      </c>
      <c r="H19" s="311">
        <f>E19-FIN_0_Параметры!$B$4+1</f>
        <v>107</v>
      </c>
      <c r="I19" s="308"/>
      <c r="J19" s="308" t="s">
        <v>673</v>
      </c>
    </row>
    <row r="20" spans="1:10" ht="14.25" customHeight="1">
      <c r="A20" s="308">
        <v>19</v>
      </c>
      <c r="B20" s="308" t="s">
        <v>670</v>
      </c>
      <c r="C20" s="308" t="s">
        <v>674</v>
      </c>
      <c r="D20" s="308" t="s">
        <v>675</v>
      </c>
      <c r="E20" s="309">
        <f>FIN_0_Параметры!$B$4+123</f>
        <v>46327</v>
      </c>
      <c r="F20" s="309">
        <f>FIN_0_Параметры!$B$4+167</f>
        <v>46371</v>
      </c>
      <c r="G20" s="310">
        <f t="shared" si="0"/>
        <v>45</v>
      </c>
      <c r="H20" s="311">
        <f>E20-FIN_0_Параметры!$B$4+1</f>
        <v>124</v>
      </c>
      <c r="I20" s="308"/>
      <c r="J20" s="308" t="s">
        <v>676</v>
      </c>
    </row>
    <row r="21" spans="1:10" ht="14.25" customHeight="1">
      <c r="A21" s="308">
        <v>20</v>
      </c>
      <c r="B21" s="308" t="s">
        <v>670</v>
      </c>
      <c r="C21" s="308" t="s">
        <v>677</v>
      </c>
      <c r="D21" s="308" t="s">
        <v>678</v>
      </c>
      <c r="E21" s="309">
        <f>FIN_0_Параметры!$B$4+127</f>
        <v>46331</v>
      </c>
      <c r="F21" s="309">
        <f>FIN_0_Параметры!$B$4+172</f>
        <v>46376</v>
      </c>
      <c r="G21" s="310">
        <f t="shared" si="0"/>
        <v>46</v>
      </c>
      <c r="H21" s="311">
        <f>E21-FIN_0_Параметры!$B$4+1</f>
        <v>128</v>
      </c>
      <c r="I21" s="308"/>
      <c r="J21" s="308" t="s">
        <v>679</v>
      </c>
    </row>
    <row r="22" spans="1:10" ht="28.5" customHeight="1">
      <c r="A22" s="322">
        <v>21</v>
      </c>
      <c r="B22" s="322" t="s">
        <v>680</v>
      </c>
      <c r="C22" s="322" t="s">
        <v>681</v>
      </c>
      <c r="D22" s="322" t="s">
        <v>682</v>
      </c>
      <c r="E22" s="323">
        <f>FIN_0_Параметры!$B$4+101</f>
        <v>46305</v>
      </c>
      <c r="F22" s="323">
        <f>FIN_0_Параметры!$B$4+116</f>
        <v>46320</v>
      </c>
      <c r="G22" s="324">
        <f t="shared" si="0"/>
        <v>16</v>
      </c>
      <c r="H22" s="325">
        <f>E22-FIN_0_Параметры!$B$4+1</f>
        <v>102</v>
      </c>
      <c r="I22" s="316" t="s">
        <v>618</v>
      </c>
      <c r="J22" s="322" t="s">
        <v>683</v>
      </c>
    </row>
    <row r="23" spans="1:10" ht="14.25" customHeight="1">
      <c r="A23" s="322">
        <v>22</v>
      </c>
      <c r="B23" s="322" t="s">
        <v>680</v>
      </c>
      <c r="C23" s="322" t="s">
        <v>684</v>
      </c>
      <c r="D23" s="322" t="s">
        <v>606</v>
      </c>
      <c r="E23" s="323">
        <f>FIN_0_Параметры!$B$4+117</f>
        <v>46321</v>
      </c>
      <c r="F23" s="323">
        <f>FIN_0_Параметры!$B$4+137</f>
        <v>46341</v>
      </c>
      <c r="G23" s="324">
        <f t="shared" si="0"/>
        <v>21</v>
      </c>
      <c r="H23" s="325">
        <f>E23-FIN_0_Параметры!$B$4+1</f>
        <v>118</v>
      </c>
      <c r="I23" s="316" t="s">
        <v>618</v>
      </c>
      <c r="J23" s="322" t="s">
        <v>685</v>
      </c>
    </row>
    <row r="24" spans="1:10" ht="28.5" customHeight="1">
      <c r="A24" s="322">
        <v>23</v>
      </c>
      <c r="B24" s="322" t="s">
        <v>680</v>
      </c>
      <c r="C24" s="322" t="s">
        <v>686</v>
      </c>
      <c r="D24" s="322" t="s">
        <v>604</v>
      </c>
      <c r="E24" s="323">
        <f>FIN_0_Параметры!$B$4+132</f>
        <v>46336</v>
      </c>
      <c r="F24" s="323">
        <f>FIN_0_Параметры!$B$4+152</f>
        <v>46356</v>
      </c>
      <c r="G24" s="324">
        <f t="shared" si="0"/>
        <v>21</v>
      </c>
      <c r="H24" s="325">
        <f>E24-FIN_0_Параметры!$B$4+1</f>
        <v>133</v>
      </c>
      <c r="I24" s="316" t="s">
        <v>618</v>
      </c>
      <c r="J24" s="322" t="s">
        <v>687</v>
      </c>
    </row>
    <row r="25" spans="1:10" ht="28.5" customHeight="1">
      <c r="A25" s="322">
        <v>24</v>
      </c>
      <c r="B25" s="322" t="s">
        <v>680</v>
      </c>
      <c r="C25" s="322" t="s">
        <v>688</v>
      </c>
      <c r="D25" s="322" t="s">
        <v>689</v>
      </c>
      <c r="E25" s="323">
        <f>FIN_0_Параметры!$B$4+142</f>
        <v>46346</v>
      </c>
      <c r="F25" s="323">
        <f>FIN_0_Параметры!$B$4+162</f>
        <v>46366</v>
      </c>
      <c r="G25" s="324">
        <f t="shared" si="0"/>
        <v>21</v>
      </c>
      <c r="H25" s="325">
        <f>E25-FIN_0_Параметры!$B$4+1</f>
        <v>143</v>
      </c>
      <c r="I25" s="316" t="s">
        <v>618</v>
      </c>
      <c r="J25" s="322" t="s">
        <v>690</v>
      </c>
    </row>
    <row r="26" spans="1:10" ht="28.5" customHeight="1">
      <c r="A26" s="322">
        <v>25</v>
      </c>
      <c r="B26" s="322" t="s">
        <v>680</v>
      </c>
      <c r="C26" s="322" t="s">
        <v>691</v>
      </c>
      <c r="D26" s="322" t="s">
        <v>604</v>
      </c>
      <c r="E26" s="323">
        <f>FIN_0_Параметры!$B$4+153</f>
        <v>46357</v>
      </c>
      <c r="F26" s="323">
        <f>FIN_0_Параметры!$B$4+198</f>
        <v>46402</v>
      </c>
      <c r="G26" s="324">
        <f t="shared" si="0"/>
        <v>46</v>
      </c>
      <c r="H26" s="325">
        <f>E26-FIN_0_Параметры!$B$4+1</f>
        <v>154</v>
      </c>
      <c r="I26" s="316" t="s">
        <v>618</v>
      </c>
      <c r="J26" s="322" t="s">
        <v>692</v>
      </c>
    </row>
    <row r="27" spans="1:10" ht="28.5" customHeight="1">
      <c r="A27" s="322">
        <v>26</v>
      </c>
      <c r="B27" s="322" t="s">
        <v>680</v>
      </c>
      <c r="C27" s="322" t="s">
        <v>693</v>
      </c>
      <c r="D27" s="322" t="s">
        <v>606</v>
      </c>
      <c r="E27" s="323">
        <f>FIN_0_Параметры!$B$4+193</f>
        <v>46397</v>
      </c>
      <c r="F27" s="323">
        <f>FIN_0_Параметры!$B$4+224</f>
        <v>46428</v>
      </c>
      <c r="G27" s="324">
        <f t="shared" si="0"/>
        <v>32</v>
      </c>
      <c r="H27" s="325">
        <f>E27-FIN_0_Параметры!$B$4+1</f>
        <v>194</v>
      </c>
      <c r="I27" s="316" t="s">
        <v>618</v>
      </c>
      <c r="J27" s="322" t="s">
        <v>694</v>
      </c>
    </row>
    <row r="28" spans="1:10" ht="28.5" customHeight="1">
      <c r="A28" s="322">
        <v>27</v>
      </c>
      <c r="B28" s="322" t="s">
        <v>680</v>
      </c>
      <c r="C28" s="322" t="s">
        <v>695</v>
      </c>
      <c r="D28" s="322" t="s">
        <v>696</v>
      </c>
      <c r="E28" s="323">
        <f>FIN_0_Параметры!$B$4+215</f>
        <v>46419</v>
      </c>
      <c r="F28" s="323">
        <f>FIN_0_Параметры!$B$4+234</f>
        <v>46438</v>
      </c>
      <c r="G28" s="324">
        <f t="shared" si="0"/>
        <v>20</v>
      </c>
      <c r="H28" s="325">
        <f>E28-FIN_0_Параметры!$B$4+1</f>
        <v>216</v>
      </c>
      <c r="I28" s="316" t="s">
        <v>618</v>
      </c>
      <c r="J28" s="322" t="s">
        <v>697</v>
      </c>
    </row>
    <row r="29" spans="1:10" ht="14.25" customHeight="1">
      <c r="A29" s="326">
        <v>28</v>
      </c>
      <c r="B29" s="326" t="s">
        <v>698</v>
      </c>
      <c r="C29" s="326" t="s">
        <v>699</v>
      </c>
      <c r="D29" s="326" t="s">
        <v>431</v>
      </c>
      <c r="E29" s="327">
        <f>FIN_0_Параметры!$B$4+219</f>
        <v>46423</v>
      </c>
      <c r="F29" s="327">
        <f>FIN_0_Параметры!$B$4+242</f>
        <v>46446</v>
      </c>
      <c r="G29" s="328">
        <f t="shared" si="0"/>
        <v>24</v>
      </c>
      <c r="H29" s="329">
        <f>E29-FIN_0_Параметры!$B$4+1</f>
        <v>220</v>
      </c>
      <c r="I29" s="316" t="s">
        <v>618</v>
      </c>
      <c r="J29" s="326" t="s">
        <v>700</v>
      </c>
    </row>
    <row r="30" spans="1:10" ht="28.5" customHeight="1">
      <c r="A30" s="326">
        <v>29</v>
      </c>
      <c r="B30" s="326" t="s">
        <v>698</v>
      </c>
      <c r="C30" s="326" t="s">
        <v>701</v>
      </c>
      <c r="D30" s="326" t="s">
        <v>431</v>
      </c>
      <c r="E30" s="327">
        <f>FIN_0_Параметры!$B$4+243</f>
        <v>46447</v>
      </c>
      <c r="F30" s="327">
        <f>FIN_0_Параметры!$B$4+257</f>
        <v>46461</v>
      </c>
      <c r="G30" s="328">
        <f t="shared" si="0"/>
        <v>15</v>
      </c>
      <c r="H30" s="329">
        <f>E30-FIN_0_Параметры!$B$4+1</f>
        <v>244</v>
      </c>
      <c r="I30" s="316" t="s">
        <v>618</v>
      </c>
      <c r="J30" s="326" t="s">
        <v>702</v>
      </c>
    </row>
    <row r="31" spans="1:10" ht="28.5" customHeight="1">
      <c r="A31" s="330">
        <v>30</v>
      </c>
      <c r="B31" s="330" t="s">
        <v>703</v>
      </c>
      <c r="C31" s="330" t="s">
        <v>704</v>
      </c>
      <c r="D31" s="330" t="s">
        <v>431</v>
      </c>
      <c r="E31" s="331">
        <f>FIN_0_Параметры!$B$4+252</f>
        <v>46456</v>
      </c>
      <c r="F31" s="331">
        <f>FIN_0_Параметры!$B$4+262</f>
        <v>46466</v>
      </c>
      <c r="G31" s="332">
        <f t="shared" si="0"/>
        <v>11</v>
      </c>
      <c r="H31" s="333">
        <f>E31-FIN_0_Параметры!$B$4+1</f>
        <v>253</v>
      </c>
      <c r="I31" s="316" t="s">
        <v>618</v>
      </c>
      <c r="J31" s="330" t="s">
        <v>705</v>
      </c>
    </row>
    <row r="32" spans="1:10" ht="28.5" customHeight="1">
      <c r="A32" s="330">
        <v>31</v>
      </c>
      <c r="B32" s="330" t="s">
        <v>703</v>
      </c>
      <c r="C32" s="330" t="s">
        <v>706</v>
      </c>
      <c r="D32" s="330" t="s">
        <v>431</v>
      </c>
      <c r="E32" s="331">
        <f>FIN_0_Параметры!$B$4+243</f>
        <v>46447</v>
      </c>
      <c r="F32" s="331">
        <f>FIN_0_Параметры!$B$4+268</f>
        <v>46472</v>
      </c>
      <c r="G32" s="332">
        <f t="shared" si="0"/>
        <v>26</v>
      </c>
      <c r="H32" s="333">
        <f>E32-FIN_0_Параметры!$B$4+1</f>
        <v>244</v>
      </c>
      <c r="I32" s="330"/>
      <c r="J32" s="330" t="s">
        <v>707</v>
      </c>
    </row>
    <row r="33" spans="1:10" ht="28.5" customHeight="1">
      <c r="A33" s="330">
        <v>32</v>
      </c>
      <c r="B33" s="330" t="s">
        <v>703</v>
      </c>
      <c r="C33" s="330" t="s">
        <v>708</v>
      </c>
      <c r="D33" s="330" t="s">
        <v>431</v>
      </c>
      <c r="E33" s="331">
        <f>FIN_0_Параметры!$B$4+269</f>
        <v>46473</v>
      </c>
      <c r="F33" s="331">
        <f>FIN_0_Параметры!$B$4+273</f>
        <v>46477</v>
      </c>
      <c r="G33" s="332">
        <f t="shared" si="0"/>
        <v>5</v>
      </c>
      <c r="H33" s="333">
        <f>E33-FIN_0_Параметры!$B$4+1</f>
        <v>270</v>
      </c>
      <c r="I33" s="316" t="s">
        <v>618</v>
      </c>
      <c r="J33" s="330" t="s">
        <v>709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C281-A915-44E5-9733-94E4338D78E0}">
  <dimension ref="A1:C44"/>
  <sheetViews>
    <sheetView tabSelected="1" workbookViewId="0">
      <pane ySplit="3" topLeftCell="A4" activePane="bottomLeft" state="frozen"/>
      <selection activeCell="A15" sqref="A15"/>
      <selection pane="bottomLeft" activeCell="D19" sqref="D19"/>
    </sheetView>
  </sheetViews>
  <sheetFormatPr defaultRowHeight="15"/>
  <cols>
    <col min="1" max="1" width="43.85546875" customWidth="1"/>
    <col min="2" max="2" width="22.85546875" customWidth="1"/>
  </cols>
  <sheetData>
    <row r="1" spans="1:2" ht="18.75">
      <c r="A1" s="412" t="s">
        <v>965</v>
      </c>
      <c r="B1" s="412"/>
    </row>
    <row r="3" spans="1:2">
      <c r="A3" s="387" t="s">
        <v>966</v>
      </c>
      <c r="B3" s="388" t="s">
        <v>967</v>
      </c>
    </row>
    <row r="4" spans="1:2" s="461" customFormat="1" ht="15.75">
      <c r="A4" s="462" t="s">
        <v>1068</v>
      </c>
      <c r="B4" s="463">
        <f>B5*(1+FIN_0_Параметры!$B$10)</f>
        <v>499923199.07999998</v>
      </c>
    </row>
    <row r="5" spans="1:2">
      <c r="A5" t="s">
        <v>1069</v>
      </c>
      <c r="B5" s="460">
        <v>409773114</v>
      </c>
    </row>
    <row r="6" spans="1:2">
      <c r="A6" t="s">
        <v>968</v>
      </c>
      <c r="B6" s="406">
        <v>0</v>
      </c>
    </row>
    <row r="7" spans="1:2">
      <c r="A7" s="401" t="s">
        <v>969</v>
      </c>
      <c r="B7" s="407">
        <f>SUM(B5:B6)</f>
        <v>409773114</v>
      </c>
    </row>
    <row r="8" spans="1:2">
      <c r="A8" s="390" t="s">
        <v>970</v>
      </c>
      <c r="B8" s="392"/>
    </row>
    <row r="9" spans="1:2">
      <c r="A9" s="442" t="s">
        <v>971</v>
      </c>
      <c r="B9" s="425">
        <f>Субподряд!D19</f>
        <v>172734475.05659014</v>
      </c>
    </row>
    <row r="10" spans="1:2">
      <c r="A10" t="s">
        <v>972</v>
      </c>
      <c r="B10" s="406">
        <v>0</v>
      </c>
    </row>
    <row r="11" spans="1:2">
      <c r="A11" s="442" t="s">
        <v>973</v>
      </c>
      <c r="B11" s="425">
        <f>Материалы!D19</f>
        <v>85378816.965827867</v>
      </c>
    </row>
    <row r="12" spans="1:2">
      <c r="A12" t="s">
        <v>974</v>
      </c>
      <c r="B12" s="406">
        <v>0</v>
      </c>
    </row>
    <row r="13" spans="1:2">
      <c r="A13" s="442" t="s">
        <v>975</v>
      </c>
      <c r="B13" s="425">
        <f>Инструмент!D6</f>
        <v>635573.7704918033</v>
      </c>
    </row>
    <row r="14" spans="1:2">
      <c r="A14" s="442" t="s">
        <v>976</v>
      </c>
      <c r="B14" s="425">
        <f>Аренда_машин!D6</f>
        <v>6750000</v>
      </c>
    </row>
    <row r="15" spans="1:2">
      <c r="A15" s="442" t="s">
        <v>977</v>
      </c>
      <c r="B15" s="405">
        <f>ФОТ_производственный!E6</f>
        <v>8889517.2413793094</v>
      </c>
    </row>
    <row r="16" spans="1:2">
      <c r="A16" s="442" t="s">
        <v>538</v>
      </c>
      <c r="B16" s="405">
        <f>Прочие_расходы_DC!D5</f>
        <v>10508196.721311476</v>
      </c>
    </row>
    <row r="17" spans="1:3">
      <c r="A17" s="442" t="s">
        <v>1003</v>
      </c>
      <c r="B17" s="425">
        <f>Разовые_расходы!D15</f>
        <v>11009299.18032787</v>
      </c>
    </row>
    <row r="18" spans="1:3">
      <c r="A18" s="401" t="s">
        <v>978</v>
      </c>
      <c r="B18" s="407">
        <f>SUM(B9:B17)</f>
        <v>295905878.93592846</v>
      </c>
    </row>
    <row r="19" spans="1:3">
      <c r="A19" s="402" t="s">
        <v>979</v>
      </c>
      <c r="B19" s="408">
        <f>B7-B18</f>
        <v>113867235.06407154</v>
      </c>
    </row>
    <row r="20" spans="1:3">
      <c r="A20" s="400" t="s">
        <v>980</v>
      </c>
      <c r="B20" s="403">
        <f>IFERROR(B19/B7,0)</f>
        <v>0.2778787362415181</v>
      </c>
    </row>
    <row r="21" spans="1:3">
      <c r="A21" s="390" t="s">
        <v>981</v>
      </c>
    </row>
    <row r="22" spans="1:3">
      <c r="A22" s="442" t="s">
        <v>982</v>
      </c>
      <c r="B22" s="405">
        <f>ФОТ_управленческий!E11</f>
        <v>23476406.896551728</v>
      </c>
    </row>
    <row r="23" spans="1:3">
      <c r="A23" t="s">
        <v>983</v>
      </c>
      <c r="B23" s="406">
        <v>0</v>
      </c>
    </row>
    <row r="24" spans="1:3">
      <c r="A24" s="442" t="s">
        <v>984</v>
      </c>
      <c r="B24" s="425">
        <f>Аренда_транспорта!D5</f>
        <v>922131.14754098363</v>
      </c>
    </row>
    <row r="25" spans="1:3">
      <c r="A25" s="442" t="s">
        <v>501</v>
      </c>
      <c r="B25" s="425">
        <f>Аутсорсинг!D8</f>
        <v>2409344.2622950817</v>
      </c>
    </row>
    <row r="26" spans="1:3">
      <c r="A26" s="442" t="s">
        <v>538</v>
      </c>
      <c r="B26" s="426">
        <f>Прочие_OPEX!D8</f>
        <v>10679918.032786885</v>
      </c>
      <c r="C26" s="425"/>
    </row>
    <row r="27" spans="1:3">
      <c r="A27" s="401" t="s">
        <v>985</v>
      </c>
      <c r="B27" s="407">
        <f>SUM(B22:B26)</f>
        <v>37487800.33917468</v>
      </c>
    </row>
    <row r="28" spans="1:3">
      <c r="A28" s="390" t="s">
        <v>986</v>
      </c>
      <c r="B28" s="392"/>
    </row>
    <row r="29" spans="1:3">
      <c r="A29" s="442" t="s">
        <v>987</v>
      </c>
      <c r="B29" s="405">
        <f>ФОТ_управленческий_ГО!E15</f>
        <v>7192427.5862068972</v>
      </c>
    </row>
    <row r="30" spans="1:3">
      <c r="A30" s="442" t="s">
        <v>988</v>
      </c>
      <c r="B30" s="405">
        <f>Содержание_офиса!D5</f>
        <v>5163934.4262295086</v>
      </c>
    </row>
    <row r="31" spans="1:3">
      <c r="A31" t="s">
        <v>989</v>
      </c>
      <c r="B31" s="406">
        <v>0</v>
      </c>
    </row>
    <row r="32" spans="1:3">
      <c r="A32" t="s">
        <v>990</v>
      </c>
      <c r="B32" s="406">
        <v>0</v>
      </c>
    </row>
    <row r="33" spans="1:2">
      <c r="A33" t="s">
        <v>991</v>
      </c>
      <c r="B33" s="406">
        <v>0</v>
      </c>
    </row>
    <row r="34" spans="1:2">
      <c r="A34" s="401" t="s">
        <v>992</v>
      </c>
      <c r="B34" s="407">
        <f>SUM(B29:B33)</f>
        <v>12356362.012436405</v>
      </c>
    </row>
    <row r="35" spans="1:2">
      <c r="A35" s="402" t="s">
        <v>993</v>
      </c>
      <c r="B35" s="408">
        <f>B19-B27-B34</f>
        <v>64023072.712460443</v>
      </c>
    </row>
    <row r="36" spans="1:2">
      <c r="A36" s="400" t="s">
        <v>994</v>
      </c>
      <c r="B36" s="403">
        <f>IFERROR(B35/B7,0)</f>
        <v>0.15624029621538432</v>
      </c>
    </row>
    <row r="37" spans="1:2">
      <c r="A37" s="390" t="s">
        <v>995</v>
      </c>
    </row>
    <row r="38" spans="1:2">
      <c r="A38" t="s">
        <v>996</v>
      </c>
      <c r="B38" s="406">
        <v>0</v>
      </c>
    </row>
    <row r="39" spans="1:2">
      <c r="A39" s="442" t="s">
        <v>997</v>
      </c>
      <c r="B39" s="405">
        <f>Финансовые_расходы!D5</f>
        <v>5624135.9896499999</v>
      </c>
    </row>
    <row r="40" spans="1:2">
      <c r="A40" s="401" t="s">
        <v>998</v>
      </c>
      <c r="B40" s="407">
        <f>B38-B39</f>
        <v>-5624135.9896499999</v>
      </c>
    </row>
    <row r="41" spans="1:2">
      <c r="A41" s="402" t="s">
        <v>999</v>
      </c>
      <c r="B41" s="408">
        <f>B35+B40</f>
        <v>58398936.722810447</v>
      </c>
    </row>
    <row r="42" spans="1:2">
      <c r="A42" t="s">
        <v>1000</v>
      </c>
      <c r="B42" s="392">
        <f>MAX(B41,0)*0.25</f>
        <v>14599734.180702612</v>
      </c>
    </row>
    <row r="43" spans="1:2">
      <c r="A43" s="404" t="s">
        <v>1001</v>
      </c>
      <c r="B43" s="409">
        <f>B41-B42</f>
        <v>43799202.542107835</v>
      </c>
    </row>
    <row r="44" spans="1:2">
      <c r="A44" s="400" t="s">
        <v>1002</v>
      </c>
      <c r="B44" s="403">
        <f>IFERROR(B43/B7,0)</f>
        <v>0.10688647216153824</v>
      </c>
    </row>
  </sheetData>
  <mergeCells count="1">
    <mergeCell ref="A1:B1"/>
  </mergeCells>
  <hyperlinks>
    <hyperlink ref="A9" location="Субподряд!A1" tooltip="Перейти к расшифровке «Оплата субподряда»" display="Оплата субподряда" xr:uid="{05A0A905-7E63-461A-92BA-9A36A3D9F182}"/>
    <hyperlink ref="A11" location="Материалы!A1" tooltip="Перейти к расшифровке «Основные материалы»" display="Основные материалы" xr:uid="{D1C260C3-05F8-472C-8429-F0DCC6854CBD}"/>
    <hyperlink ref="A13" location="Инструмент!A1" tooltip="Перейти к расшифровке «Инструмент»" display="Инструмент" xr:uid="{A8962CAA-A91D-4A24-A3B7-C9C98B9AD221}"/>
    <hyperlink ref="A14" location="Аренда_машин!A1" tooltip="Перейти к расшифровке «Аренда машин и оборудования»" display="Аренда машин и оборудования" xr:uid="{68BCB08F-C1A4-4F62-A467-65577218E7C5}"/>
    <hyperlink ref="A17" location="Разовые_расходы!A1" tooltip="Перейти к расшифровке «Разовые расходы»" display="Разовые расходы" xr:uid="{0403B4E2-2A39-4364-B1ED-89025CFA2ADC}"/>
    <hyperlink ref="A24" location="Аренда_транспорта!A1" tooltip="Перейти к расшифровке «Аренда транспорта»" display="Аренда транспорта" xr:uid="{58498CC4-A461-4C26-AE82-3B04C626A1C2}"/>
    <hyperlink ref="A25" location="Аутсорсинг!A1" tooltip="Перейти к расшифровке «Аутсорсинг»" display="Аутсорсинг" xr:uid="{C01B70B0-E50A-4B82-BA3D-E58BA9770AB4}"/>
    <hyperlink ref="A26" location="Прочие_OPEX!A1" tooltip="Перейти к расшифровке «Прочие расходы»" display="Прочие расходы" xr:uid="{D957D546-4F66-47C3-AA6C-802037CF558F}"/>
    <hyperlink ref="A15" location="'ФОТ_производственный'!A1" tooltip="Перейти к расшифровке ФОТ_производственный" display="ФОТ производственный" xr:uid="{F6D7724B-FA1D-47B8-86D9-73B1AACAAEB4}"/>
    <hyperlink ref="A22" location="'ФОТ_управленческий'!A1" tooltip="Перейти к расшифровке ФОТ_управленческий" display="ФОТ управленческий" xr:uid="{194E4D7E-ABD5-4F85-B6D6-F0B6C5D1491C}"/>
    <hyperlink ref="A29" location="'ФОТ_управленческий_ГО'!A1" tooltip="Перейти к расшифровке ФОТ_управленческий_ГО" display="ФОТ управленческий (ГО)" xr:uid="{D56131D6-E3BF-422D-815E-19A93AD594C4}"/>
    <hyperlink ref="A30" location="'Содержание_офиса'!A1" tooltip="Перейти к расшифровке Содержание_офиса" display="Содержание офиса" xr:uid="{79B1434A-80AD-4314-BBAC-FF98D7E1E0C3}"/>
    <hyperlink ref="A16" location="'Прочие_расходы_DC'!A1" tooltip="Перейти к расшифровке Прочие_расходы_DC" display="Прочие расходы" xr:uid="{DA7C2B48-DB8F-45F4-8D10-74E01259564A}"/>
    <hyperlink ref="A39" location="'Финансовые_расходы'!A1" tooltip="Перейти к расшифровке Финансовые_расходы" display="Финансовые расходы (проценты, БГ)" xr:uid="{446C59F8-6662-428E-882A-3E9BF7951DD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Z33"/>
  <sheetViews>
    <sheetView showGridLines="0" workbookViewId="0">
      <pane xSplit="6" ySplit="1" topLeftCell="G2" activePane="bottomRight" state="frozen"/>
      <selection activeCell="A15" sqref="A15"/>
      <selection pane="topRight" activeCell="A15" sqref="A15"/>
      <selection pane="bottomLeft" activeCell="A15" sqref="A15"/>
      <selection pane="bottomRight" activeCell="A15" sqref="A15"/>
    </sheetView>
  </sheetViews>
  <sheetFormatPr defaultColWidth="9" defaultRowHeight="15"/>
  <cols>
    <col min="1" max="1" width="6" style="135" customWidth="1"/>
    <col min="2" max="2" width="24" style="135" customWidth="1"/>
    <col min="3" max="3" width="58" style="135" customWidth="1"/>
    <col min="4" max="4" width="10" style="135" customWidth="1"/>
    <col min="5" max="5" width="10" customWidth="1"/>
    <col min="6" max="6" width="8" style="135" customWidth="1"/>
    <col min="7" max="7" width="4" style="135" customWidth="1"/>
    <col min="8" max="52" width="4" customWidth="1"/>
    <col min="53" max="53" width="9" style="135" customWidth="1"/>
    <col min="54" max="16384" width="9" style="135"/>
  </cols>
  <sheetData>
    <row r="1" spans="1:52" ht="27.75" customHeight="1">
      <c r="A1" s="299" t="s">
        <v>613</v>
      </c>
      <c r="B1" s="299" t="s">
        <v>427</v>
      </c>
      <c r="C1" s="299" t="s">
        <v>172</v>
      </c>
      <c r="D1" s="299" t="s">
        <v>615</v>
      </c>
      <c r="E1" s="299" t="s">
        <v>616</v>
      </c>
      <c r="F1" s="299" t="s">
        <v>617</v>
      </c>
      <c r="G1" s="334">
        <f>FIN_0_Параметры!$B$4+7*(7-7)</f>
        <v>46204</v>
      </c>
      <c r="H1" s="334">
        <f>FIN_0_Параметры!$B$4+7*(8-7)</f>
        <v>46211</v>
      </c>
      <c r="I1" s="334">
        <f>FIN_0_Параметры!$B$4+7*(9-7)</f>
        <v>46218</v>
      </c>
      <c r="J1" s="334">
        <f>FIN_0_Параметры!$B$4+7*(10-7)</f>
        <v>46225</v>
      </c>
      <c r="K1" s="334">
        <f>FIN_0_Параметры!$B$4+7*(11-7)</f>
        <v>46232</v>
      </c>
      <c r="L1" s="334">
        <f>FIN_0_Параметры!$B$4+7*(12-7)</f>
        <v>46239</v>
      </c>
      <c r="M1" s="334">
        <f>FIN_0_Параметры!$B$4+7*(13-7)</f>
        <v>46246</v>
      </c>
      <c r="N1" s="334">
        <f>FIN_0_Параметры!$B$4+7*(14-7)</f>
        <v>46253</v>
      </c>
      <c r="O1" s="334">
        <f>FIN_0_Параметры!$B$4+7*(15-7)</f>
        <v>46260</v>
      </c>
      <c r="P1" s="334">
        <f>FIN_0_Параметры!$B$4+7*(16-7)</f>
        <v>46267</v>
      </c>
      <c r="Q1" s="334">
        <f>FIN_0_Параметры!$B$4+7*(17-7)</f>
        <v>46274</v>
      </c>
      <c r="R1" s="334">
        <f>FIN_0_Параметры!$B$4+7*(18-7)</f>
        <v>46281</v>
      </c>
      <c r="S1" s="334">
        <f>FIN_0_Параметры!$B$4+7*(19-7)</f>
        <v>46288</v>
      </c>
      <c r="T1" s="334">
        <f>FIN_0_Параметры!$B$4+7*(20-7)</f>
        <v>46295</v>
      </c>
      <c r="U1" s="334">
        <f>FIN_0_Параметры!$B$4+7*(21-7)</f>
        <v>46302</v>
      </c>
      <c r="V1" s="334">
        <f>FIN_0_Параметры!$B$4+7*(22-7)</f>
        <v>46309</v>
      </c>
      <c r="W1" s="334">
        <f>FIN_0_Параметры!$B$4+7*(23-7)</f>
        <v>46316</v>
      </c>
      <c r="X1" s="334">
        <f>FIN_0_Параметры!$B$4+7*(24-7)</f>
        <v>46323</v>
      </c>
      <c r="Y1" s="334">
        <f>FIN_0_Параметры!$B$4+7*(25-7)</f>
        <v>46330</v>
      </c>
      <c r="Z1" s="334">
        <f>FIN_0_Параметры!$B$4+7*(26-7)</f>
        <v>46337</v>
      </c>
      <c r="AA1" s="334">
        <f>FIN_0_Параметры!$B$4+7*(27-7)</f>
        <v>46344</v>
      </c>
      <c r="AB1" s="334">
        <f>FIN_0_Параметры!$B$4+7*(28-7)</f>
        <v>46351</v>
      </c>
      <c r="AC1" s="334">
        <f>FIN_0_Параметры!$B$4+7*(29-7)</f>
        <v>46358</v>
      </c>
      <c r="AD1" s="334">
        <f>FIN_0_Параметры!$B$4+7*(30-7)</f>
        <v>46365</v>
      </c>
      <c r="AE1" s="334">
        <f>FIN_0_Параметры!$B$4+7*(31-7)</f>
        <v>46372</v>
      </c>
      <c r="AF1" s="334">
        <f>FIN_0_Параметры!$B$4+7*(32-7)</f>
        <v>46379</v>
      </c>
      <c r="AG1" s="334">
        <f>FIN_0_Параметры!$B$4+7*(33-7)</f>
        <v>46386</v>
      </c>
      <c r="AH1" s="334">
        <f>FIN_0_Параметры!$B$4+7*(34-7)</f>
        <v>46393</v>
      </c>
      <c r="AI1" s="334">
        <f>FIN_0_Параметры!$B$4+7*(35-7)</f>
        <v>46400</v>
      </c>
      <c r="AJ1" s="334">
        <f>FIN_0_Параметры!$B$4+7*(36-7)</f>
        <v>46407</v>
      </c>
      <c r="AK1" s="334">
        <f>FIN_0_Параметры!$B$4+7*(37-7)</f>
        <v>46414</v>
      </c>
      <c r="AL1" s="334">
        <f>FIN_0_Параметры!$B$4+7*(38-7)</f>
        <v>46421</v>
      </c>
      <c r="AM1" s="334">
        <f>FIN_0_Параметры!$B$4+7*(39-7)</f>
        <v>46428</v>
      </c>
      <c r="AN1" s="334">
        <f>FIN_0_Параметры!$B$4+7*(40-7)</f>
        <v>46435</v>
      </c>
      <c r="AO1" s="334">
        <f>FIN_0_Параметры!$B$4+7*(41-7)</f>
        <v>46442</v>
      </c>
      <c r="AP1" s="334">
        <f>FIN_0_Параметры!$B$4+7*(42-7)</f>
        <v>46449</v>
      </c>
      <c r="AQ1" s="334">
        <f>FIN_0_Параметры!$B$4+7*(43-7)</f>
        <v>46456</v>
      </c>
      <c r="AR1" s="334">
        <f>FIN_0_Параметры!$B$4+7*(44-7)</f>
        <v>46463</v>
      </c>
      <c r="AS1" s="334">
        <f>FIN_0_Параметры!$B$4+7*(45-7)</f>
        <v>46470</v>
      </c>
      <c r="AT1" s="334">
        <f>FIN_0_Параметры!$B$4+7*(46-7)</f>
        <v>46477</v>
      </c>
      <c r="AU1" s="334">
        <f>FIN_0_Параметры!$B$4+7*(47-7)</f>
        <v>46484</v>
      </c>
      <c r="AV1" s="334">
        <f>FIN_0_Параметры!$B$4+7*(48-7)</f>
        <v>46491</v>
      </c>
      <c r="AW1" s="334">
        <f>FIN_0_Параметры!$B$4+7*(49-7)</f>
        <v>46498</v>
      </c>
      <c r="AX1" s="334">
        <f>FIN_0_Параметры!$B$4+7*(50-7)</f>
        <v>46505</v>
      </c>
      <c r="AY1" s="334">
        <f>FIN_0_Параметры!$B$4+7*(51-7)</f>
        <v>46512</v>
      </c>
      <c r="AZ1" s="334">
        <f>FIN_0_Параметры!$B$4+7*(52-7)</f>
        <v>46519</v>
      </c>
    </row>
    <row r="2" spans="1:52" ht="28.5" customHeight="1">
      <c r="A2" s="335">
        <f>График!A2</f>
        <v>1</v>
      </c>
      <c r="B2" s="335" t="str">
        <f>График!B2</f>
        <v>0. Управление проектом</v>
      </c>
      <c r="C2" s="335" t="str">
        <f>График!C2</f>
        <v>Старт проекта, совещание, матрица ответственности, доступы к объекту</v>
      </c>
      <c r="D2" s="336">
        <f>График!E2</f>
        <v>46204</v>
      </c>
      <c r="E2" s="336">
        <f>График!F2</f>
        <v>46208</v>
      </c>
      <c r="F2" s="337">
        <f>График!G2</f>
        <v>5</v>
      </c>
      <c r="G2" s="338" t="str">
        <f>IF(AND(G$1&lt;=График!$F2,G$1+6&gt;=График!$E2),"■","")</f>
        <v>■</v>
      </c>
      <c r="H2" s="339" t="str">
        <f>IF(AND(H$1&lt;=График!$F2,H$1+6&gt;=График!$E2),"■","")</f>
        <v/>
      </c>
      <c r="I2" s="339" t="str">
        <f>IF(AND(I$1&lt;=График!$F2,I$1+6&gt;=График!$E2),"■","")</f>
        <v/>
      </c>
      <c r="J2" s="339" t="str">
        <f>IF(AND(J$1&lt;=График!$F2,J$1+6&gt;=График!$E2),"■","")</f>
        <v/>
      </c>
      <c r="K2" s="339" t="str">
        <f>IF(AND(K$1&lt;=График!$F2,K$1+6&gt;=График!$E2),"■","")</f>
        <v/>
      </c>
      <c r="L2" s="339" t="str">
        <f>IF(AND(L$1&lt;=График!$F2,L$1+6&gt;=График!$E2),"■","")</f>
        <v/>
      </c>
      <c r="M2" s="339" t="str">
        <f>IF(AND(M$1&lt;=График!$F2,M$1+6&gt;=График!$E2),"■","")</f>
        <v/>
      </c>
      <c r="N2" s="339" t="str">
        <f>IF(AND(N$1&lt;=График!$F2,N$1+6&gt;=График!$E2),"■","")</f>
        <v/>
      </c>
      <c r="O2" s="339" t="str">
        <f>IF(AND(O$1&lt;=График!$F2,O$1+6&gt;=График!$E2),"■","")</f>
        <v/>
      </c>
      <c r="P2" s="339" t="str">
        <f>IF(AND(P$1&lt;=График!$F2,P$1+6&gt;=График!$E2),"■","")</f>
        <v/>
      </c>
      <c r="Q2" s="339" t="str">
        <f>IF(AND(Q$1&lt;=График!$F2,Q$1+6&gt;=График!$E2),"■","")</f>
        <v/>
      </c>
      <c r="R2" s="339" t="str">
        <f>IF(AND(R$1&lt;=График!$F2,R$1+6&gt;=График!$E2),"■","")</f>
        <v/>
      </c>
      <c r="S2" s="339" t="str">
        <f>IF(AND(S$1&lt;=График!$F2,S$1+6&gt;=График!$E2),"■","")</f>
        <v/>
      </c>
      <c r="T2" s="339" t="str">
        <f>IF(AND(T$1&lt;=График!$F2,T$1+6&gt;=График!$E2),"■","")</f>
        <v/>
      </c>
      <c r="U2" s="339" t="str">
        <f>IF(AND(U$1&lt;=График!$F2,U$1+6&gt;=График!$E2),"■","")</f>
        <v/>
      </c>
      <c r="V2" s="339" t="str">
        <f>IF(AND(V$1&lt;=График!$F2,V$1+6&gt;=График!$E2),"■","")</f>
        <v/>
      </c>
      <c r="W2" s="339" t="str">
        <f>IF(AND(W$1&lt;=График!$F2,W$1+6&gt;=График!$E2),"■","")</f>
        <v/>
      </c>
      <c r="X2" s="339" t="str">
        <f>IF(AND(X$1&lt;=График!$F2,X$1+6&gt;=График!$E2),"■","")</f>
        <v/>
      </c>
      <c r="Y2" s="339" t="str">
        <f>IF(AND(Y$1&lt;=График!$F2,Y$1+6&gt;=График!$E2),"■","")</f>
        <v/>
      </c>
      <c r="Z2" s="339" t="str">
        <f>IF(AND(Z$1&lt;=График!$F2,Z$1+6&gt;=График!$E2),"■","")</f>
        <v/>
      </c>
      <c r="AA2" s="339" t="str">
        <f>IF(AND(AA$1&lt;=График!$F2,AA$1+6&gt;=График!$E2),"■","")</f>
        <v/>
      </c>
      <c r="AB2" s="339" t="str">
        <f>IF(AND(AB$1&lt;=График!$F2,AB$1+6&gt;=График!$E2),"■","")</f>
        <v/>
      </c>
      <c r="AC2" s="339" t="str">
        <f>IF(AND(AC$1&lt;=График!$F2,AC$1+6&gt;=График!$E2),"■","")</f>
        <v/>
      </c>
      <c r="AD2" s="339" t="str">
        <f>IF(AND(AD$1&lt;=График!$F2,AD$1+6&gt;=График!$E2),"■","")</f>
        <v/>
      </c>
      <c r="AE2" s="339" t="str">
        <f>IF(AND(AE$1&lt;=График!$F2,AE$1+6&gt;=График!$E2),"■","")</f>
        <v/>
      </c>
      <c r="AF2" s="339" t="str">
        <f>IF(AND(AF$1&lt;=График!$F2,AF$1+6&gt;=График!$E2),"■","")</f>
        <v/>
      </c>
      <c r="AG2" s="339" t="str">
        <f>IF(AND(AG$1&lt;=График!$F2,AG$1+6&gt;=График!$E2),"■","")</f>
        <v/>
      </c>
      <c r="AH2" s="339" t="str">
        <f>IF(AND(AH$1&lt;=График!$F2,AH$1+6&gt;=График!$E2),"■","")</f>
        <v/>
      </c>
      <c r="AI2" s="339" t="str">
        <f>IF(AND(AI$1&lt;=График!$F2,AI$1+6&gt;=График!$E2),"■","")</f>
        <v/>
      </c>
      <c r="AJ2" s="339" t="str">
        <f>IF(AND(AJ$1&lt;=График!$F2,AJ$1+6&gt;=График!$E2),"■","")</f>
        <v/>
      </c>
      <c r="AK2" s="339" t="str">
        <f>IF(AND(AK$1&lt;=График!$F2,AK$1+6&gt;=График!$E2),"■","")</f>
        <v/>
      </c>
      <c r="AL2" s="339" t="str">
        <f>IF(AND(AL$1&lt;=График!$F2,AL$1+6&gt;=График!$E2),"■","")</f>
        <v/>
      </c>
      <c r="AM2" s="339" t="str">
        <f>IF(AND(AM$1&lt;=График!$F2,AM$1+6&gt;=График!$E2),"■","")</f>
        <v/>
      </c>
      <c r="AN2" s="339" t="str">
        <f>IF(AND(AN$1&lt;=График!$F2,AN$1+6&gt;=График!$E2),"■","")</f>
        <v/>
      </c>
      <c r="AO2" s="339" t="str">
        <f>IF(AND(AO$1&lt;=График!$F2,AO$1+6&gt;=График!$E2),"■","")</f>
        <v/>
      </c>
      <c r="AP2" s="339" t="str">
        <f>IF(AND(AP$1&lt;=График!$F2,AP$1+6&gt;=График!$E2),"■","")</f>
        <v/>
      </c>
      <c r="AQ2" s="339" t="str">
        <f>IF(AND(AQ$1&lt;=График!$F2,AQ$1+6&gt;=График!$E2),"■","")</f>
        <v/>
      </c>
      <c r="AR2" s="339" t="str">
        <f>IF(AND(AR$1&lt;=График!$F2,AR$1+6&gt;=График!$E2),"■","")</f>
        <v/>
      </c>
      <c r="AS2" s="339" t="str">
        <f>IF(AND(AS$1&lt;=График!$F2,AS$1+6&gt;=График!$E2),"■","")</f>
        <v/>
      </c>
      <c r="AT2" s="339" t="str">
        <f>IF(AND(AT$1&lt;=График!$F2,AT$1+6&gt;=График!$E2),"■","")</f>
        <v/>
      </c>
      <c r="AU2" s="339" t="str">
        <f>IF(AND(AU$1&lt;=График!$F2,AU$1+6&gt;=График!$E2),"■","")</f>
        <v/>
      </c>
      <c r="AV2" s="339" t="str">
        <f>IF(AND(AV$1&lt;=График!$F2,AV$1+6&gt;=График!$E2),"■","")</f>
        <v/>
      </c>
      <c r="AW2" s="339" t="str">
        <f>IF(AND(AW$1&lt;=График!$F2,AW$1+6&gt;=График!$E2),"■","")</f>
        <v/>
      </c>
      <c r="AX2" s="339" t="str">
        <f>IF(AND(AX$1&lt;=График!$F2,AX$1+6&gt;=График!$E2),"■","")</f>
        <v/>
      </c>
      <c r="AY2" s="339" t="str">
        <f>IF(AND(AY$1&lt;=График!$F2,AY$1+6&gt;=График!$E2),"■","")</f>
        <v/>
      </c>
      <c r="AZ2" s="339" t="str">
        <f>IF(AND(AZ$1&lt;=График!$F2,AZ$1+6&gt;=График!$E2),"■","")</f>
        <v/>
      </c>
    </row>
    <row r="3" spans="1:52" ht="28.5" customHeight="1">
      <c r="A3" s="340">
        <f>График!A3</f>
        <v>2</v>
      </c>
      <c r="B3" s="340" t="str">
        <f>График!B3</f>
        <v>1. ПИР и исходные данные</v>
      </c>
      <c r="C3" s="340" t="str">
        <f>График!C3</f>
        <v>Обследование, обмеры кровли и единого светового фонаря СФ-1</v>
      </c>
      <c r="D3" s="341">
        <f>График!E3</f>
        <v>46204</v>
      </c>
      <c r="E3" s="341">
        <f>График!F3</f>
        <v>46223</v>
      </c>
      <c r="F3" s="315">
        <f>График!G3</f>
        <v>20</v>
      </c>
      <c r="G3" s="342" t="str">
        <f>IF(AND(G$1&lt;=График!$F3,G$1+6&gt;=График!$E3),"■","")</f>
        <v>■</v>
      </c>
      <c r="H3" s="342" t="str">
        <f>IF(AND(H$1&lt;=График!$F3,H$1+6&gt;=График!$E3),"■","")</f>
        <v>■</v>
      </c>
      <c r="I3" s="342" t="str">
        <f>IF(AND(I$1&lt;=График!$F3,I$1+6&gt;=График!$E3),"■","")</f>
        <v>■</v>
      </c>
      <c r="J3" s="339" t="str">
        <f>IF(AND(J$1&lt;=График!$F3,J$1+6&gt;=График!$E3),"■","")</f>
        <v/>
      </c>
      <c r="K3" s="339" t="str">
        <f>IF(AND(K$1&lt;=График!$F3,K$1+6&gt;=График!$E3),"■","")</f>
        <v/>
      </c>
      <c r="L3" s="339" t="str">
        <f>IF(AND(L$1&lt;=График!$F3,L$1+6&gt;=График!$E3),"■","")</f>
        <v/>
      </c>
      <c r="M3" s="339" t="str">
        <f>IF(AND(M$1&lt;=График!$F3,M$1+6&gt;=График!$E3),"■","")</f>
        <v/>
      </c>
      <c r="N3" s="339" t="str">
        <f>IF(AND(N$1&lt;=График!$F3,N$1+6&gt;=График!$E3),"■","")</f>
        <v/>
      </c>
      <c r="O3" s="339" t="str">
        <f>IF(AND(O$1&lt;=График!$F3,O$1+6&gt;=График!$E3),"■","")</f>
        <v/>
      </c>
      <c r="P3" s="339" t="str">
        <f>IF(AND(P$1&lt;=График!$F3,P$1+6&gt;=График!$E3),"■","")</f>
        <v/>
      </c>
      <c r="Q3" s="339" t="str">
        <f>IF(AND(Q$1&lt;=График!$F3,Q$1+6&gt;=График!$E3),"■","")</f>
        <v/>
      </c>
      <c r="R3" s="339" t="str">
        <f>IF(AND(R$1&lt;=График!$F3,R$1+6&gt;=График!$E3),"■","")</f>
        <v/>
      </c>
      <c r="S3" s="339" t="str">
        <f>IF(AND(S$1&lt;=График!$F3,S$1+6&gt;=График!$E3),"■","")</f>
        <v/>
      </c>
      <c r="T3" s="339" t="str">
        <f>IF(AND(T$1&lt;=График!$F3,T$1+6&gt;=График!$E3),"■","")</f>
        <v/>
      </c>
      <c r="U3" s="339" t="str">
        <f>IF(AND(U$1&lt;=График!$F3,U$1+6&gt;=График!$E3),"■","")</f>
        <v/>
      </c>
      <c r="V3" s="339" t="str">
        <f>IF(AND(V$1&lt;=График!$F3,V$1+6&gt;=График!$E3),"■","")</f>
        <v/>
      </c>
      <c r="W3" s="339" t="str">
        <f>IF(AND(W$1&lt;=График!$F3,W$1+6&gt;=График!$E3),"■","")</f>
        <v/>
      </c>
      <c r="X3" s="339" t="str">
        <f>IF(AND(X$1&lt;=График!$F3,X$1+6&gt;=График!$E3),"■","")</f>
        <v/>
      </c>
      <c r="Y3" s="339" t="str">
        <f>IF(AND(Y$1&lt;=График!$F3,Y$1+6&gt;=График!$E3),"■","")</f>
        <v/>
      </c>
      <c r="Z3" s="339" t="str">
        <f>IF(AND(Z$1&lt;=График!$F3,Z$1+6&gt;=График!$E3),"■","")</f>
        <v/>
      </c>
      <c r="AA3" s="339" t="str">
        <f>IF(AND(AA$1&lt;=График!$F3,AA$1+6&gt;=График!$E3),"■","")</f>
        <v/>
      </c>
      <c r="AB3" s="339" t="str">
        <f>IF(AND(AB$1&lt;=График!$F3,AB$1+6&gt;=График!$E3),"■","")</f>
        <v/>
      </c>
      <c r="AC3" s="339" t="str">
        <f>IF(AND(AC$1&lt;=График!$F3,AC$1+6&gt;=График!$E3),"■","")</f>
        <v/>
      </c>
      <c r="AD3" s="339" t="str">
        <f>IF(AND(AD$1&lt;=График!$F3,AD$1+6&gt;=График!$E3),"■","")</f>
        <v/>
      </c>
      <c r="AE3" s="339" t="str">
        <f>IF(AND(AE$1&lt;=График!$F3,AE$1+6&gt;=График!$E3),"■","")</f>
        <v/>
      </c>
      <c r="AF3" s="339" t="str">
        <f>IF(AND(AF$1&lt;=График!$F3,AF$1+6&gt;=График!$E3),"■","")</f>
        <v/>
      </c>
      <c r="AG3" s="339" t="str">
        <f>IF(AND(AG$1&lt;=График!$F3,AG$1+6&gt;=График!$E3),"■","")</f>
        <v/>
      </c>
      <c r="AH3" s="339" t="str">
        <f>IF(AND(AH$1&lt;=График!$F3,AH$1+6&gt;=График!$E3),"■","")</f>
        <v/>
      </c>
      <c r="AI3" s="339" t="str">
        <f>IF(AND(AI$1&lt;=График!$F3,AI$1+6&gt;=График!$E3),"■","")</f>
        <v/>
      </c>
      <c r="AJ3" s="339" t="str">
        <f>IF(AND(AJ$1&lt;=График!$F3,AJ$1+6&gt;=График!$E3),"■","")</f>
        <v/>
      </c>
      <c r="AK3" s="339" t="str">
        <f>IF(AND(AK$1&lt;=График!$F3,AK$1+6&gt;=График!$E3),"■","")</f>
        <v/>
      </c>
      <c r="AL3" s="339" t="str">
        <f>IF(AND(AL$1&lt;=График!$F3,AL$1+6&gt;=График!$E3),"■","")</f>
        <v/>
      </c>
      <c r="AM3" s="339" t="str">
        <f>IF(AND(AM$1&lt;=График!$F3,AM$1+6&gt;=График!$E3),"■","")</f>
        <v/>
      </c>
      <c r="AN3" s="339" t="str">
        <f>IF(AND(AN$1&lt;=График!$F3,AN$1+6&gt;=График!$E3),"■","")</f>
        <v/>
      </c>
      <c r="AO3" s="339" t="str">
        <f>IF(AND(AO$1&lt;=График!$F3,AO$1+6&gt;=График!$E3),"■","")</f>
        <v/>
      </c>
      <c r="AP3" s="339" t="str">
        <f>IF(AND(AP$1&lt;=График!$F3,AP$1+6&gt;=График!$E3),"■","")</f>
        <v/>
      </c>
      <c r="AQ3" s="339" t="str">
        <f>IF(AND(AQ$1&lt;=График!$F3,AQ$1+6&gt;=График!$E3),"■","")</f>
        <v/>
      </c>
      <c r="AR3" s="339" t="str">
        <f>IF(AND(AR$1&lt;=График!$F3,AR$1+6&gt;=График!$E3),"■","")</f>
        <v/>
      </c>
      <c r="AS3" s="339" t="str">
        <f>IF(AND(AS$1&lt;=График!$F3,AS$1+6&gt;=График!$E3),"■","")</f>
        <v/>
      </c>
      <c r="AT3" s="339" t="str">
        <f>IF(AND(AT$1&lt;=График!$F3,AT$1+6&gt;=График!$E3),"■","")</f>
        <v/>
      </c>
      <c r="AU3" s="339" t="str">
        <f>IF(AND(AU$1&lt;=График!$F3,AU$1+6&gt;=График!$E3),"■","")</f>
        <v/>
      </c>
      <c r="AV3" s="339" t="str">
        <f>IF(AND(AV$1&lt;=График!$F3,AV$1+6&gt;=График!$E3),"■","")</f>
        <v/>
      </c>
      <c r="AW3" s="339" t="str">
        <f>IF(AND(AW$1&lt;=График!$F3,AW$1+6&gt;=График!$E3),"■","")</f>
        <v/>
      </c>
      <c r="AX3" s="339" t="str">
        <f>IF(AND(AX$1&lt;=График!$F3,AX$1+6&gt;=График!$E3),"■","")</f>
        <v/>
      </c>
      <c r="AY3" s="339" t="str">
        <f>IF(AND(AY$1&lt;=График!$F3,AY$1+6&gt;=График!$E3),"■","")</f>
        <v/>
      </c>
      <c r="AZ3" s="339" t="str">
        <f>IF(AND(AZ$1&lt;=График!$F3,AZ$1+6&gt;=График!$E3),"■","")</f>
        <v/>
      </c>
    </row>
    <row r="4" spans="1:52" ht="14.25" customHeight="1">
      <c r="A4" s="340">
        <f>График!A4</f>
        <v>3</v>
      </c>
      <c r="B4" s="340" t="str">
        <f>График!B4</f>
        <v>1. ПИР и исходные данные</v>
      </c>
      <c r="C4" s="340" t="str">
        <f>График!C4</f>
        <v>Разработка рабочей документации</v>
      </c>
      <c r="D4" s="341">
        <f>График!E4</f>
        <v>46204</v>
      </c>
      <c r="E4" s="341">
        <f>График!F4</f>
        <v>46273</v>
      </c>
      <c r="F4" s="315">
        <f>График!G4</f>
        <v>70</v>
      </c>
      <c r="G4" s="342" t="str">
        <f>IF(AND(G$1&lt;=График!$F4,G$1+6&gt;=График!$E4),"■","")</f>
        <v>■</v>
      </c>
      <c r="H4" s="342" t="str">
        <f>IF(AND(H$1&lt;=График!$F4,H$1+6&gt;=График!$E4),"■","")</f>
        <v>■</v>
      </c>
      <c r="I4" s="342" t="str">
        <f>IF(AND(I$1&lt;=График!$F4,I$1+6&gt;=График!$E4),"■","")</f>
        <v>■</v>
      </c>
      <c r="J4" s="342" t="str">
        <f>IF(AND(J$1&lt;=График!$F4,J$1+6&gt;=График!$E4),"■","")</f>
        <v>■</v>
      </c>
      <c r="K4" s="342" t="str">
        <f>IF(AND(K$1&lt;=График!$F4,K$1+6&gt;=График!$E4),"■","")</f>
        <v>■</v>
      </c>
      <c r="L4" s="342" t="str">
        <f>IF(AND(L$1&lt;=График!$F4,L$1+6&gt;=График!$E4),"■","")</f>
        <v>■</v>
      </c>
      <c r="M4" s="342" t="str">
        <f>IF(AND(M$1&lt;=График!$F4,M$1+6&gt;=График!$E4),"■","")</f>
        <v>■</v>
      </c>
      <c r="N4" s="342" t="str">
        <f>IF(AND(N$1&lt;=График!$F4,N$1+6&gt;=График!$E4),"■","")</f>
        <v>■</v>
      </c>
      <c r="O4" s="342" t="str">
        <f>IF(AND(O$1&lt;=График!$F4,O$1+6&gt;=График!$E4),"■","")</f>
        <v>■</v>
      </c>
      <c r="P4" s="342" t="str">
        <f>IF(AND(P$1&lt;=График!$F4,P$1+6&gt;=График!$E4),"■","")</f>
        <v>■</v>
      </c>
      <c r="Q4" s="339" t="str">
        <f>IF(AND(Q$1&lt;=График!$F4,Q$1+6&gt;=График!$E4),"■","")</f>
        <v/>
      </c>
      <c r="R4" s="339" t="str">
        <f>IF(AND(R$1&lt;=График!$F4,R$1+6&gt;=График!$E4),"■","")</f>
        <v/>
      </c>
      <c r="S4" s="339" t="str">
        <f>IF(AND(S$1&lt;=График!$F4,S$1+6&gt;=График!$E4),"■","")</f>
        <v/>
      </c>
      <c r="T4" s="339" t="str">
        <f>IF(AND(T$1&lt;=График!$F4,T$1+6&gt;=График!$E4),"■","")</f>
        <v/>
      </c>
      <c r="U4" s="339" t="str">
        <f>IF(AND(U$1&lt;=График!$F4,U$1+6&gt;=График!$E4),"■","")</f>
        <v/>
      </c>
      <c r="V4" s="339" t="str">
        <f>IF(AND(V$1&lt;=График!$F4,V$1+6&gt;=График!$E4),"■","")</f>
        <v/>
      </c>
      <c r="W4" s="339" t="str">
        <f>IF(AND(W$1&lt;=График!$F4,W$1+6&gt;=График!$E4),"■","")</f>
        <v/>
      </c>
      <c r="X4" s="339" t="str">
        <f>IF(AND(X$1&lt;=График!$F4,X$1+6&gt;=График!$E4),"■","")</f>
        <v/>
      </c>
      <c r="Y4" s="339" t="str">
        <f>IF(AND(Y$1&lt;=График!$F4,Y$1+6&gt;=График!$E4),"■","")</f>
        <v/>
      </c>
      <c r="Z4" s="339" t="str">
        <f>IF(AND(Z$1&lt;=График!$F4,Z$1+6&gt;=График!$E4),"■","")</f>
        <v/>
      </c>
      <c r="AA4" s="339" t="str">
        <f>IF(AND(AA$1&lt;=График!$F4,AA$1+6&gt;=График!$E4),"■","")</f>
        <v/>
      </c>
      <c r="AB4" s="339" t="str">
        <f>IF(AND(AB$1&lt;=График!$F4,AB$1+6&gt;=График!$E4),"■","")</f>
        <v/>
      </c>
      <c r="AC4" s="339" t="str">
        <f>IF(AND(AC$1&lt;=График!$F4,AC$1+6&gt;=График!$E4),"■","")</f>
        <v/>
      </c>
      <c r="AD4" s="339" t="str">
        <f>IF(AND(AD$1&lt;=График!$F4,AD$1+6&gt;=График!$E4),"■","")</f>
        <v/>
      </c>
      <c r="AE4" s="339" t="str">
        <f>IF(AND(AE$1&lt;=График!$F4,AE$1+6&gt;=График!$E4),"■","")</f>
        <v/>
      </c>
      <c r="AF4" s="339" t="str">
        <f>IF(AND(AF$1&lt;=График!$F4,AF$1+6&gt;=График!$E4),"■","")</f>
        <v/>
      </c>
      <c r="AG4" s="339" t="str">
        <f>IF(AND(AG$1&lt;=График!$F4,AG$1+6&gt;=График!$E4),"■","")</f>
        <v/>
      </c>
      <c r="AH4" s="339" t="str">
        <f>IF(AND(AH$1&lt;=График!$F4,AH$1+6&gt;=График!$E4),"■","")</f>
        <v/>
      </c>
      <c r="AI4" s="339" t="str">
        <f>IF(AND(AI$1&lt;=График!$F4,AI$1+6&gt;=График!$E4),"■","")</f>
        <v/>
      </c>
      <c r="AJ4" s="339" t="str">
        <f>IF(AND(AJ$1&lt;=График!$F4,AJ$1+6&gt;=График!$E4),"■","")</f>
        <v/>
      </c>
      <c r="AK4" s="339" t="str">
        <f>IF(AND(AK$1&lt;=График!$F4,AK$1+6&gt;=График!$E4),"■","")</f>
        <v/>
      </c>
      <c r="AL4" s="339" t="str">
        <f>IF(AND(AL$1&lt;=График!$F4,AL$1+6&gt;=График!$E4),"■","")</f>
        <v/>
      </c>
      <c r="AM4" s="339" t="str">
        <f>IF(AND(AM$1&lt;=График!$F4,AM$1+6&gt;=График!$E4),"■","")</f>
        <v/>
      </c>
      <c r="AN4" s="339" t="str">
        <f>IF(AND(AN$1&lt;=График!$F4,AN$1+6&gt;=График!$E4),"■","")</f>
        <v/>
      </c>
      <c r="AO4" s="339" t="str">
        <f>IF(AND(AO$1&lt;=График!$F4,AO$1+6&gt;=График!$E4),"■","")</f>
        <v/>
      </c>
      <c r="AP4" s="339" t="str">
        <f>IF(AND(AP$1&lt;=График!$F4,AP$1+6&gt;=График!$E4),"■","")</f>
        <v/>
      </c>
      <c r="AQ4" s="339" t="str">
        <f>IF(AND(AQ$1&lt;=График!$F4,AQ$1+6&gt;=График!$E4),"■","")</f>
        <v/>
      </c>
      <c r="AR4" s="339" t="str">
        <f>IF(AND(AR$1&lt;=График!$F4,AR$1+6&gt;=График!$E4),"■","")</f>
        <v/>
      </c>
      <c r="AS4" s="339" t="str">
        <f>IF(AND(AS$1&lt;=График!$F4,AS$1+6&gt;=График!$E4),"■","")</f>
        <v/>
      </c>
      <c r="AT4" s="339" t="str">
        <f>IF(AND(AT$1&lt;=График!$F4,AT$1+6&gt;=График!$E4),"■","")</f>
        <v/>
      </c>
      <c r="AU4" s="339" t="str">
        <f>IF(AND(AU$1&lt;=График!$F4,AU$1+6&gt;=График!$E4),"■","")</f>
        <v/>
      </c>
      <c r="AV4" s="339" t="str">
        <f>IF(AND(AV$1&lt;=График!$F4,AV$1+6&gt;=График!$E4),"■","")</f>
        <v/>
      </c>
      <c r="AW4" s="339" t="str">
        <f>IF(AND(AW$1&lt;=График!$F4,AW$1+6&gt;=График!$E4),"■","")</f>
        <v/>
      </c>
      <c r="AX4" s="339" t="str">
        <f>IF(AND(AX$1&lt;=График!$F4,AX$1+6&gt;=График!$E4),"■","")</f>
        <v/>
      </c>
      <c r="AY4" s="339" t="str">
        <f>IF(AND(AY$1&lt;=График!$F4,AY$1+6&gt;=График!$E4),"■","")</f>
        <v/>
      </c>
      <c r="AZ4" s="339" t="str">
        <f>IF(AND(AZ$1&lt;=График!$F4,AZ$1+6&gt;=График!$E4),"■","")</f>
        <v/>
      </c>
    </row>
    <row r="5" spans="1:52" ht="14.25" customHeight="1">
      <c r="A5" s="340">
        <f>График!A5</f>
        <v>4</v>
      </c>
      <c r="B5" s="340" t="str">
        <f>График!B5</f>
        <v>1. ПИР и исходные данные</v>
      </c>
      <c r="C5" s="340" t="str">
        <f>График!C5</f>
        <v>Проверка, согласование РД/ППР, выдача в производство</v>
      </c>
      <c r="D5" s="341">
        <f>График!E5</f>
        <v>46274</v>
      </c>
      <c r="E5" s="341">
        <f>График!F5</f>
        <v>46283</v>
      </c>
      <c r="F5" s="315">
        <f>График!G5</f>
        <v>10</v>
      </c>
      <c r="G5" s="339" t="str">
        <f>IF(AND(G$1&lt;=График!$F5,G$1+6&gt;=График!$E5),"■","")</f>
        <v/>
      </c>
      <c r="H5" s="339" t="str">
        <f>IF(AND(H$1&lt;=График!$F5,H$1+6&gt;=График!$E5),"■","")</f>
        <v/>
      </c>
      <c r="I5" s="339" t="str">
        <f>IF(AND(I$1&lt;=График!$F5,I$1+6&gt;=График!$E5),"■","")</f>
        <v/>
      </c>
      <c r="J5" s="339" t="str">
        <f>IF(AND(J$1&lt;=График!$F5,J$1+6&gt;=График!$E5),"■","")</f>
        <v/>
      </c>
      <c r="K5" s="339" t="str">
        <f>IF(AND(K$1&lt;=График!$F5,K$1+6&gt;=График!$E5),"■","")</f>
        <v/>
      </c>
      <c r="L5" s="339" t="str">
        <f>IF(AND(L$1&lt;=График!$F5,L$1+6&gt;=График!$E5),"■","")</f>
        <v/>
      </c>
      <c r="M5" s="339" t="str">
        <f>IF(AND(M$1&lt;=График!$F5,M$1+6&gt;=График!$E5),"■","")</f>
        <v/>
      </c>
      <c r="N5" s="339" t="str">
        <f>IF(AND(N$1&lt;=График!$F5,N$1+6&gt;=График!$E5),"■","")</f>
        <v/>
      </c>
      <c r="O5" s="339" t="str">
        <f>IF(AND(O$1&lt;=График!$F5,O$1+6&gt;=График!$E5),"■","")</f>
        <v/>
      </c>
      <c r="P5" s="339" t="str">
        <f>IF(AND(P$1&lt;=График!$F5,P$1+6&gt;=График!$E5),"■","")</f>
        <v/>
      </c>
      <c r="Q5" s="342" t="str">
        <f>IF(AND(Q$1&lt;=График!$F5,Q$1+6&gt;=График!$E5),"■","")</f>
        <v>■</v>
      </c>
      <c r="R5" s="342" t="str">
        <f>IF(AND(R$1&lt;=График!$F5,R$1+6&gt;=График!$E5),"■","")</f>
        <v>■</v>
      </c>
      <c r="S5" s="339" t="str">
        <f>IF(AND(S$1&lt;=График!$F5,S$1+6&gt;=График!$E5),"■","")</f>
        <v/>
      </c>
      <c r="T5" s="339" t="str">
        <f>IF(AND(T$1&lt;=График!$F5,T$1+6&gt;=График!$E5),"■","")</f>
        <v/>
      </c>
      <c r="U5" s="339" t="str">
        <f>IF(AND(U$1&lt;=График!$F5,U$1+6&gt;=График!$E5),"■","")</f>
        <v/>
      </c>
      <c r="V5" s="339" t="str">
        <f>IF(AND(V$1&lt;=График!$F5,V$1+6&gt;=График!$E5),"■","")</f>
        <v/>
      </c>
      <c r="W5" s="339" t="str">
        <f>IF(AND(W$1&lt;=График!$F5,W$1+6&gt;=График!$E5),"■","")</f>
        <v/>
      </c>
      <c r="X5" s="339" t="str">
        <f>IF(AND(X$1&lt;=График!$F5,X$1+6&gt;=График!$E5),"■","")</f>
        <v/>
      </c>
      <c r="Y5" s="339" t="str">
        <f>IF(AND(Y$1&lt;=График!$F5,Y$1+6&gt;=График!$E5),"■","")</f>
        <v/>
      </c>
      <c r="Z5" s="339" t="str">
        <f>IF(AND(Z$1&lt;=График!$F5,Z$1+6&gt;=График!$E5),"■","")</f>
        <v/>
      </c>
      <c r="AA5" s="339" t="str">
        <f>IF(AND(AA$1&lt;=График!$F5,AA$1+6&gt;=График!$E5),"■","")</f>
        <v/>
      </c>
      <c r="AB5" s="339" t="str">
        <f>IF(AND(AB$1&lt;=График!$F5,AB$1+6&gt;=График!$E5),"■","")</f>
        <v/>
      </c>
      <c r="AC5" s="339" t="str">
        <f>IF(AND(AC$1&lt;=График!$F5,AC$1+6&gt;=График!$E5),"■","")</f>
        <v/>
      </c>
      <c r="AD5" s="339" t="str">
        <f>IF(AND(AD$1&lt;=График!$F5,AD$1+6&gt;=График!$E5),"■","")</f>
        <v/>
      </c>
      <c r="AE5" s="339" t="str">
        <f>IF(AND(AE$1&lt;=График!$F5,AE$1+6&gt;=График!$E5),"■","")</f>
        <v/>
      </c>
      <c r="AF5" s="339" t="str">
        <f>IF(AND(AF$1&lt;=График!$F5,AF$1+6&gt;=График!$E5),"■","")</f>
        <v/>
      </c>
      <c r="AG5" s="339" t="str">
        <f>IF(AND(AG$1&lt;=График!$F5,AG$1+6&gt;=График!$E5),"■","")</f>
        <v/>
      </c>
      <c r="AH5" s="339" t="str">
        <f>IF(AND(AH$1&lt;=График!$F5,AH$1+6&gt;=График!$E5),"■","")</f>
        <v/>
      </c>
      <c r="AI5" s="339" t="str">
        <f>IF(AND(AI$1&lt;=График!$F5,AI$1+6&gt;=График!$E5),"■","")</f>
        <v/>
      </c>
      <c r="AJ5" s="339" t="str">
        <f>IF(AND(AJ$1&lt;=График!$F5,AJ$1+6&gt;=График!$E5),"■","")</f>
        <v/>
      </c>
      <c r="AK5" s="339" t="str">
        <f>IF(AND(AK$1&lt;=График!$F5,AK$1+6&gt;=График!$E5),"■","")</f>
        <v/>
      </c>
      <c r="AL5" s="339" t="str">
        <f>IF(AND(AL$1&lt;=График!$F5,AL$1+6&gt;=График!$E5),"■","")</f>
        <v/>
      </c>
      <c r="AM5" s="339" t="str">
        <f>IF(AND(AM$1&lt;=График!$F5,AM$1+6&gt;=График!$E5),"■","")</f>
        <v/>
      </c>
      <c r="AN5" s="339" t="str">
        <f>IF(AND(AN$1&lt;=График!$F5,AN$1+6&gt;=График!$E5),"■","")</f>
        <v/>
      </c>
      <c r="AO5" s="339" t="str">
        <f>IF(AND(AO$1&lt;=График!$F5,AO$1+6&gt;=График!$E5),"■","")</f>
        <v/>
      </c>
      <c r="AP5" s="339" t="str">
        <f>IF(AND(AP$1&lt;=График!$F5,AP$1+6&gt;=График!$E5),"■","")</f>
        <v/>
      </c>
      <c r="AQ5" s="339" t="str">
        <f>IF(AND(AQ$1&lt;=График!$F5,AQ$1+6&gt;=График!$E5),"■","")</f>
        <v/>
      </c>
      <c r="AR5" s="339" t="str">
        <f>IF(AND(AR$1&lt;=График!$F5,AR$1+6&gt;=График!$E5),"■","")</f>
        <v/>
      </c>
      <c r="AS5" s="339" t="str">
        <f>IF(AND(AS$1&lt;=График!$F5,AS$1+6&gt;=График!$E5),"■","")</f>
        <v/>
      </c>
      <c r="AT5" s="339" t="str">
        <f>IF(AND(AT$1&lt;=График!$F5,AT$1+6&gt;=График!$E5),"■","")</f>
        <v/>
      </c>
      <c r="AU5" s="339" t="str">
        <f>IF(AND(AU$1&lt;=График!$F5,AU$1+6&gt;=График!$E5),"■","")</f>
        <v/>
      </c>
      <c r="AV5" s="339" t="str">
        <f>IF(AND(AV$1&lt;=График!$F5,AV$1+6&gt;=График!$E5),"■","")</f>
        <v/>
      </c>
      <c r="AW5" s="339" t="str">
        <f>IF(AND(AW$1&lt;=График!$F5,AW$1+6&gt;=График!$E5),"■","")</f>
        <v/>
      </c>
      <c r="AX5" s="339" t="str">
        <f>IF(AND(AX$1&lt;=График!$F5,AX$1+6&gt;=График!$E5),"■","")</f>
        <v/>
      </c>
      <c r="AY5" s="339" t="str">
        <f>IF(AND(AY$1&lt;=График!$F5,AY$1+6&gt;=График!$E5),"■","")</f>
        <v/>
      </c>
      <c r="AZ5" s="339" t="str">
        <f>IF(AND(AZ$1&lt;=График!$F5,AZ$1+6&gt;=График!$E5),"■","")</f>
        <v/>
      </c>
    </row>
    <row r="6" spans="1:52" ht="28.5" customHeight="1">
      <c r="A6" s="343">
        <f>График!A6</f>
        <v>5</v>
      </c>
      <c r="B6" s="343" t="str">
        <f>График!B6</f>
        <v>2. Подготовка и закупки</v>
      </c>
      <c r="C6" s="343" t="str">
        <f>График!C6</f>
        <v>ППР, ПОС, наряды-допуски, графики отключений/окон, пропуска</v>
      </c>
      <c r="D6" s="344">
        <f>График!E6</f>
        <v>46223</v>
      </c>
      <c r="E6" s="344">
        <f>График!F6</f>
        <v>46283</v>
      </c>
      <c r="F6" s="325">
        <f>График!G6</f>
        <v>61</v>
      </c>
      <c r="G6" s="339" t="str">
        <f>IF(AND(G$1&lt;=График!$F6,G$1+6&gt;=График!$E6),"■","")</f>
        <v/>
      </c>
      <c r="H6" s="339" t="str">
        <f>IF(AND(H$1&lt;=График!$F6,H$1+6&gt;=График!$E6),"■","")</f>
        <v/>
      </c>
      <c r="I6" s="339" t="str">
        <f>IF(AND(I$1&lt;=График!$F6,I$1+6&gt;=График!$E6),"■","")</f>
        <v>■</v>
      </c>
      <c r="J6" s="339" t="str">
        <f>IF(AND(J$1&lt;=График!$F6,J$1+6&gt;=График!$E6),"■","")</f>
        <v>■</v>
      </c>
      <c r="K6" s="339" t="str">
        <f>IF(AND(K$1&lt;=График!$F6,K$1+6&gt;=График!$E6),"■","")</f>
        <v>■</v>
      </c>
      <c r="L6" s="339" t="str">
        <f>IF(AND(L$1&lt;=График!$F6,L$1+6&gt;=График!$E6),"■","")</f>
        <v>■</v>
      </c>
      <c r="M6" s="339" t="str">
        <f>IF(AND(M$1&lt;=График!$F6,M$1+6&gt;=График!$E6),"■","")</f>
        <v>■</v>
      </c>
      <c r="N6" s="345" t="str">
        <f>IF(AND(N$1&lt;=График!$F6,N$1+6&gt;=График!$E6),"■","")</f>
        <v>■</v>
      </c>
      <c r="O6" s="345" t="str">
        <f>IF(AND(O$1&lt;=График!$F6,O$1+6&gt;=График!$E6),"■","")</f>
        <v>■</v>
      </c>
      <c r="P6" s="345" t="str">
        <f>IF(AND(P$1&lt;=График!$F6,P$1+6&gt;=График!$E6),"■","")</f>
        <v>■</v>
      </c>
      <c r="Q6" s="345" t="str">
        <f>IF(AND(Q$1&lt;=График!$F6,Q$1+6&gt;=График!$E6),"■","")</f>
        <v>■</v>
      </c>
      <c r="R6" s="345" t="str">
        <f>IF(AND(R$1&lt;=График!$F6,R$1+6&gt;=График!$E6),"■","")</f>
        <v>■</v>
      </c>
      <c r="S6" s="339" t="str">
        <f>IF(AND(S$1&lt;=График!$F6,S$1+6&gt;=График!$E6),"■","")</f>
        <v/>
      </c>
      <c r="T6" s="339" t="str">
        <f>IF(AND(T$1&lt;=График!$F6,T$1+6&gt;=График!$E6),"■","")</f>
        <v/>
      </c>
      <c r="U6" s="339" t="str">
        <f>IF(AND(U$1&lt;=График!$F6,U$1+6&gt;=График!$E6),"■","")</f>
        <v/>
      </c>
      <c r="V6" s="339" t="str">
        <f>IF(AND(V$1&lt;=График!$F6,V$1+6&gt;=График!$E6),"■","")</f>
        <v/>
      </c>
      <c r="W6" s="339" t="str">
        <f>IF(AND(W$1&lt;=График!$F6,W$1+6&gt;=График!$E6),"■","")</f>
        <v/>
      </c>
      <c r="X6" s="339" t="str">
        <f>IF(AND(X$1&lt;=График!$F6,X$1+6&gt;=График!$E6),"■","")</f>
        <v/>
      </c>
      <c r="Y6" s="339" t="str">
        <f>IF(AND(Y$1&lt;=График!$F6,Y$1+6&gt;=График!$E6),"■","")</f>
        <v/>
      </c>
      <c r="Z6" s="339" t="str">
        <f>IF(AND(Z$1&lt;=График!$F6,Z$1+6&gt;=График!$E6),"■","")</f>
        <v/>
      </c>
      <c r="AA6" s="339" t="str">
        <f>IF(AND(AA$1&lt;=График!$F6,AA$1+6&gt;=График!$E6),"■","")</f>
        <v/>
      </c>
      <c r="AB6" s="339" t="str">
        <f>IF(AND(AB$1&lt;=График!$F6,AB$1+6&gt;=График!$E6),"■","")</f>
        <v/>
      </c>
      <c r="AC6" s="339" t="str">
        <f>IF(AND(AC$1&lt;=График!$F6,AC$1+6&gt;=График!$E6),"■","")</f>
        <v/>
      </c>
      <c r="AD6" s="339" t="str">
        <f>IF(AND(AD$1&lt;=График!$F6,AD$1+6&gt;=График!$E6),"■","")</f>
        <v/>
      </c>
      <c r="AE6" s="339" t="str">
        <f>IF(AND(AE$1&lt;=График!$F6,AE$1+6&gt;=График!$E6),"■","")</f>
        <v/>
      </c>
      <c r="AF6" s="339" t="str">
        <f>IF(AND(AF$1&lt;=График!$F6,AF$1+6&gt;=График!$E6),"■","")</f>
        <v/>
      </c>
      <c r="AG6" s="339" t="str">
        <f>IF(AND(AG$1&lt;=График!$F6,AG$1+6&gt;=График!$E6),"■","")</f>
        <v/>
      </c>
      <c r="AH6" s="339" t="str">
        <f>IF(AND(AH$1&lt;=График!$F6,AH$1+6&gt;=График!$E6),"■","")</f>
        <v/>
      </c>
      <c r="AI6" s="339" t="str">
        <f>IF(AND(AI$1&lt;=График!$F6,AI$1+6&gt;=График!$E6),"■","")</f>
        <v/>
      </c>
      <c r="AJ6" s="339" t="str">
        <f>IF(AND(AJ$1&lt;=График!$F6,AJ$1+6&gt;=График!$E6),"■","")</f>
        <v/>
      </c>
      <c r="AK6" s="339" t="str">
        <f>IF(AND(AK$1&lt;=График!$F6,AK$1+6&gt;=График!$E6),"■","")</f>
        <v/>
      </c>
      <c r="AL6" s="339" t="str">
        <f>IF(AND(AL$1&lt;=График!$F6,AL$1+6&gt;=График!$E6),"■","")</f>
        <v/>
      </c>
      <c r="AM6" s="339" t="str">
        <f>IF(AND(AM$1&lt;=График!$F6,AM$1+6&gt;=График!$E6),"■","")</f>
        <v/>
      </c>
      <c r="AN6" s="339" t="str">
        <f>IF(AND(AN$1&lt;=График!$F6,AN$1+6&gt;=График!$E6),"■","")</f>
        <v/>
      </c>
      <c r="AO6" s="339" t="str">
        <f>IF(AND(AO$1&lt;=График!$F6,AO$1+6&gt;=График!$E6),"■","")</f>
        <v/>
      </c>
      <c r="AP6" s="339" t="str">
        <f>IF(AND(AP$1&lt;=График!$F6,AP$1+6&gt;=График!$E6),"■","")</f>
        <v/>
      </c>
      <c r="AQ6" s="339" t="str">
        <f>IF(AND(AQ$1&lt;=График!$F6,AQ$1+6&gt;=График!$E6),"■","")</f>
        <v/>
      </c>
      <c r="AR6" s="339" t="str">
        <f>IF(AND(AR$1&lt;=График!$F6,AR$1+6&gt;=График!$E6),"■","")</f>
        <v/>
      </c>
      <c r="AS6" s="339" t="str">
        <f>IF(AND(AS$1&lt;=График!$F6,AS$1+6&gt;=График!$E6),"■","")</f>
        <v/>
      </c>
      <c r="AT6" s="339" t="str">
        <f>IF(AND(AT$1&lt;=График!$F6,AT$1+6&gt;=График!$E6),"■","")</f>
        <v/>
      </c>
      <c r="AU6" s="339" t="str">
        <f>IF(AND(AU$1&lt;=График!$F6,AU$1+6&gt;=График!$E6),"■","")</f>
        <v/>
      </c>
      <c r="AV6" s="339" t="str">
        <f>IF(AND(AV$1&lt;=График!$F6,AV$1+6&gt;=График!$E6),"■","")</f>
        <v/>
      </c>
      <c r="AW6" s="339" t="str">
        <f>IF(AND(AW$1&lt;=График!$F6,AW$1+6&gt;=График!$E6),"■","")</f>
        <v/>
      </c>
      <c r="AX6" s="339" t="str">
        <f>IF(AND(AX$1&lt;=График!$F6,AX$1+6&gt;=График!$E6),"■","")</f>
        <v/>
      </c>
      <c r="AY6" s="339" t="str">
        <f>IF(AND(AY$1&lt;=График!$F6,AY$1+6&gt;=График!$E6),"■","")</f>
        <v/>
      </c>
      <c r="AZ6" s="339" t="str">
        <f>IF(AND(AZ$1&lt;=График!$F6,AZ$1+6&gt;=График!$E6),"■","")</f>
        <v/>
      </c>
    </row>
    <row r="7" spans="1:52" ht="14.25" customHeight="1">
      <c r="A7" s="343">
        <f>График!A7</f>
        <v>6</v>
      </c>
      <c r="B7" s="343" t="str">
        <f>График!B7</f>
        <v>2. Подготовка и закупки</v>
      </c>
      <c r="C7" s="343" t="str">
        <f>График!C7</f>
        <v>Закупка кровельных материалов и логистика партиями</v>
      </c>
      <c r="D7" s="344">
        <f>График!E7</f>
        <v>46244</v>
      </c>
      <c r="E7" s="344">
        <f>График!F7</f>
        <v>46285</v>
      </c>
      <c r="F7" s="325">
        <f>График!G7</f>
        <v>42</v>
      </c>
      <c r="G7" s="339" t="str">
        <f>IF(AND(G$1&lt;=График!$F7,G$1+6&gt;=График!$E7),"■","")</f>
        <v/>
      </c>
      <c r="H7" s="339" t="str">
        <f>IF(AND(H$1&lt;=График!$F7,H$1+6&gt;=График!$E7),"■","")</f>
        <v/>
      </c>
      <c r="I7" s="339" t="str">
        <f>IF(AND(I$1&lt;=График!$F7,I$1+6&gt;=График!$E7),"■","")</f>
        <v/>
      </c>
      <c r="J7" s="339" t="str">
        <f>IF(AND(J$1&lt;=График!$F7,J$1+6&gt;=График!$E7),"■","")</f>
        <v/>
      </c>
      <c r="K7" s="339" t="str">
        <f>IF(AND(K$1&lt;=График!$F7,K$1+6&gt;=График!$E7),"■","")</f>
        <v/>
      </c>
      <c r="L7" s="345" t="str">
        <f>IF(AND(L$1&lt;=График!$F7,L$1+6&gt;=График!$E7),"■","")</f>
        <v>■</v>
      </c>
      <c r="M7" s="345" t="str">
        <f>IF(AND(M$1&lt;=График!$F7,M$1+6&gt;=График!$E7),"■","")</f>
        <v>■</v>
      </c>
      <c r="N7" s="345" t="str">
        <f>IF(AND(N$1&lt;=График!$F7,N$1+6&gt;=График!$E7),"■","")</f>
        <v>■</v>
      </c>
      <c r="O7" s="345" t="str">
        <f>IF(AND(O$1&lt;=График!$F7,O$1+6&gt;=График!$E7),"■","")</f>
        <v>■</v>
      </c>
      <c r="P7" s="345" t="str">
        <f>IF(AND(P$1&lt;=График!$F7,P$1+6&gt;=График!$E7),"■","")</f>
        <v>■</v>
      </c>
      <c r="Q7" s="345" t="str">
        <f>IF(AND(Q$1&lt;=График!$F7,Q$1+6&gt;=График!$E7),"■","")</f>
        <v>■</v>
      </c>
      <c r="R7" s="345" t="str">
        <f>IF(AND(R$1&lt;=График!$F7,R$1+6&gt;=График!$E7),"■","")</f>
        <v>■</v>
      </c>
      <c r="S7" s="345" t="str">
        <f>IF(AND(S$1&lt;=График!$F7,S$1+6&gt;=График!$E7),"■","")</f>
        <v/>
      </c>
      <c r="T7" s="339" t="str">
        <f>IF(AND(T$1&lt;=График!$F7,T$1+6&gt;=График!$E7),"■","")</f>
        <v/>
      </c>
      <c r="U7" s="339" t="str">
        <f>IF(AND(U$1&lt;=График!$F7,U$1+6&gt;=График!$E7),"■","")</f>
        <v/>
      </c>
      <c r="V7" s="339" t="str">
        <f>IF(AND(V$1&lt;=График!$F7,V$1+6&gt;=График!$E7),"■","")</f>
        <v/>
      </c>
      <c r="W7" s="339" t="str">
        <f>IF(AND(W$1&lt;=График!$F7,W$1+6&gt;=График!$E7),"■","")</f>
        <v/>
      </c>
      <c r="X7" s="339" t="str">
        <f>IF(AND(X$1&lt;=График!$F7,X$1+6&gt;=График!$E7),"■","")</f>
        <v/>
      </c>
      <c r="Y7" s="339" t="str">
        <f>IF(AND(Y$1&lt;=График!$F7,Y$1+6&gt;=График!$E7),"■","")</f>
        <v/>
      </c>
      <c r="Z7" s="339" t="str">
        <f>IF(AND(Z$1&lt;=График!$F7,Z$1+6&gt;=График!$E7),"■","")</f>
        <v/>
      </c>
      <c r="AA7" s="339" t="str">
        <f>IF(AND(AA$1&lt;=График!$F7,AA$1+6&gt;=График!$E7),"■","")</f>
        <v/>
      </c>
      <c r="AB7" s="339" t="str">
        <f>IF(AND(AB$1&lt;=График!$F7,AB$1+6&gt;=График!$E7),"■","")</f>
        <v/>
      </c>
      <c r="AC7" s="339" t="str">
        <f>IF(AND(AC$1&lt;=График!$F7,AC$1+6&gt;=График!$E7),"■","")</f>
        <v/>
      </c>
      <c r="AD7" s="339" t="str">
        <f>IF(AND(AD$1&lt;=График!$F7,AD$1+6&gt;=График!$E7),"■","")</f>
        <v/>
      </c>
      <c r="AE7" s="339" t="str">
        <f>IF(AND(AE$1&lt;=График!$F7,AE$1+6&gt;=График!$E7),"■","")</f>
        <v/>
      </c>
      <c r="AF7" s="339" t="str">
        <f>IF(AND(AF$1&lt;=График!$F7,AF$1+6&gt;=График!$E7),"■","")</f>
        <v/>
      </c>
      <c r="AG7" s="339" t="str">
        <f>IF(AND(AG$1&lt;=График!$F7,AG$1+6&gt;=График!$E7),"■","")</f>
        <v/>
      </c>
      <c r="AH7" s="339" t="str">
        <f>IF(AND(AH$1&lt;=График!$F7,AH$1+6&gt;=График!$E7),"■","")</f>
        <v/>
      </c>
      <c r="AI7" s="339" t="str">
        <f>IF(AND(AI$1&lt;=График!$F7,AI$1+6&gt;=График!$E7),"■","")</f>
        <v/>
      </c>
      <c r="AJ7" s="339" t="str">
        <f>IF(AND(AJ$1&lt;=График!$F7,AJ$1+6&gt;=График!$E7),"■","")</f>
        <v/>
      </c>
      <c r="AK7" s="339" t="str">
        <f>IF(AND(AK$1&lt;=График!$F7,AK$1+6&gt;=График!$E7),"■","")</f>
        <v/>
      </c>
      <c r="AL7" s="339" t="str">
        <f>IF(AND(AL$1&lt;=График!$F7,AL$1+6&gt;=График!$E7),"■","")</f>
        <v/>
      </c>
      <c r="AM7" s="339" t="str">
        <f>IF(AND(AM$1&lt;=График!$F7,AM$1+6&gt;=График!$E7),"■","")</f>
        <v/>
      </c>
      <c r="AN7" s="339" t="str">
        <f>IF(AND(AN$1&lt;=График!$F7,AN$1+6&gt;=График!$E7),"■","")</f>
        <v/>
      </c>
      <c r="AO7" s="339" t="str">
        <f>IF(AND(AO$1&lt;=График!$F7,AO$1+6&gt;=График!$E7),"■","")</f>
        <v/>
      </c>
      <c r="AP7" s="339" t="str">
        <f>IF(AND(AP$1&lt;=График!$F7,AP$1+6&gt;=График!$E7),"■","")</f>
        <v/>
      </c>
      <c r="AQ7" s="339" t="str">
        <f>IF(AND(AQ$1&lt;=График!$F7,AQ$1+6&gt;=График!$E7),"■","")</f>
        <v/>
      </c>
      <c r="AR7" s="339" t="str">
        <f>IF(AND(AR$1&lt;=График!$F7,AR$1+6&gt;=График!$E7),"■","")</f>
        <v/>
      </c>
      <c r="AS7" s="339" t="str">
        <f>IF(AND(AS$1&lt;=График!$F7,AS$1+6&gt;=График!$E7),"■","")</f>
        <v/>
      </c>
      <c r="AT7" s="339" t="str">
        <f>IF(AND(AT$1&lt;=График!$F7,AT$1+6&gt;=График!$E7),"■","")</f>
        <v/>
      </c>
      <c r="AU7" s="339" t="str">
        <f>IF(AND(AU$1&lt;=График!$F7,AU$1+6&gt;=График!$E7),"■","")</f>
        <v/>
      </c>
      <c r="AV7" s="339" t="str">
        <f>IF(AND(AV$1&lt;=График!$F7,AV$1+6&gt;=График!$E7),"■","")</f>
        <v/>
      </c>
      <c r="AW7" s="339" t="str">
        <f>IF(AND(AW$1&lt;=График!$F7,AW$1+6&gt;=График!$E7),"■","")</f>
        <v/>
      </c>
      <c r="AX7" s="339" t="str">
        <f>IF(AND(AX$1&lt;=График!$F7,AX$1+6&gt;=График!$E7),"■","")</f>
        <v/>
      </c>
      <c r="AY7" s="339" t="str">
        <f>IF(AND(AY$1&lt;=График!$F7,AY$1+6&gt;=График!$E7),"■","")</f>
        <v/>
      </c>
      <c r="AZ7" s="339" t="str">
        <f>IF(AND(AZ$1&lt;=График!$F7,AZ$1+6&gt;=График!$E7),"■","")</f>
        <v/>
      </c>
    </row>
    <row r="8" spans="1:52" ht="28.5" customHeight="1">
      <c r="A8" s="343">
        <f>График!A8</f>
        <v>7</v>
      </c>
      <c r="B8" s="343" t="str">
        <f>График!B8</f>
        <v>2. Подготовка и закупки</v>
      </c>
      <c r="C8" s="343" t="str">
        <f>График!C8</f>
        <v>КМД/изготовление единого фонаря: 96 рам и элементы каркаса</v>
      </c>
      <c r="D8" s="344">
        <f>График!E8</f>
        <v>46224</v>
      </c>
      <c r="E8" s="344">
        <f>График!F8</f>
        <v>46326</v>
      </c>
      <c r="F8" s="325">
        <f>График!G8</f>
        <v>103</v>
      </c>
      <c r="G8" s="339" t="str">
        <f>IF(AND(G$1&lt;=График!$F8,G$1+6&gt;=График!$E8),"■","")</f>
        <v/>
      </c>
      <c r="H8" s="339" t="str">
        <f>IF(AND(H$1&lt;=График!$F8,H$1+6&gt;=График!$E8),"■","")</f>
        <v/>
      </c>
      <c r="I8" s="345" t="str">
        <f>IF(AND(I$1&lt;=График!$F8,I$1+6&gt;=График!$E8),"■","")</f>
        <v>■</v>
      </c>
      <c r="J8" s="345" t="str">
        <f>IF(AND(J$1&lt;=График!$F8,J$1+6&gt;=График!$E8),"■","")</f>
        <v>■</v>
      </c>
      <c r="K8" s="345" t="str">
        <f>IF(AND(K$1&lt;=График!$F8,K$1+6&gt;=График!$E8),"■","")</f>
        <v>■</v>
      </c>
      <c r="L8" s="345" t="str">
        <f>IF(AND(L$1&lt;=График!$F8,L$1+6&gt;=График!$E8),"■","")</f>
        <v>■</v>
      </c>
      <c r="M8" s="345" t="str">
        <f>IF(AND(M$1&lt;=График!$F8,M$1+6&gt;=График!$E8),"■","")</f>
        <v>■</v>
      </c>
      <c r="N8" s="345" t="str">
        <f>IF(AND(N$1&lt;=График!$F8,N$1+6&gt;=График!$E8),"■","")</f>
        <v>■</v>
      </c>
      <c r="O8" s="345" t="str">
        <f>IF(AND(O$1&lt;=График!$F8,O$1+6&gt;=График!$E8),"■","")</f>
        <v>■</v>
      </c>
      <c r="P8" s="345" t="str">
        <f>IF(AND(P$1&lt;=График!$F8,P$1+6&gt;=График!$E8),"■","")</f>
        <v>■</v>
      </c>
      <c r="Q8" s="345" t="str">
        <f>IF(AND(Q$1&lt;=График!$F8,Q$1+6&gt;=График!$E8),"■","")</f>
        <v>■</v>
      </c>
      <c r="R8" s="345" t="str">
        <f>IF(AND(R$1&lt;=График!$F8,R$1+6&gt;=График!$E8),"■","")</f>
        <v>■</v>
      </c>
      <c r="S8" s="345" t="str">
        <f>IF(AND(S$1&lt;=График!$F8,S$1+6&gt;=График!$E8),"■","")</f>
        <v>■</v>
      </c>
      <c r="T8" s="345" t="str">
        <f>IF(AND(T$1&lt;=График!$F8,T$1+6&gt;=График!$E8),"■","")</f>
        <v>■</v>
      </c>
      <c r="U8" s="345" t="str">
        <f>IF(AND(U$1&lt;=График!$F8,U$1+6&gt;=График!$E8),"■","")</f>
        <v>■</v>
      </c>
      <c r="V8" s="345" t="str">
        <f>IF(AND(V$1&lt;=График!$F8,V$1+6&gt;=График!$E8),"■","")</f>
        <v>■</v>
      </c>
      <c r="W8" s="345" t="str">
        <f>IF(AND(W$1&lt;=График!$F8,W$1+6&gt;=График!$E8),"■","")</f>
        <v>■</v>
      </c>
      <c r="X8" s="345" t="str">
        <f>IF(AND(X$1&lt;=График!$F8,X$1+6&gt;=График!$E8),"■","")</f>
        <v>■</v>
      </c>
      <c r="Y8" s="345" t="str">
        <f>IF(AND(Y$1&lt;=График!$F8,Y$1+6&gt;=График!$E8),"■","")</f>
        <v/>
      </c>
      <c r="Z8" s="345" t="str">
        <f>IF(AND(Z$1&lt;=График!$F8,Z$1+6&gt;=График!$E8),"■","")</f>
        <v/>
      </c>
      <c r="AA8" s="339" t="str">
        <f>IF(AND(AA$1&lt;=График!$F8,AA$1+6&gt;=График!$E8),"■","")</f>
        <v/>
      </c>
      <c r="AB8" s="339" t="str">
        <f>IF(AND(AB$1&lt;=График!$F8,AB$1+6&gt;=График!$E8),"■","")</f>
        <v/>
      </c>
      <c r="AC8" s="339" t="str">
        <f>IF(AND(AC$1&lt;=График!$F8,AC$1+6&gt;=График!$E8),"■","")</f>
        <v/>
      </c>
      <c r="AD8" s="339" t="str">
        <f>IF(AND(AD$1&lt;=График!$F8,AD$1+6&gt;=График!$E8),"■","")</f>
        <v/>
      </c>
      <c r="AE8" s="339" t="str">
        <f>IF(AND(AE$1&lt;=График!$F8,AE$1+6&gt;=График!$E8),"■","")</f>
        <v/>
      </c>
      <c r="AF8" s="339" t="str">
        <f>IF(AND(AF$1&lt;=График!$F8,AF$1+6&gt;=График!$E8),"■","")</f>
        <v/>
      </c>
      <c r="AG8" s="339" t="str">
        <f>IF(AND(AG$1&lt;=График!$F8,AG$1+6&gt;=График!$E8),"■","")</f>
        <v/>
      </c>
      <c r="AH8" s="339" t="str">
        <f>IF(AND(AH$1&lt;=График!$F8,AH$1+6&gt;=График!$E8),"■","")</f>
        <v/>
      </c>
      <c r="AI8" s="339" t="str">
        <f>IF(AND(AI$1&lt;=График!$F8,AI$1+6&gt;=График!$E8),"■","")</f>
        <v/>
      </c>
      <c r="AJ8" s="339" t="str">
        <f>IF(AND(AJ$1&lt;=График!$F8,AJ$1+6&gt;=График!$E8),"■","")</f>
        <v/>
      </c>
      <c r="AK8" s="339" t="str">
        <f>IF(AND(AK$1&lt;=График!$F8,AK$1+6&gt;=График!$E8),"■","")</f>
        <v/>
      </c>
      <c r="AL8" s="339" t="str">
        <f>IF(AND(AL$1&lt;=График!$F8,AL$1+6&gt;=График!$E8),"■","")</f>
        <v/>
      </c>
      <c r="AM8" s="339" t="str">
        <f>IF(AND(AM$1&lt;=График!$F8,AM$1+6&gt;=График!$E8),"■","")</f>
        <v/>
      </c>
      <c r="AN8" s="339" t="str">
        <f>IF(AND(AN$1&lt;=График!$F8,AN$1+6&gt;=График!$E8),"■","")</f>
        <v/>
      </c>
      <c r="AO8" s="339" t="str">
        <f>IF(AND(AO$1&lt;=График!$F8,AO$1+6&gt;=График!$E8),"■","")</f>
        <v/>
      </c>
      <c r="AP8" s="339" t="str">
        <f>IF(AND(AP$1&lt;=График!$F8,AP$1+6&gt;=График!$E8),"■","")</f>
        <v/>
      </c>
      <c r="AQ8" s="339" t="str">
        <f>IF(AND(AQ$1&lt;=График!$F8,AQ$1+6&gt;=График!$E8),"■","")</f>
        <v/>
      </c>
      <c r="AR8" s="339" t="str">
        <f>IF(AND(AR$1&lt;=График!$F8,AR$1+6&gt;=График!$E8),"■","")</f>
        <v/>
      </c>
      <c r="AS8" s="339" t="str">
        <f>IF(AND(AS$1&lt;=График!$F8,AS$1+6&gt;=График!$E8),"■","")</f>
        <v/>
      </c>
      <c r="AT8" s="339" t="str">
        <f>IF(AND(AT$1&lt;=График!$F8,AT$1+6&gt;=График!$E8),"■","")</f>
        <v/>
      </c>
      <c r="AU8" s="339" t="str">
        <f>IF(AND(AU$1&lt;=График!$F8,AU$1+6&gt;=График!$E8),"■","")</f>
        <v/>
      </c>
      <c r="AV8" s="339" t="str">
        <f>IF(AND(AV$1&lt;=График!$F8,AV$1+6&gt;=График!$E8),"■","")</f>
        <v/>
      </c>
      <c r="AW8" s="339" t="str">
        <f>IF(AND(AW$1&lt;=График!$F8,AW$1+6&gt;=График!$E8),"■","")</f>
        <v/>
      </c>
      <c r="AX8" s="339" t="str">
        <f>IF(AND(AX$1&lt;=График!$F8,AX$1+6&gt;=График!$E8),"■","")</f>
        <v/>
      </c>
      <c r="AY8" s="339" t="str">
        <f>IF(AND(AY$1&lt;=График!$F8,AY$1+6&gt;=График!$E8),"■","")</f>
        <v/>
      </c>
      <c r="AZ8" s="339" t="str">
        <f>IF(AND(AZ$1&lt;=График!$F8,AZ$1+6&gt;=График!$E8),"■","")</f>
        <v/>
      </c>
    </row>
    <row r="9" spans="1:52" ht="14.25" customHeight="1">
      <c r="A9" s="343">
        <f>График!A9</f>
        <v>8</v>
      </c>
      <c r="B9" s="343" t="str">
        <f>График!B9</f>
        <v>2. Подготовка и закупки</v>
      </c>
      <c r="C9" s="343" t="str">
        <f>График!C9</f>
        <v>Поставка рам/стекла/приводов и входной контроль</v>
      </c>
      <c r="D9" s="344">
        <f>График!E9</f>
        <v>46315</v>
      </c>
      <c r="E9" s="344">
        <f>График!F9</f>
        <v>46341</v>
      </c>
      <c r="F9" s="325">
        <f>График!G9</f>
        <v>27</v>
      </c>
      <c r="G9" s="339" t="str">
        <f>IF(AND(G$1&lt;=График!$F9,G$1+6&gt;=График!$E9),"■","")</f>
        <v/>
      </c>
      <c r="H9" s="339" t="str">
        <f>IF(AND(H$1&lt;=График!$F9,H$1+6&gt;=График!$E9),"■","")</f>
        <v/>
      </c>
      <c r="I9" s="339" t="str">
        <f>IF(AND(I$1&lt;=График!$F9,I$1+6&gt;=График!$E9),"■","")</f>
        <v/>
      </c>
      <c r="J9" s="339" t="str">
        <f>IF(AND(J$1&lt;=График!$F9,J$1+6&gt;=График!$E9),"■","")</f>
        <v/>
      </c>
      <c r="K9" s="339" t="str">
        <f>IF(AND(K$1&lt;=График!$F9,K$1+6&gt;=График!$E9),"■","")</f>
        <v/>
      </c>
      <c r="L9" s="339" t="str">
        <f>IF(AND(L$1&lt;=График!$F9,L$1+6&gt;=График!$E9),"■","")</f>
        <v/>
      </c>
      <c r="M9" s="339" t="str">
        <f>IF(AND(M$1&lt;=График!$F9,M$1+6&gt;=График!$E9),"■","")</f>
        <v/>
      </c>
      <c r="N9" s="339" t="str">
        <f>IF(AND(N$1&lt;=График!$F9,N$1+6&gt;=График!$E9),"■","")</f>
        <v/>
      </c>
      <c r="O9" s="339" t="str">
        <f>IF(AND(O$1&lt;=График!$F9,O$1+6&gt;=График!$E9),"■","")</f>
        <v/>
      </c>
      <c r="P9" s="339" t="str">
        <f>IF(AND(P$1&lt;=График!$F9,P$1+6&gt;=График!$E9),"■","")</f>
        <v/>
      </c>
      <c r="Q9" s="339" t="str">
        <f>IF(AND(Q$1&lt;=График!$F9,Q$1+6&gt;=График!$E9),"■","")</f>
        <v/>
      </c>
      <c r="R9" s="339" t="str">
        <f>IF(AND(R$1&lt;=График!$F9,R$1+6&gt;=График!$E9),"■","")</f>
        <v/>
      </c>
      <c r="S9" s="339" t="str">
        <f>IF(AND(S$1&lt;=График!$F9,S$1+6&gt;=График!$E9),"■","")</f>
        <v/>
      </c>
      <c r="T9" s="339" t="str">
        <f>IF(AND(T$1&lt;=График!$F9,T$1+6&gt;=График!$E9),"■","")</f>
        <v/>
      </c>
      <c r="U9" s="339" t="str">
        <f>IF(AND(U$1&lt;=График!$F9,U$1+6&gt;=График!$E9),"■","")</f>
        <v/>
      </c>
      <c r="V9" s="339" t="str">
        <f>IF(AND(V$1&lt;=График!$F9,V$1+6&gt;=График!$E9),"■","")</f>
        <v>■</v>
      </c>
      <c r="W9" s="339" t="str">
        <f>IF(AND(W$1&lt;=График!$F9,W$1+6&gt;=График!$E9),"■","")</f>
        <v>■</v>
      </c>
      <c r="X9" s="345" t="str">
        <f>IF(AND(X$1&lt;=График!$F9,X$1+6&gt;=График!$E9),"■","")</f>
        <v>■</v>
      </c>
      <c r="Y9" s="345" t="str">
        <f>IF(AND(Y$1&lt;=График!$F9,Y$1+6&gt;=График!$E9),"■","")</f>
        <v>■</v>
      </c>
      <c r="Z9" s="345" t="str">
        <f>IF(AND(Z$1&lt;=График!$F9,Z$1+6&gt;=График!$E9),"■","")</f>
        <v>■</v>
      </c>
      <c r="AA9" s="345" t="str">
        <f>IF(AND(AA$1&lt;=График!$F9,AA$1+6&gt;=График!$E9),"■","")</f>
        <v/>
      </c>
      <c r="AB9" s="345" t="str">
        <f>IF(AND(AB$1&lt;=График!$F9,AB$1+6&gt;=График!$E9),"■","")</f>
        <v/>
      </c>
      <c r="AC9" s="339" t="str">
        <f>IF(AND(AC$1&lt;=График!$F9,AC$1+6&gt;=График!$E9),"■","")</f>
        <v/>
      </c>
      <c r="AD9" s="339" t="str">
        <f>IF(AND(AD$1&lt;=График!$F9,AD$1+6&gt;=График!$E9),"■","")</f>
        <v/>
      </c>
      <c r="AE9" s="339" t="str">
        <f>IF(AND(AE$1&lt;=График!$F9,AE$1+6&gt;=График!$E9),"■","")</f>
        <v/>
      </c>
      <c r="AF9" s="339" t="str">
        <f>IF(AND(AF$1&lt;=График!$F9,AF$1+6&gt;=График!$E9),"■","")</f>
        <v/>
      </c>
      <c r="AG9" s="339" t="str">
        <f>IF(AND(AG$1&lt;=График!$F9,AG$1+6&gt;=График!$E9),"■","")</f>
        <v/>
      </c>
      <c r="AH9" s="339" t="str">
        <f>IF(AND(AH$1&lt;=График!$F9,AH$1+6&gt;=График!$E9),"■","")</f>
        <v/>
      </c>
      <c r="AI9" s="339" t="str">
        <f>IF(AND(AI$1&lt;=График!$F9,AI$1+6&gt;=График!$E9),"■","")</f>
        <v/>
      </c>
      <c r="AJ9" s="339" t="str">
        <f>IF(AND(AJ$1&lt;=График!$F9,AJ$1+6&gt;=График!$E9),"■","")</f>
        <v/>
      </c>
      <c r="AK9" s="339" t="str">
        <f>IF(AND(AK$1&lt;=График!$F9,AK$1+6&gt;=График!$E9),"■","")</f>
        <v/>
      </c>
      <c r="AL9" s="339" t="str">
        <f>IF(AND(AL$1&lt;=График!$F9,AL$1+6&gt;=График!$E9),"■","")</f>
        <v/>
      </c>
      <c r="AM9" s="339" t="str">
        <f>IF(AND(AM$1&lt;=График!$F9,AM$1+6&gt;=График!$E9),"■","")</f>
        <v/>
      </c>
      <c r="AN9" s="339" t="str">
        <f>IF(AND(AN$1&lt;=График!$F9,AN$1+6&gt;=График!$E9),"■","")</f>
        <v/>
      </c>
      <c r="AO9" s="339" t="str">
        <f>IF(AND(AO$1&lt;=График!$F9,AO$1+6&gt;=График!$E9),"■","")</f>
        <v/>
      </c>
      <c r="AP9" s="339" t="str">
        <f>IF(AND(AP$1&lt;=График!$F9,AP$1+6&gt;=График!$E9),"■","")</f>
        <v/>
      </c>
      <c r="AQ9" s="339" t="str">
        <f>IF(AND(AQ$1&lt;=График!$F9,AQ$1+6&gt;=График!$E9),"■","")</f>
        <v/>
      </c>
      <c r="AR9" s="339" t="str">
        <f>IF(AND(AR$1&lt;=График!$F9,AR$1+6&gt;=График!$E9),"■","")</f>
        <v/>
      </c>
      <c r="AS9" s="339" t="str">
        <f>IF(AND(AS$1&lt;=График!$F9,AS$1+6&gt;=График!$E9),"■","")</f>
        <v/>
      </c>
      <c r="AT9" s="339" t="str">
        <f>IF(AND(AT$1&lt;=График!$F9,AT$1+6&gt;=График!$E9),"■","")</f>
        <v/>
      </c>
      <c r="AU9" s="339" t="str">
        <f>IF(AND(AU$1&lt;=График!$F9,AU$1+6&gt;=График!$E9),"■","")</f>
        <v/>
      </c>
      <c r="AV9" s="339" t="str">
        <f>IF(AND(AV$1&lt;=График!$F9,AV$1+6&gt;=График!$E9),"■","")</f>
        <v/>
      </c>
      <c r="AW9" s="339" t="str">
        <f>IF(AND(AW$1&lt;=График!$F9,AW$1+6&gt;=График!$E9),"■","")</f>
        <v/>
      </c>
      <c r="AX9" s="339" t="str">
        <f>IF(AND(AX$1&lt;=График!$F9,AX$1+6&gt;=График!$E9),"■","")</f>
        <v/>
      </c>
      <c r="AY9" s="339" t="str">
        <f>IF(AND(AY$1&lt;=График!$F9,AY$1+6&gt;=График!$E9),"■","")</f>
        <v/>
      </c>
      <c r="AZ9" s="339" t="str">
        <f>IF(AND(AZ$1&lt;=График!$F9,AZ$1+6&gt;=График!$E9),"■","")</f>
        <v/>
      </c>
    </row>
    <row r="10" spans="1:52" ht="28.5" customHeight="1">
      <c r="A10" s="346">
        <f>График!A10</f>
        <v>9</v>
      </c>
      <c r="B10" s="346" t="str">
        <f>График!B10</f>
        <v>3. Мобилизация и защита производства</v>
      </c>
      <c r="C10" s="346" t="str">
        <f>График!C10</f>
        <v>Мобилизация, бытовой городок, ограждения, временная логистика</v>
      </c>
      <c r="D10" s="347">
        <f>График!E10</f>
        <v>46254</v>
      </c>
      <c r="E10" s="347">
        <f>График!F10</f>
        <v>46275</v>
      </c>
      <c r="F10" s="311">
        <f>График!G10</f>
        <v>22</v>
      </c>
      <c r="G10" s="339" t="str">
        <f>IF(AND(G$1&lt;=График!$F10,G$1+6&gt;=График!$E10),"■","")</f>
        <v/>
      </c>
      <c r="H10" s="339" t="str">
        <f>IF(AND(H$1&lt;=График!$F10,H$1+6&gt;=График!$E10),"■","")</f>
        <v/>
      </c>
      <c r="I10" s="339" t="str">
        <f>IF(AND(I$1&lt;=График!$F10,I$1+6&gt;=График!$E10),"■","")</f>
        <v/>
      </c>
      <c r="J10" s="339" t="str">
        <f>IF(AND(J$1&lt;=График!$F10,J$1+6&gt;=График!$E10),"■","")</f>
        <v/>
      </c>
      <c r="K10" s="339" t="str">
        <f>IF(AND(K$1&lt;=График!$F10,K$1+6&gt;=График!$E10),"■","")</f>
        <v/>
      </c>
      <c r="L10" s="339" t="str">
        <f>IF(AND(L$1&lt;=График!$F10,L$1+6&gt;=График!$E10),"■","")</f>
        <v/>
      </c>
      <c r="M10" s="339" t="str">
        <f>IF(AND(M$1&lt;=График!$F10,M$1+6&gt;=График!$E10),"■","")</f>
        <v/>
      </c>
      <c r="N10" s="339" t="str">
        <f>IF(AND(N$1&lt;=График!$F10,N$1+6&gt;=График!$E10),"■","")</f>
        <v>■</v>
      </c>
      <c r="O10" s="348" t="str">
        <f>IF(AND(O$1&lt;=График!$F10,O$1+6&gt;=График!$E10),"■","")</f>
        <v>■</v>
      </c>
      <c r="P10" s="348" t="str">
        <f>IF(AND(P$1&lt;=График!$F10,P$1+6&gt;=График!$E10),"■","")</f>
        <v>■</v>
      </c>
      <c r="Q10" s="348" t="str">
        <f>IF(AND(Q$1&lt;=График!$F10,Q$1+6&gt;=График!$E10),"■","")</f>
        <v>■</v>
      </c>
      <c r="R10" s="348" t="str">
        <f>IF(AND(R$1&lt;=График!$F10,R$1+6&gt;=График!$E10),"■","")</f>
        <v/>
      </c>
      <c r="S10" s="339" t="str">
        <f>IF(AND(S$1&lt;=График!$F10,S$1+6&gt;=График!$E10),"■","")</f>
        <v/>
      </c>
      <c r="T10" s="339" t="str">
        <f>IF(AND(T$1&lt;=График!$F10,T$1+6&gt;=График!$E10),"■","")</f>
        <v/>
      </c>
      <c r="U10" s="339" t="str">
        <f>IF(AND(U$1&lt;=График!$F10,U$1+6&gt;=График!$E10),"■","")</f>
        <v/>
      </c>
      <c r="V10" s="339" t="str">
        <f>IF(AND(V$1&lt;=График!$F10,V$1+6&gt;=График!$E10),"■","")</f>
        <v/>
      </c>
      <c r="W10" s="339" t="str">
        <f>IF(AND(W$1&lt;=График!$F10,W$1+6&gt;=График!$E10),"■","")</f>
        <v/>
      </c>
      <c r="X10" s="339" t="str">
        <f>IF(AND(X$1&lt;=График!$F10,X$1+6&gt;=График!$E10),"■","")</f>
        <v/>
      </c>
      <c r="Y10" s="339" t="str">
        <f>IF(AND(Y$1&lt;=График!$F10,Y$1+6&gt;=График!$E10),"■","")</f>
        <v/>
      </c>
      <c r="Z10" s="339" t="str">
        <f>IF(AND(Z$1&lt;=График!$F10,Z$1+6&gt;=График!$E10),"■","")</f>
        <v/>
      </c>
      <c r="AA10" s="339" t="str">
        <f>IF(AND(AA$1&lt;=График!$F10,AA$1+6&gt;=График!$E10),"■","")</f>
        <v/>
      </c>
      <c r="AB10" s="339" t="str">
        <f>IF(AND(AB$1&lt;=График!$F10,AB$1+6&gt;=График!$E10),"■","")</f>
        <v/>
      </c>
      <c r="AC10" s="339" t="str">
        <f>IF(AND(AC$1&lt;=График!$F10,AC$1+6&gt;=График!$E10),"■","")</f>
        <v/>
      </c>
      <c r="AD10" s="339" t="str">
        <f>IF(AND(AD$1&lt;=График!$F10,AD$1+6&gt;=График!$E10),"■","")</f>
        <v/>
      </c>
      <c r="AE10" s="339" t="str">
        <f>IF(AND(AE$1&lt;=График!$F10,AE$1+6&gt;=График!$E10),"■","")</f>
        <v/>
      </c>
      <c r="AF10" s="339" t="str">
        <f>IF(AND(AF$1&lt;=График!$F10,AF$1+6&gt;=График!$E10),"■","")</f>
        <v/>
      </c>
      <c r="AG10" s="339" t="str">
        <f>IF(AND(AG$1&lt;=График!$F10,AG$1+6&gt;=График!$E10),"■","")</f>
        <v/>
      </c>
      <c r="AH10" s="339" t="str">
        <f>IF(AND(AH$1&lt;=График!$F10,AH$1+6&gt;=График!$E10),"■","")</f>
        <v/>
      </c>
      <c r="AI10" s="339" t="str">
        <f>IF(AND(AI$1&lt;=График!$F10,AI$1+6&gt;=График!$E10),"■","")</f>
        <v/>
      </c>
      <c r="AJ10" s="339" t="str">
        <f>IF(AND(AJ$1&lt;=График!$F10,AJ$1+6&gt;=График!$E10),"■","")</f>
        <v/>
      </c>
      <c r="AK10" s="339" t="str">
        <f>IF(AND(AK$1&lt;=График!$F10,AK$1+6&gt;=График!$E10),"■","")</f>
        <v/>
      </c>
      <c r="AL10" s="339" t="str">
        <f>IF(AND(AL$1&lt;=График!$F10,AL$1+6&gt;=График!$E10),"■","")</f>
        <v/>
      </c>
      <c r="AM10" s="339" t="str">
        <f>IF(AND(AM$1&lt;=График!$F10,AM$1+6&gt;=График!$E10),"■","")</f>
        <v/>
      </c>
      <c r="AN10" s="339" t="str">
        <f>IF(AND(AN$1&lt;=График!$F10,AN$1+6&gt;=График!$E10),"■","")</f>
        <v/>
      </c>
      <c r="AO10" s="339" t="str">
        <f>IF(AND(AO$1&lt;=График!$F10,AO$1+6&gt;=График!$E10),"■","")</f>
        <v/>
      </c>
      <c r="AP10" s="339" t="str">
        <f>IF(AND(AP$1&lt;=График!$F10,AP$1+6&gt;=График!$E10),"■","")</f>
        <v/>
      </c>
      <c r="AQ10" s="339" t="str">
        <f>IF(AND(AQ$1&lt;=График!$F10,AQ$1+6&gt;=График!$E10),"■","")</f>
        <v/>
      </c>
      <c r="AR10" s="339" t="str">
        <f>IF(AND(AR$1&lt;=График!$F10,AR$1+6&gt;=График!$E10),"■","")</f>
        <v/>
      </c>
      <c r="AS10" s="339" t="str">
        <f>IF(AND(AS$1&lt;=График!$F10,AS$1+6&gt;=График!$E10),"■","")</f>
        <v/>
      </c>
      <c r="AT10" s="339" t="str">
        <f>IF(AND(AT$1&lt;=График!$F10,AT$1+6&gt;=График!$E10),"■","")</f>
        <v/>
      </c>
      <c r="AU10" s="339" t="str">
        <f>IF(AND(AU$1&lt;=График!$F10,AU$1+6&gt;=График!$E10),"■","")</f>
        <v/>
      </c>
      <c r="AV10" s="339" t="str">
        <f>IF(AND(AV$1&lt;=График!$F10,AV$1+6&gt;=График!$E10),"■","")</f>
        <v/>
      </c>
      <c r="AW10" s="339" t="str">
        <f>IF(AND(AW$1&lt;=График!$F10,AW$1+6&gt;=График!$E10),"■","")</f>
        <v/>
      </c>
      <c r="AX10" s="339" t="str">
        <f>IF(AND(AX$1&lt;=График!$F10,AX$1+6&gt;=График!$E10),"■","")</f>
        <v/>
      </c>
      <c r="AY10" s="339" t="str">
        <f>IF(AND(AY$1&lt;=График!$F10,AY$1+6&gt;=График!$E10),"■","")</f>
        <v/>
      </c>
      <c r="AZ10" s="339" t="str">
        <f>IF(AND(AZ$1&lt;=График!$F10,AZ$1+6&gt;=График!$E10),"■","")</f>
        <v/>
      </c>
    </row>
    <row r="11" spans="1:52" ht="28.5" customHeight="1">
      <c r="A11" s="346">
        <f>График!A11</f>
        <v>10</v>
      </c>
      <c r="B11" s="346" t="str">
        <f>График!B11</f>
        <v>3. Мобилизация и защита производства</v>
      </c>
      <c r="C11" s="346" t="str">
        <f>График!C11</f>
        <v>Защита действующего производства снизу: настилы, сетки, зоны отчуждения</v>
      </c>
      <c r="D11" s="347">
        <f>График!E11</f>
        <v>46266</v>
      </c>
      <c r="E11" s="347">
        <f>График!F11</f>
        <v>46283</v>
      </c>
      <c r="F11" s="311">
        <f>График!G11</f>
        <v>18</v>
      </c>
      <c r="G11" s="339" t="str">
        <f>IF(AND(G$1&lt;=График!$F11,G$1+6&gt;=График!$E11),"■","")</f>
        <v/>
      </c>
      <c r="H11" s="339" t="str">
        <f>IF(AND(H$1&lt;=График!$F11,H$1+6&gt;=График!$E11),"■","")</f>
        <v/>
      </c>
      <c r="I11" s="339" t="str">
        <f>IF(AND(I$1&lt;=График!$F11,I$1+6&gt;=График!$E11),"■","")</f>
        <v/>
      </c>
      <c r="J11" s="339" t="str">
        <f>IF(AND(J$1&lt;=График!$F11,J$1+6&gt;=График!$E11),"■","")</f>
        <v/>
      </c>
      <c r="K11" s="339" t="str">
        <f>IF(AND(K$1&lt;=График!$F11,K$1+6&gt;=График!$E11),"■","")</f>
        <v/>
      </c>
      <c r="L11" s="339" t="str">
        <f>IF(AND(L$1&lt;=График!$F11,L$1+6&gt;=График!$E11),"■","")</f>
        <v/>
      </c>
      <c r="M11" s="339" t="str">
        <f>IF(AND(M$1&lt;=График!$F11,M$1+6&gt;=График!$E11),"■","")</f>
        <v/>
      </c>
      <c r="N11" s="339" t="str">
        <f>IF(AND(N$1&lt;=График!$F11,N$1+6&gt;=График!$E11),"■","")</f>
        <v/>
      </c>
      <c r="O11" s="339" t="str">
        <f>IF(AND(O$1&lt;=График!$F11,O$1+6&gt;=График!$E11),"■","")</f>
        <v>■</v>
      </c>
      <c r="P11" s="339" t="str">
        <f>IF(AND(P$1&lt;=График!$F11,P$1+6&gt;=График!$E11),"■","")</f>
        <v>■</v>
      </c>
      <c r="Q11" s="348" t="str">
        <f>IF(AND(Q$1&lt;=График!$F11,Q$1+6&gt;=График!$E11),"■","")</f>
        <v>■</v>
      </c>
      <c r="R11" s="348" t="str">
        <f>IF(AND(R$1&lt;=График!$F11,R$1+6&gt;=График!$E11),"■","")</f>
        <v>■</v>
      </c>
      <c r="S11" s="348" t="str">
        <f>IF(AND(S$1&lt;=График!$F11,S$1+6&gt;=График!$E11),"■","")</f>
        <v/>
      </c>
      <c r="T11" s="348" t="str">
        <f>IF(AND(T$1&lt;=График!$F11,T$1+6&gt;=График!$E11),"■","")</f>
        <v/>
      </c>
      <c r="U11" s="339" t="str">
        <f>IF(AND(U$1&lt;=График!$F11,U$1+6&gt;=График!$E11),"■","")</f>
        <v/>
      </c>
      <c r="V11" s="339" t="str">
        <f>IF(AND(V$1&lt;=График!$F11,V$1+6&gt;=График!$E11),"■","")</f>
        <v/>
      </c>
      <c r="W11" s="339" t="str">
        <f>IF(AND(W$1&lt;=График!$F11,W$1+6&gt;=График!$E11),"■","")</f>
        <v/>
      </c>
      <c r="X11" s="339" t="str">
        <f>IF(AND(X$1&lt;=График!$F11,X$1+6&gt;=График!$E11),"■","")</f>
        <v/>
      </c>
      <c r="Y11" s="339" t="str">
        <f>IF(AND(Y$1&lt;=График!$F11,Y$1+6&gt;=График!$E11),"■","")</f>
        <v/>
      </c>
      <c r="Z11" s="339" t="str">
        <f>IF(AND(Z$1&lt;=График!$F11,Z$1+6&gt;=График!$E11),"■","")</f>
        <v/>
      </c>
      <c r="AA11" s="339" t="str">
        <f>IF(AND(AA$1&lt;=График!$F11,AA$1+6&gt;=График!$E11),"■","")</f>
        <v/>
      </c>
      <c r="AB11" s="339" t="str">
        <f>IF(AND(AB$1&lt;=График!$F11,AB$1+6&gt;=График!$E11),"■","")</f>
        <v/>
      </c>
      <c r="AC11" s="339" t="str">
        <f>IF(AND(AC$1&lt;=График!$F11,AC$1+6&gt;=График!$E11),"■","")</f>
        <v/>
      </c>
      <c r="AD11" s="339" t="str">
        <f>IF(AND(AD$1&lt;=График!$F11,AD$1+6&gt;=График!$E11),"■","")</f>
        <v/>
      </c>
      <c r="AE11" s="339" t="str">
        <f>IF(AND(AE$1&lt;=График!$F11,AE$1+6&gt;=График!$E11),"■","")</f>
        <v/>
      </c>
      <c r="AF11" s="339" t="str">
        <f>IF(AND(AF$1&lt;=График!$F11,AF$1+6&gt;=График!$E11),"■","")</f>
        <v/>
      </c>
      <c r="AG11" s="339" t="str">
        <f>IF(AND(AG$1&lt;=График!$F11,AG$1+6&gt;=График!$E11),"■","")</f>
        <v/>
      </c>
      <c r="AH11" s="339" t="str">
        <f>IF(AND(AH$1&lt;=График!$F11,AH$1+6&gt;=График!$E11),"■","")</f>
        <v/>
      </c>
      <c r="AI11" s="339" t="str">
        <f>IF(AND(AI$1&lt;=График!$F11,AI$1+6&gt;=График!$E11),"■","")</f>
        <v/>
      </c>
      <c r="AJ11" s="339" t="str">
        <f>IF(AND(AJ$1&lt;=График!$F11,AJ$1+6&gt;=График!$E11),"■","")</f>
        <v/>
      </c>
      <c r="AK11" s="339" t="str">
        <f>IF(AND(AK$1&lt;=График!$F11,AK$1+6&gt;=График!$E11),"■","")</f>
        <v/>
      </c>
      <c r="AL11" s="339" t="str">
        <f>IF(AND(AL$1&lt;=График!$F11,AL$1+6&gt;=График!$E11),"■","")</f>
        <v/>
      </c>
      <c r="AM11" s="339" t="str">
        <f>IF(AND(AM$1&lt;=График!$F11,AM$1+6&gt;=График!$E11),"■","")</f>
        <v/>
      </c>
      <c r="AN11" s="339" t="str">
        <f>IF(AND(AN$1&lt;=График!$F11,AN$1+6&gt;=График!$E11),"■","")</f>
        <v/>
      </c>
      <c r="AO11" s="339" t="str">
        <f>IF(AND(AO$1&lt;=График!$F11,AO$1+6&gt;=График!$E11),"■","")</f>
        <v/>
      </c>
      <c r="AP11" s="339" t="str">
        <f>IF(AND(AP$1&lt;=График!$F11,AP$1+6&gt;=График!$E11),"■","")</f>
        <v/>
      </c>
      <c r="AQ11" s="339" t="str">
        <f>IF(AND(AQ$1&lt;=График!$F11,AQ$1+6&gt;=График!$E11),"■","")</f>
        <v/>
      </c>
      <c r="AR11" s="339" t="str">
        <f>IF(AND(AR$1&lt;=График!$F11,AR$1+6&gt;=График!$E11),"■","")</f>
        <v/>
      </c>
      <c r="AS11" s="339" t="str">
        <f>IF(AND(AS$1&lt;=График!$F11,AS$1+6&gt;=График!$E11),"■","")</f>
        <v/>
      </c>
      <c r="AT11" s="339" t="str">
        <f>IF(AND(AT$1&lt;=График!$F11,AT$1+6&gt;=График!$E11),"■","")</f>
        <v/>
      </c>
      <c r="AU11" s="339" t="str">
        <f>IF(AND(AU$1&lt;=График!$F11,AU$1+6&gt;=График!$E11),"■","")</f>
        <v/>
      </c>
      <c r="AV11" s="339" t="str">
        <f>IF(AND(AV$1&lt;=График!$F11,AV$1+6&gt;=График!$E11),"■","")</f>
        <v/>
      </c>
      <c r="AW11" s="339" t="str">
        <f>IF(AND(AW$1&lt;=График!$F11,AW$1+6&gt;=График!$E11),"■","")</f>
        <v/>
      </c>
      <c r="AX11" s="339" t="str">
        <f>IF(AND(AX$1&lt;=График!$F11,AX$1+6&gt;=График!$E11),"■","")</f>
        <v/>
      </c>
      <c r="AY11" s="339" t="str">
        <f>IF(AND(AY$1&lt;=График!$F11,AY$1+6&gt;=График!$E11),"■","")</f>
        <v/>
      </c>
      <c r="AZ11" s="339" t="str">
        <f>IF(AND(AZ$1&lt;=График!$F11,AZ$1+6&gt;=График!$E11),"■","")</f>
        <v/>
      </c>
    </row>
    <row r="12" spans="1:52" ht="28.5" customHeight="1">
      <c r="A12" s="346">
        <f>График!A12</f>
        <v>11</v>
      </c>
      <c r="B12" s="346" t="str">
        <f>График!B12</f>
        <v>3. Мобилизация и защита производства</v>
      </c>
      <c r="C12" s="346" t="str">
        <f>График!C12</f>
        <v>Временная водоотсечка, аварийные укрытия, временные водостоки</v>
      </c>
      <c r="D12" s="347">
        <f>График!E12</f>
        <v>46266</v>
      </c>
      <c r="E12" s="347">
        <f>График!F12</f>
        <v>46285</v>
      </c>
      <c r="F12" s="311">
        <f>График!G12</f>
        <v>20</v>
      </c>
      <c r="G12" s="339" t="str">
        <f>IF(AND(G$1&lt;=График!$F12,G$1+6&gt;=График!$E12),"■","")</f>
        <v/>
      </c>
      <c r="H12" s="339" t="str">
        <f>IF(AND(H$1&lt;=График!$F12,H$1+6&gt;=График!$E12),"■","")</f>
        <v/>
      </c>
      <c r="I12" s="339" t="str">
        <f>IF(AND(I$1&lt;=График!$F12,I$1+6&gt;=График!$E12),"■","")</f>
        <v/>
      </c>
      <c r="J12" s="339" t="str">
        <f>IF(AND(J$1&lt;=График!$F12,J$1+6&gt;=График!$E12),"■","")</f>
        <v/>
      </c>
      <c r="K12" s="339" t="str">
        <f>IF(AND(K$1&lt;=График!$F12,K$1+6&gt;=График!$E12),"■","")</f>
        <v/>
      </c>
      <c r="L12" s="339" t="str">
        <f>IF(AND(L$1&lt;=График!$F12,L$1+6&gt;=График!$E12),"■","")</f>
        <v/>
      </c>
      <c r="M12" s="339" t="str">
        <f>IF(AND(M$1&lt;=График!$F12,M$1+6&gt;=График!$E12),"■","")</f>
        <v/>
      </c>
      <c r="N12" s="339" t="str">
        <f>IF(AND(N$1&lt;=График!$F12,N$1+6&gt;=График!$E12),"■","")</f>
        <v/>
      </c>
      <c r="O12" s="339" t="str">
        <f>IF(AND(O$1&lt;=График!$F12,O$1+6&gt;=График!$E12),"■","")</f>
        <v>■</v>
      </c>
      <c r="P12" s="339" t="str">
        <f>IF(AND(P$1&lt;=График!$F12,P$1+6&gt;=График!$E12),"■","")</f>
        <v>■</v>
      </c>
      <c r="Q12" s="348" t="str">
        <f>IF(AND(Q$1&lt;=График!$F12,Q$1+6&gt;=График!$E12),"■","")</f>
        <v>■</v>
      </c>
      <c r="R12" s="348" t="str">
        <f>IF(AND(R$1&lt;=График!$F12,R$1+6&gt;=График!$E12),"■","")</f>
        <v>■</v>
      </c>
      <c r="S12" s="348" t="str">
        <f>IF(AND(S$1&lt;=График!$F12,S$1+6&gt;=График!$E12),"■","")</f>
        <v/>
      </c>
      <c r="T12" s="348" t="str">
        <f>IF(AND(T$1&lt;=График!$F12,T$1+6&gt;=График!$E12),"■","")</f>
        <v/>
      </c>
      <c r="U12" s="339" t="str">
        <f>IF(AND(U$1&lt;=График!$F12,U$1+6&gt;=График!$E12),"■","")</f>
        <v/>
      </c>
      <c r="V12" s="339" t="str">
        <f>IF(AND(V$1&lt;=График!$F12,V$1+6&gt;=График!$E12),"■","")</f>
        <v/>
      </c>
      <c r="W12" s="339" t="str">
        <f>IF(AND(W$1&lt;=График!$F12,W$1+6&gt;=График!$E12),"■","")</f>
        <v/>
      </c>
      <c r="X12" s="339" t="str">
        <f>IF(AND(X$1&lt;=График!$F12,X$1+6&gt;=График!$E12),"■","")</f>
        <v/>
      </c>
      <c r="Y12" s="339" t="str">
        <f>IF(AND(Y$1&lt;=График!$F12,Y$1+6&gt;=График!$E12),"■","")</f>
        <v/>
      </c>
      <c r="Z12" s="339" t="str">
        <f>IF(AND(Z$1&lt;=График!$F12,Z$1+6&gt;=График!$E12),"■","")</f>
        <v/>
      </c>
      <c r="AA12" s="339" t="str">
        <f>IF(AND(AA$1&lt;=График!$F12,AA$1+6&gt;=График!$E12),"■","")</f>
        <v/>
      </c>
      <c r="AB12" s="339" t="str">
        <f>IF(AND(AB$1&lt;=График!$F12,AB$1+6&gt;=График!$E12),"■","")</f>
        <v/>
      </c>
      <c r="AC12" s="339" t="str">
        <f>IF(AND(AC$1&lt;=График!$F12,AC$1+6&gt;=График!$E12),"■","")</f>
        <v/>
      </c>
      <c r="AD12" s="339" t="str">
        <f>IF(AND(AD$1&lt;=График!$F12,AD$1+6&gt;=График!$E12),"■","")</f>
        <v/>
      </c>
      <c r="AE12" s="339" t="str">
        <f>IF(AND(AE$1&lt;=График!$F12,AE$1+6&gt;=График!$E12),"■","")</f>
        <v/>
      </c>
      <c r="AF12" s="339" t="str">
        <f>IF(AND(AF$1&lt;=График!$F12,AF$1+6&gt;=График!$E12),"■","")</f>
        <v/>
      </c>
      <c r="AG12" s="339" t="str">
        <f>IF(AND(AG$1&lt;=График!$F12,AG$1+6&gt;=График!$E12),"■","")</f>
        <v/>
      </c>
      <c r="AH12" s="339" t="str">
        <f>IF(AND(AH$1&lt;=График!$F12,AH$1+6&gt;=График!$E12),"■","")</f>
        <v/>
      </c>
      <c r="AI12" s="339" t="str">
        <f>IF(AND(AI$1&lt;=График!$F12,AI$1+6&gt;=График!$E12),"■","")</f>
        <v/>
      </c>
      <c r="AJ12" s="339" t="str">
        <f>IF(AND(AJ$1&lt;=График!$F12,AJ$1+6&gt;=График!$E12),"■","")</f>
        <v/>
      </c>
      <c r="AK12" s="339" t="str">
        <f>IF(AND(AK$1&lt;=График!$F12,AK$1+6&gt;=График!$E12),"■","")</f>
        <v/>
      </c>
      <c r="AL12" s="339" t="str">
        <f>IF(AND(AL$1&lt;=График!$F12,AL$1+6&gt;=График!$E12),"■","")</f>
        <v/>
      </c>
      <c r="AM12" s="339" t="str">
        <f>IF(AND(AM$1&lt;=График!$F12,AM$1+6&gt;=График!$E12),"■","")</f>
        <v/>
      </c>
      <c r="AN12" s="339" t="str">
        <f>IF(AND(AN$1&lt;=График!$F12,AN$1+6&gt;=График!$E12),"■","")</f>
        <v/>
      </c>
      <c r="AO12" s="339" t="str">
        <f>IF(AND(AO$1&lt;=График!$F12,AO$1+6&gt;=График!$E12),"■","")</f>
        <v/>
      </c>
      <c r="AP12" s="339" t="str">
        <f>IF(AND(AP$1&lt;=График!$F12,AP$1+6&gt;=График!$E12),"■","")</f>
        <v/>
      </c>
      <c r="AQ12" s="339" t="str">
        <f>IF(AND(AQ$1&lt;=График!$F12,AQ$1+6&gt;=График!$E12),"■","")</f>
        <v/>
      </c>
      <c r="AR12" s="339" t="str">
        <f>IF(AND(AR$1&lt;=График!$F12,AR$1+6&gt;=График!$E12),"■","")</f>
        <v/>
      </c>
      <c r="AS12" s="339" t="str">
        <f>IF(AND(AS$1&lt;=График!$F12,AS$1+6&gt;=График!$E12),"■","")</f>
        <v/>
      </c>
      <c r="AT12" s="339" t="str">
        <f>IF(AND(AT$1&lt;=График!$F12,AT$1+6&gt;=График!$E12),"■","")</f>
        <v/>
      </c>
      <c r="AU12" s="339" t="str">
        <f>IF(AND(AU$1&lt;=График!$F12,AU$1+6&gt;=График!$E12),"■","")</f>
        <v/>
      </c>
      <c r="AV12" s="339" t="str">
        <f>IF(AND(AV$1&lt;=График!$F12,AV$1+6&gt;=График!$E12),"■","")</f>
        <v/>
      </c>
      <c r="AW12" s="339" t="str">
        <f>IF(AND(AW$1&lt;=График!$F12,AW$1+6&gt;=График!$E12),"■","")</f>
        <v/>
      </c>
      <c r="AX12" s="339" t="str">
        <f>IF(AND(AX$1&lt;=График!$F12,AX$1+6&gt;=График!$E12),"■","")</f>
        <v/>
      </c>
      <c r="AY12" s="339" t="str">
        <f>IF(AND(AY$1&lt;=График!$F12,AY$1+6&gt;=График!$E12),"■","")</f>
        <v/>
      </c>
      <c r="AZ12" s="339" t="str">
        <f>IF(AND(AZ$1&lt;=График!$F12,AZ$1+6&gt;=График!$E12),"■","")</f>
        <v/>
      </c>
    </row>
    <row r="13" spans="1:52" ht="14.25" customHeight="1">
      <c r="A13" s="349">
        <f>График!A13</f>
        <v>12</v>
      </c>
      <c r="B13" s="349" t="str">
        <f>График!B13</f>
        <v>4. Кровля: 1-2 пролеты</v>
      </c>
      <c r="C13" s="349" t="str">
        <f>График!C13</f>
        <v>Демонтаж существующего пирога 1-2 пролеты</v>
      </c>
      <c r="D13" s="350">
        <f>График!E13</f>
        <v>46284</v>
      </c>
      <c r="E13" s="350">
        <f>График!F13</f>
        <v>46305</v>
      </c>
      <c r="F13" s="321">
        <f>График!G13</f>
        <v>22</v>
      </c>
      <c r="G13" s="339" t="str">
        <f>IF(AND(G$1&lt;=График!$F13,G$1+6&gt;=График!$E13),"■","")</f>
        <v/>
      </c>
      <c r="H13" s="339" t="str">
        <f>IF(AND(H$1&lt;=График!$F13,H$1+6&gt;=График!$E13),"■","")</f>
        <v/>
      </c>
      <c r="I13" s="339" t="str">
        <f>IF(AND(I$1&lt;=График!$F13,I$1+6&gt;=График!$E13),"■","")</f>
        <v/>
      </c>
      <c r="J13" s="339" t="str">
        <f>IF(AND(J$1&lt;=График!$F13,J$1+6&gt;=График!$E13),"■","")</f>
        <v/>
      </c>
      <c r="K13" s="339" t="str">
        <f>IF(AND(K$1&lt;=График!$F13,K$1+6&gt;=График!$E13),"■","")</f>
        <v/>
      </c>
      <c r="L13" s="339" t="str">
        <f>IF(AND(L$1&lt;=График!$F13,L$1+6&gt;=График!$E13),"■","")</f>
        <v/>
      </c>
      <c r="M13" s="339" t="str">
        <f>IF(AND(M$1&lt;=График!$F13,M$1+6&gt;=График!$E13),"■","")</f>
        <v/>
      </c>
      <c r="N13" s="339" t="str">
        <f>IF(AND(N$1&lt;=График!$F13,N$1+6&gt;=График!$E13),"■","")</f>
        <v/>
      </c>
      <c r="O13" s="339" t="str">
        <f>IF(AND(O$1&lt;=График!$F13,O$1+6&gt;=График!$E13),"■","")</f>
        <v/>
      </c>
      <c r="P13" s="339" t="str">
        <f>IF(AND(P$1&lt;=График!$F13,P$1+6&gt;=График!$E13),"■","")</f>
        <v/>
      </c>
      <c r="Q13" s="339" t="str">
        <f>IF(AND(Q$1&lt;=График!$F13,Q$1+6&gt;=График!$E13),"■","")</f>
        <v/>
      </c>
      <c r="R13" s="351" t="str">
        <f>IF(AND(R$1&lt;=График!$F13,R$1+6&gt;=График!$E13),"■","")</f>
        <v>■</v>
      </c>
      <c r="S13" s="351" t="str">
        <f>IF(AND(S$1&lt;=График!$F13,S$1+6&gt;=График!$E13),"■","")</f>
        <v>■</v>
      </c>
      <c r="T13" s="351" t="str">
        <f>IF(AND(T$1&lt;=График!$F13,T$1+6&gt;=График!$E13),"■","")</f>
        <v>■</v>
      </c>
      <c r="U13" s="351" t="str">
        <f>IF(AND(U$1&lt;=График!$F13,U$1+6&gt;=График!$E13),"■","")</f>
        <v>■</v>
      </c>
      <c r="V13" s="351" t="str">
        <f>IF(AND(V$1&lt;=График!$F13,V$1+6&gt;=График!$E13),"■","")</f>
        <v/>
      </c>
      <c r="W13" s="339" t="str">
        <f>IF(AND(W$1&lt;=График!$F13,W$1+6&gt;=График!$E13),"■","")</f>
        <v/>
      </c>
      <c r="X13" s="339" t="str">
        <f>IF(AND(X$1&lt;=График!$F13,X$1+6&gt;=График!$E13),"■","")</f>
        <v/>
      </c>
      <c r="Y13" s="339" t="str">
        <f>IF(AND(Y$1&lt;=График!$F13,Y$1+6&gt;=График!$E13),"■","")</f>
        <v/>
      </c>
      <c r="Z13" s="339" t="str">
        <f>IF(AND(Z$1&lt;=График!$F13,Z$1+6&gt;=График!$E13),"■","")</f>
        <v/>
      </c>
      <c r="AA13" s="339" t="str">
        <f>IF(AND(AA$1&lt;=График!$F13,AA$1+6&gt;=График!$E13),"■","")</f>
        <v/>
      </c>
      <c r="AB13" s="339" t="str">
        <f>IF(AND(AB$1&lt;=График!$F13,AB$1+6&gt;=График!$E13),"■","")</f>
        <v/>
      </c>
      <c r="AC13" s="339" t="str">
        <f>IF(AND(AC$1&lt;=График!$F13,AC$1+6&gt;=График!$E13),"■","")</f>
        <v/>
      </c>
      <c r="AD13" s="339" t="str">
        <f>IF(AND(AD$1&lt;=График!$F13,AD$1+6&gt;=График!$E13),"■","")</f>
        <v/>
      </c>
      <c r="AE13" s="339" t="str">
        <f>IF(AND(AE$1&lt;=График!$F13,AE$1+6&gt;=График!$E13),"■","")</f>
        <v/>
      </c>
      <c r="AF13" s="339" t="str">
        <f>IF(AND(AF$1&lt;=График!$F13,AF$1+6&gt;=График!$E13),"■","")</f>
        <v/>
      </c>
      <c r="AG13" s="339" t="str">
        <f>IF(AND(AG$1&lt;=График!$F13,AG$1+6&gt;=График!$E13),"■","")</f>
        <v/>
      </c>
      <c r="AH13" s="339" t="str">
        <f>IF(AND(AH$1&lt;=График!$F13,AH$1+6&gt;=График!$E13),"■","")</f>
        <v/>
      </c>
      <c r="AI13" s="339" t="str">
        <f>IF(AND(AI$1&lt;=График!$F13,AI$1+6&gt;=График!$E13),"■","")</f>
        <v/>
      </c>
      <c r="AJ13" s="339" t="str">
        <f>IF(AND(AJ$1&lt;=График!$F13,AJ$1+6&gt;=График!$E13),"■","")</f>
        <v/>
      </c>
      <c r="AK13" s="339" t="str">
        <f>IF(AND(AK$1&lt;=График!$F13,AK$1+6&gt;=График!$E13),"■","")</f>
        <v/>
      </c>
      <c r="AL13" s="339" t="str">
        <f>IF(AND(AL$1&lt;=График!$F13,AL$1+6&gt;=График!$E13),"■","")</f>
        <v/>
      </c>
      <c r="AM13" s="339" t="str">
        <f>IF(AND(AM$1&lt;=График!$F13,AM$1+6&gt;=График!$E13),"■","")</f>
        <v/>
      </c>
      <c r="AN13" s="339" t="str">
        <f>IF(AND(AN$1&lt;=График!$F13,AN$1+6&gt;=График!$E13),"■","")</f>
        <v/>
      </c>
      <c r="AO13" s="339" t="str">
        <f>IF(AND(AO$1&lt;=График!$F13,AO$1+6&gt;=График!$E13),"■","")</f>
        <v/>
      </c>
      <c r="AP13" s="339" t="str">
        <f>IF(AND(AP$1&lt;=График!$F13,AP$1+6&gt;=График!$E13),"■","")</f>
        <v/>
      </c>
      <c r="AQ13" s="339" t="str">
        <f>IF(AND(AQ$1&lt;=График!$F13,AQ$1+6&gt;=График!$E13),"■","")</f>
        <v/>
      </c>
      <c r="AR13" s="339" t="str">
        <f>IF(AND(AR$1&lt;=График!$F13,AR$1+6&gt;=График!$E13),"■","")</f>
        <v/>
      </c>
      <c r="AS13" s="339" t="str">
        <f>IF(AND(AS$1&lt;=График!$F13,AS$1+6&gt;=График!$E13),"■","")</f>
        <v/>
      </c>
      <c r="AT13" s="339" t="str">
        <f>IF(AND(AT$1&lt;=График!$F13,AT$1+6&gt;=График!$E13),"■","")</f>
        <v/>
      </c>
      <c r="AU13" s="339" t="str">
        <f>IF(AND(AU$1&lt;=График!$F13,AU$1+6&gt;=График!$E13),"■","")</f>
        <v/>
      </c>
      <c r="AV13" s="339" t="str">
        <f>IF(AND(AV$1&lt;=График!$F13,AV$1+6&gt;=График!$E13),"■","")</f>
        <v/>
      </c>
      <c r="AW13" s="339" t="str">
        <f>IF(AND(AW$1&lt;=График!$F13,AW$1+6&gt;=График!$E13),"■","")</f>
        <v/>
      </c>
      <c r="AX13" s="339" t="str">
        <f>IF(AND(AX$1&lt;=График!$F13,AX$1+6&gt;=График!$E13),"■","")</f>
        <v/>
      </c>
      <c r="AY13" s="339" t="str">
        <f>IF(AND(AY$1&lt;=График!$F13,AY$1+6&gt;=График!$E13),"■","")</f>
        <v/>
      </c>
      <c r="AZ13" s="339" t="str">
        <f>IF(AND(AZ$1&lt;=График!$F13,AZ$1+6&gt;=График!$E13),"■","")</f>
        <v/>
      </c>
    </row>
    <row r="14" spans="1:52" ht="28.5" customHeight="1">
      <c r="A14" s="349">
        <f>График!A14</f>
        <v>13</v>
      </c>
      <c r="B14" s="349" t="str">
        <f>График!B14</f>
        <v>4. Кровля: 1-2 пролеты</v>
      </c>
      <c r="C14" s="349" t="str">
        <f>График!C14</f>
        <v>Ремонт плит покрытия, антикоррозия, межплиточные швы 1-2 пролеты</v>
      </c>
      <c r="D14" s="350">
        <f>График!E14</f>
        <v>46290</v>
      </c>
      <c r="E14" s="350">
        <f>График!F14</f>
        <v>46313</v>
      </c>
      <c r="F14" s="321">
        <f>График!G14</f>
        <v>24</v>
      </c>
      <c r="G14" s="339" t="str">
        <f>IF(AND(G$1&lt;=График!$F14,G$1+6&gt;=График!$E14),"■","")</f>
        <v/>
      </c>
      <c r="H14" s="339" t="str">
        <f>IF(AND(H$1&lt;=График!$F14,H$1+6&gt;=График!$E14),"■","")</f>
        <v/>
      </c>
      <c r="I14" s="339" t="str">
        <f>IF(AND(I$1&lt;=График!$F14,I$1+6&gt;=График!$E14),"■","")</f>
        <v/>
      </c>
      <c r="J14" s="339" t="str">
        <f>IF(AND(J$1&lt;=График!$F14,J$1+6&gt;=График!$E14),"■","")</f>
        <v/>
      </c>
      <c r="K14" s="339" t="str">
        <f>IF(AND(K$1&lt;=График!$F14,K$1+6&gt;=График!$E14),"■","")</f>
        <v/>
      </c>
      <c r="L14" s="339" t="str">
        <f>IF(AND(L$1&lt;=График!$F14,L$1+6&gt;=График!$E14),"■","")</f>
        <v/>
      </c>
      <c r="M14" s="339" t="str">
        <f>IF(AND(M$1&lt;=График!$F14,M$1+6&gt;=График!$E14),"■","")</f>
        <v/>
      </c>
      <c r="N14" s="339" t="str">
        <f>IF(AND(N$1&lt;=График!$F14,N$1+6&gt;=График!$E14),"■","")</f>
        <v/>
      </c>
      <c r="O14" s="339" t="str">
        <f>IF(AND(O$1&lt;=График!$F14,O$1+6&gt;=График!$E14),"■","")</f>
        <v/>
      </c>
      <c r="P14" s="339" t="str">
        <f>IF(AND(P$1&lt;=График!$F14,P$1+6&gt;=График!$E14),"■","")</f>
        <v/>
      </c>
      <c r="Q14" s="339" t="str">
        <f>IF(AND(Q$1&lt;=График!$F14,Q$1+6&gt;=График!$E14),"■","")</f>
        <v/>
      </c>
      <c r="R14" s="339" t="str">
        <f>IF(AND(R$1&lt;=График!$F14,R$1+6&gt;=График!$E14),"■","")</f>
        <v/>
      </c>
      <c r="S14" s="339" t="str">
        <f>IF(AND(S$1&lt;=График!$F14,S$1+6&gt;=График!$E14),"■","")</f>
        <v>■</v>
      </c>
      <c r="T14" s="351" t="str">
        <f>IF(AND(T$1&lt;=График!$F14,T$1+6&gt;=График!$E14),"■","")</f>
        <v>■</v>
      </c>
      <c r="U14" s="351" t="str">
        <f>IF(AND(U$1&lt;=График!$F14,U$1+6&gt;=График!$E14),"■","")</f>
        <v>■</v>
      </c>
      <c r="V14" s="351" t="str">
        <f>IF(AND(V$1&lt;=График!$F14,V$1+6&gt;=График!$E14),"■","")</f>
        <v>■</v>
      </c>
      <c r="W14" s="351" t="str">
        <f>IF(AND(W$1&lt;=График!$F14,W$1+6&gt;=График!$E14),"■","")</f>
        <v/>
      </c>
      <c r="X14" s="339" t="str">
        <f>IF(AND(X$1&lt;=График!$F14,X$1+6&gt;=График!$E14),"■","")</f>
        <v/>
      </c>
      <c r="Y14" s="339" t="str">
        <f>IF(AND(Y$1&lt;=График!$F14,Y$1+6&gt;=График!$E14),"■","")</f>
        <v/>
      </c>
      <c r="Z14" s="339" t="str">
        <f>IF(AND(Z$1&lt;=График!$F14,Z$1+6&gt;=График!$E14),"■","")</f>
        <v/>
      </c>
      <c r="AA14" s="339" t="str">
        <f>IF(AND(AA$1&lt;=График!$F14,AA$1+6&gt;=График!$E14),"■","")</f>
        <v/>
      </c>
      <c r="AB14" s="339" t="str">
        <f>IF(AND(AB$1&lt;=График!$F14,AB$1+6&gt;=График!$E14),"■","")</f>
        <v/>
      </c>
      <c r="AC14" s="339" t="str">
        <f>IF(AND(AC$1&lt;=График!$F14,AC$1+6&gt;=График!$E14),"■","")</f>
        <v/>
      </c>
      <c r="AD14" s="339" t="str">
        <f>IF(AND(AD$1&lt;=График!$F14,AD$1+6&gt;=График!$E14),"■","")</f>
        <v/>
      </c>
      <c r="AE14" s="339" t="str">
        <f>IF(AND(AE$1&lt;=График!$F14,AE$1+6&gt;=График!$E14),"■","")</f>
        <v/>
      </c>
      <c r="AF14" s="339" t="str">
        <f>IF(AND(AF$1&lt;=График!$F14,AF$1+6&gt;=График!$E14),"■","")</f>
        <v/>
      </c>
      <c r="AG14" s="339" t="str">
        <f>IF(AND(AG$1&lt;=График!$F14,AG$1+6&gt;=График!$E14),"■","")</f>
        <v/>
      </c>
      <c r="AH14" s="339" t="str">
        <f>IF(AND(AH$1&lt;=График!$F14,AH$1+6&gt;=График!$E14),"■","")</f>
        <v/>
      </c>
      <c r="AI14" s="339" t="str">
        <f>IF(AND(AI$1&lt;=График!$F14,AI$1+6&gt;=График!$E14),"■","")</f>
        <v/>
      </c>
      <c r="AJ14" s="339" t="str">
        <f>IF(AND(AJ$1&lt;=График!$F14,AJ$1+6&gt;=График!$E14),"■","")</f>
        <v/>
      </c>
      <c r="AK14" s="339" t="str">
        <f>IF(AND(AK$1&lt;=График!$F14,AK$1+6&gt;=График!$E14),"■","")</f>
        <v/>
      </c>
      <c r="AL14" s="339" t="str">
        <f>IF(AND(AL$1&lt;=График!$F14,AL$1+6&gt;=График!$E14),"■","")</f>
        <v/>
      </c>
      <c r="AM14" s="339" t="str">
        <f>IF(AND(AM$1&lt;=График!$F14,AM$1+6&gt;=График!$E14),"■","")</f>
        <v/>
      </c>
      <c r="AN14" s="339" t="str">
        <f>IF(AND(AN$1&lt;=График!$F14,AN$1+6&gt;=График!$E14),"■","")</f>
        <v/>
      </c>
      <c r="AO14" s="339" t="str">
        <f>IF(AND(AO$1&lt;=График!$F14,AO$1+6&gt;=График!$E14),"■","")</f>
        <v/>
      </c>
      <c r="AP14" s="339" t="str">
        <f>IF(AND(AP$1&lt;=График!$F14,AP$1+6&gt;=График!$E14),"■","")</f>
        <v/>
      </c>
      <c r="AQ14" s="339" t="str">
        <f>IF(AND(AQ$1&lt;=График!$F14,AQ$1+6&gt;=График!$E14),"■","")</f>
        <v/>
      </c>
      <c r="AR14" s="339" t="str">
        <f>IF(AND(AR$1&lt;=График!$F14,AR$1+6&gt;=График!$E14),"■","")</f>
        <v/>
      </c>
      <c r="AS14" s="339" t="str">
        <f>IF(AND(AS$1&lt;=График!$F14,AS$1+6&gt;=График!$E14),"■","")</f>
        <v/>
      </c>
      <c r="AT14" s="339" t="str">
        <f>IF(AND(AT$1&lt;=График!$F14,AT$1+6&gt;=График!$E14),"■","")</f>
        <v/>
      </c>
      <c r="AU14" s="339" t="str">
        <f>IF(AND(AU$1&lt;=График!$F14,AU$1+6&gt;=График!$E14),"■","")</f>
        <v/>
      </c>
      <c r="AV14" s="339" t="str">
        <f>IF(AND(AV$1&lt;=График!$F14,AV$1+6&gt;=График!$E14),"■","")</f>
        <v/>
      </c>
      <c r="AW14" s="339" t="str">
        <f>IF(AND(AW$1&lt;=График!$F14,AW$1+6&gt;=График!$E14),"■","")</f>
        <v/>
      </c>
      <c r="AX14" s="339" t="str">
        <f>IF(AND(AX$1&lt;=График!$F14,AX$1+6&gt;=График!$E14),"■","")</f>
        <v/>
      </c>
      <c r="AY14" s="339" t="str">
        <f>IF(AND(AY$1&lt;=График!$F14,AY$1+6&gt;=График!$E14),"■","")</f>
        <v/>
      </c>
      <c r="AZ14" s="339" t="str">
        <f>IF(AND(AZ$1&lt;=График!$F14,AZ$1+6&gt;=График!$E14),"■","")</f>
        <v/>
      </c>
    </row>
    <row r="15" spans="1:52" ht="28.5" customHeight="1">
      <c r="A15" s="349">
        <f>График!A15</f>
        <v>14</v>
      </c>
      <c r="B15" s="349" t="str">
        <f>График!B15</f>
        <v>4. Кровля: 1-2 пролеты</v>
      </c>
      <c r="C15" s="349" t="str">
        <f>График!C15</f>
        <v>Новый кровельный пирог 1-2 пролеты: стяжка, праймер, пароизоляция, утеплитель, ковер</v>
      </c>
      <c r="D15" s="350">
        <f>График!E15</f>
        <v>46300</v>
      </c>
      <c r="E15" s="350">
        <f>График!F15</f>
        <v>46341</v>
      </c>
      <c r="F15" s="321">
        <f>График!G15</f>
        <v>42</v>
      </c>
      <c r="G15" s="339" t="str">
        <f>IF(AND(G$1&lt;=График!$F15,G$1+6&gt;=График!$E15),"■","")</f>
        <v/>
      </c>
      <c r="H15" s="339" t="str">
        <f>IF(AND(H$1&lt;=График!$F15,H$1+6&gt;=График!$E15),"■","")</f>
        <v/>
      </c>
      <c r="I15" s="339" t="str">
        <f>IF(AND(I$1&lt;=График!$F15,I$1+6&gt;=График!$E15),"■","")</f>
        <v/>
      </c>
      <c r="J15" s="339" t="str">
        <f>IF(AND(J$1&lt;=График!$F15,J$1+6&gt;=График!$E15),"■","")</f>
        <v/>
      </c>
      <c r="K15" s="339" t="str">
        <f>IF(AND(K$1&lt;=График!$F15,K$1+6&gt;=График!$E15),"■","")</f>
        <v/>
      </c>
      <c r="L15" s="339" t="str">
        <f>IF(AND(L$1&lt;=График!$F15,L$1+6&gt;=График!$E15),"■","")</f>
        <v/>
      </c>
      <c r="M15" s="339" t="str">
        <f>IF(AND(M$1&lt;=График!$F15,M$1+6&gt;=График!$E15),"■","")</f>
        <v/>
      </c>
      <c r="N15" s="339" t="str">
        <f>IF(AND(N$1&lt;=График!$F15,N$1+6&gt;=График!$E15),"■","")</f>
        <v/>
      </c>
      <c r="O15" s="339" t="str">
        <f>IF(AND(O$1&lt;=График!$F15,O$1+6&gt;=График!$E15),"■","")</f>
        <v/>
      </c>
      <c r="P15" s="339" t="str">
        <f>IF(AND(P$1&lt;=График!$F15,P$1+6&gt;=График!$E15),"■","")</f>
        <v/>
      </c>
      <c r="Q15" s="339" t="str">
        <f>IF(AND(Q$1&lt;=График!$F15,Q$1+6&gt;=График!$E15),"■","")</f>
        <v/>
      </c>
      <c r="R15" s="339" t="str">
        <f>IF(AND(R$1&lt;=График!$F15,R$1+6&gt;=График!$E15),"■","")</f>
        <v/>
      </c>
      <c r="S15" s="339" t="str">
        <f>IF(AND(S$1&lt;=График!$F15,S$1+6&gt;=График!$E15),"■","")</f>
        <v/>
      </c>
      <c r="T15" s="339" t="str">
        <f>IF(AND(T$1&lt;=График!$F15,T$1+6&gt;=График!$E15),"■","")</f>
        <v>■</v>
      </c>
      <c r="U15" s="351" t="str">
        <f>IF(AND(U$1&lt;=График!$F15,U$1+6&gt;=График!$E15),"■","")</f>
        <v>■</v>
      </c>
      <c r="V15" s="351" t="str">
        <f>IF(AND(V$1&lt;=График!$F15,V$1+6&gt;=График!$E15),"■","")</f>
        <v>■</v>
      </c>
      <c r="W15" s="351" t="str">
        <f>IF(AND(W$1&lt;=График!$F15,W$1+6&gt;=График!$E15),"■","")</f>
        <v>■</v>
      </c>
      <c r="X15" s="351" t="str">
        <f>IF(AND(X$1&lt;=График!$F15,X$1+6&gt;=График!$E15),"■","")</f>
        <v>■</v>
      </c>
      <c r="Y15" s="351" t="str">
        <f>IF(AND(Y$1&lt;=График!$F15,Y$1+6&gt;=График!$E15),"■","")</f>
        <v>■</v>
      </c>
      <c r="Z15" s="351" t="str">
        <f>IF(AND(Z$1&lt;=График!$F15,Z$1+6&gt;=График!$E15),"■","")</f>
        <v>■</v>
      </c>
      <c r="AA15" s="351" t="str">
        <f>IF(AND(AA$1&lt;=График!$F15,AA$1+6&gt;=График!$E15),"■","")</f>
        <v/>
      </c>
      <c r="AB15" s="339" t="str">
        <f>IF(AND(AB$1&lt;=График!$F15,AB$1+6&gt;=График!$E15),"■","")</f>
        <v/>
      </c>
      <c r="AC15" s="339" t="str">
        <f>IF(AND(AC$1&lt;=График!$F15,AC$1+6&gt;=График!$E15),"■","")</f>
        <v/>
      </c>
      <c r="AD15" s="339" t="str">
        <f>IF(AND(AD$1&lt;=График!$F15,AD$1+6&gt;=График!$E15),"■","")</f>
        <v/>
      </c>
      <c r="AE15" s="339" t="str">
        <f>IF(AND(AE$1&lt;=График!$F15,AE$1+6&gt;=График!$E15),"■","")</f>
        <v/>
      </c>
      <c r="AF15" s="339" t="str">
        <f>IF(AND(AF$1&lt;=График!$F15,AF$1+6&gt;=График!$E15),"■","")</f>
        <v/>
      </c>
      <c r="AG15" s="339" t="str">
        <f>IF(AND(AG$1&lt;=График!$F15,AG$1+6&gt;=График!$E15),"■","")</f>
        <v/>
      </c>
      <c r="AH15" s="339" t="str">
        <f>IF(AND(AH$1&lt;=График!$F15,AH$1+6&gt;=График!$E15),"■","")</f>
        <v/>
      </c>
      <c r="AI15" s="339" t="str">
        <f>IF(AND(AI$1&lt;=График!$F15,AI$1+6&gt;=График!$E15),"■","")</f>
        <v/>
      </c>
      <c r="AJ15" s="339" t="str">
        <f>IF(AND(AJ$1&lt;=График!$F15,AJ$1+6&gt;=График!$E15),"■","")</f>
        <v/>
      </c>
      <c r="AK15" s="339" t="str">
        <f>IF(AND(AK$1&lt;=График!$F15,AK$1+6&gt;=График!$E15),"■","")</f>
        <v/>
      </c>
      <c r="AL15" s="339" t="str">
        <f>IF(AND(AL$1&lt;=График!$F15,AL$1+6&gt;=График!$E15),"■","")</f>
        <v/>
      </c>
      <c r="AM15" s="339" t="str">
        <f>IF(AND(AM$1&lt;=График!$F15,AM$1+6&gt;=График!$E15),"■","")</f>
        <v/>
      </c>
      <c r="AN15" s="339" t="str">
        <f>IF(AND(AN$1&lt;=График!$F15,AN$1+6&gt;=График!$E15),"■","")</f>
        <v/>
      </c>
      <c r="AO15" s="339" t="str">
        <f>IF(AND(AO$1&lt;=График!$F15,AO$1+6&gt;=График!$E15),"■","")</f>
        <v/>
      </c>
      <c r="AP15" s="339" t="str">
        <f>IF(AND(AP$1&lt;=График!$F15,AP$1+6&gt;=График!$E15),"■","")</f>
        <v/>
      </c>
      <c r="AQ15" s="339" t="str">
        <f>IF(AND(AQ$1&lt;=График!$F15,AQ$1+6&gt;=График!$E15),"■","")</f>
        <v/>
      </c>
      <c r="AR15" s="339" t="str">
        <f>IF(AND(AR$1&lt;=График!$F15,AR$1+6&gt;=График!$E15),"■","")</f>
        <v/>
      </c>
      <c r="AS15" s="339" t="str">
        <f>IF(AND(AS$1&lt;=График!$F15,AS$1+6&gt;=График!$E15),"■","")</f>
        <v/>
      </c>
      <c r="AT15" s="339" t="str">
        <f>IF(AND(AT$1&lt;=График!$F15,AT$1+6&gt;=График!$E15),"■","")</f>
        <v/>
      </c>
      <c r="AU15" s="339" t="str">
        <f>IF(AND(AU$1&lt;=График!$F15,AU$1+6&gt;=График!$E15),"■","")</f>
        <v/>
      </c>
      <c r="AV15" s="339" t="str">
        <f>IF(AND(AV$1&lt;=График!$F15,AV$1+6&gt;=График!$E15),"■","")</f>
        <v/>
      </c>
      <c r="AW15" s="339" t="str">
        <f>IF(AND(AW$1&lt;=График!$F15,AW$1+6&gt;=График!$E15),"■","")</f>
        <v/>
      </c>
      <c r="AX15" s="339" t="str">
        <f>IF(AND(AX$1&lt;=График!$F15,AX$1+6&gt;=График!$E15),"■","")</f>
        <v/>
      </c>
      <c r="AY15" s="339" t="str">
        <f>IF(AND(AY$1&lt;=График!$F15,AY$1+6&gt;=График!$E15),"■","")</f>
        <v/>
      </c>
      <c r="AZ15" s="339" t="str">
        <f>IF(AND(AZ$1&lt;=График!$F15,AZ$1+6&gt;=График!$E15),"■","")</f>
        <v/>
      </c>
    </row>
    <row r="16" spans="1:52" ht="14.25" customHeight="1">
      <c r="A16" s="349">
        <f>График!A16</f>
        <v>15</v>
      </c>
      <c r="B16" s="349" t="str">
        <f>График!B16</f>
        <v>5. Кровля: 3-4 пролеты</v>
      </c>
      <c r="C16" s="349" t="str">
        <f>График!C16</f>
        <v>Демонтаж существующего пирога 3-4 пролеты</v>
      </c>
      <c r="D16" s="350">
        <f>График!E16</f>
        <v>46296</v>
      </c>
      <c r="E16" s="350">
        <f>График!F16</f>
        <v>46320</v>
      </c>
      <c r="F16" s="321">
        <f>График!G16</f>
        <v>25</v>
      </c>
      <c r="G16" s="339" t="str">
        <f>IF(AND(G$1&lt;=График!$F16,G$1+6&gt;=График!$E16),"■","")</f>
        <v/>
      </c>
      <c r="H16" s="339" t="str">
        <f>IF(AND(H$1&lt;=График!$F16,H$1+6&gt;=График!$E16),"■","")</f>
        <v/>
      </c>
      <c r="I16" s="339" t="str">
        <f>IF(AND(I$1&lt;=График!$F16,I$1+6&gt;=График!$E16),"■","")</f>
        <v/>
      </c>
      <c r="J16" s="339" t="str">
        <f>IF(AND(J$1&lt;=График!$F16,J$1+6&gt;=График!$E16),"■","")</f>
        <v/>
      </c>
      <c r="K16" s="339" t="str">
        <f>IF(AND(K$1&lt;=График!$F16,K$1+6&gt;=График!$E16),"■","")</f>
        <v/>
      </c>
      <c r="L16" s="339" t="str">
        <f>IF(AND(L$1&lt;=График!$F16,L$1+6&gt;=График!$E16),"■","")</f>
        <v/>
      </c>
      <c r="M16" s="339" t="str">
        <f>IF(AND(M$1&lt;=График!$F16,M$1+6&gt;=График!$E16),"■","")</f>
        <v/>
      </c>
      <c r="N16" s="339" t="str">
        <f>IF(AND(N$1&lt;=График!$F16,N$1+6&gt;=График!$E16),"■","")</f>
        <v/>
      </c>
      <c r="O16" s="339" t="str">
        <f>IF(AND(O$1&lt;=График!$F16,O$1+6&gt;=График!$E16),"■","")</f>
        <v/>
      </c>
      <c r="P16" s="339" t="str">
        <f>IF(AND(P$1&lt;=График!$F16,P$1+6&gt;=График!$E16),"■","")</f>
        <v/>
      </c>
      <c r="Q16" s="339" t="str">
        <f>IF(AND(Q$1&lt;=График!$F16,Q$1+6&gt;=График!$E16),"■","")</f>
        <v/>
      </c>
      <c r="R16" s="339" t="str">
        <f>IF(AND(R$1&lt;=График!$F16,R$1+6&gt;=График!$E16),"■","")</f>
        <v/>
      </c>
      <c r="S16" s="339" t="str">
        <f>IF(AND(S$1&lt;=График!$F16,S$1+6&gt;=График!$E16),"■","")</f>
        <v/>
      </c>
      <c r="T16" s="351" t="str">
        <f>IF(AND(T$1&lt;=График!$F16,T$1+6&gt;=График!$E16),"■","")</f>
        <v>■</v>
      </c>
      <c r="U16" s="351" t="str">
        <f>IF(AND(U$1&lt;=График!$F16,U$1+6&gt;=График!$E16),"■","")</f>
        <v>■</v>
      </c>
      <c r="V16" s="351" t="str">
        <f>IF(AND(V$1&lt;=График!$F16,V$1+6&gt;=График!$E16),"■","")</f>
        <v>■</v>
      </c>
      <c r="W16" s="351" t="str">
        <f>IF(AND(W$1&lt;=График!$F16,W$1+6&gt;=График!$E16),"■","")</f>
        <v>■</v>
      </c>
      <c r="X16" s="351" t="str">
        <f>IF(AND(X$1&lt;=График!$F16,X$1+6&gt;=График!$E16),"■","")</f>
        <v/>
      </c>
      <c r="Y16" s="351" t="str">
        <f>IF(AND(Y$1&lt;=График!$F16,Y$1+6&gt;=График!$E16),"■","")</f>
        <v/>
      </c>
      <c r="Z16" s="339" t="str">
        <f>IF(AND(Z$1&lt;=График!$F16,Z$1+6&gt;=График!$E16),"■","")</f>
        <v/>
      </c>
      <c r="AA16" s="339" t="str">
        <f>IF(AND(AA$1&lt;=График!$F16,AA$1+6&gt;=График!$E16),"■","")</f>
        <v/>
      </c>
      <c r="AB16" s="339" t="str">
        <f>IF(AND(AB$1&lt;=График!$F16,AB$1+6&gt;=График!$E16),"■","")</f>
        <v/>
      </c>
      <c r="AC16" s="339" t="str">
        <f>IF(AND(AC$1&lt;=График!$F16,AC$1+6&gt;=График!$E16),"■","")</f>
        <v/>
      </c>
      <c r="AD16" s="339" t="str">
        <f>IF(AND(AD$1&lt;=График!$F16,AD$1+6&gt;=График!$E16),"■","")</f>
        <v/>
      </c>
      <c r="AE16" s="339" t="str">
        <f>IF(AND(AE$1&lt;=График!$F16,AE$1+6&gt;=График!$E16),"■","")</f>
        <v/>
      </c>
      <c r="AF16" s="339" t="str">
        <f>IF(AND(AF$1&lt;=График!$F16,AF$1+6&gt;=График!$E16),"■","")</f>
        <v/>
      </c>
      <c r="AG16" s="339" t="str">
        <f>IF(AND(AG$1&lt;=График!$F16,AG$1+6&gt;=График!$E16),"■","")</f>
        <v/>
      </c>
      <c r="AH16" s="339" t="str">
        <f>IF(AND(AH$1&lt;=График!$F16,AH$1+6&gt;=График!$E16),"■","")</f>
        <v/>
      </c>
      <c r="AI16" s="339" t="str">
        <f>IF(AND(AI$1&lt;=График!$F16,AI$1+6&gt;=График!$E16),"■","")</f>
        <v/>
      </c>
      <c r="AJ16" s="339" t="str">
        <f>IF(AND(AJ$1&lt;=График!$F16,AJ$1+6&gt;=График!$E16),"■","")</f>
        <v/>
      </c>
      <c r="AK16" s="339" t="str">
        <f>IF(AND(AK$1&lt;=График!$F16,AK$1+6&gt;=График!$E16),"■","")</f>
        <v/>
      </c>
      <c r="AL16" s="339" t="str">
        <f>IF(AND(AL$1&lt;=График!$F16,AL$1+6&gt;=График!$E16),"■","")</f>
        <v/>
      </c>
      <c r="AM16" s="339" t="str">
        <f>IF(AND(AM$1&lt;=График!$F16,AM$1+6&gt;=График!$E16),"■","")</f>
        <v/>
      </c>
      <c r="AN16" s="339" t="str">
        <f>IF(AND(AN$1&lt;=График!$F16,AN$1+6&gt;=График!$E16),"■","")</f>
        <v/>
      </c>
      <c r="AO16" s="339" t="str">
        <f>IF(AND(AO$1&lt;=График!$F16,AO$1+6&gt;=График!$E16),"■","")</f>
        <v/>
      </c>
      <c r="AP16" s="339" t="str">
        <f>IF(AND(AP$1&lt;=График!$F16,AP$1+6&gt;=График!$E16),"■","")</f>
        <v/>
      </c>
      <c r="AQ16" s="339" t="str">
        <f>IF(AND(AQ$1&lt;=График!$F16,AQ$1+6&gt;=График!$E16),"■","")</f>
        <v/>
      </c>
      <c r="AR16" s="339" t="str">
        <f>IF(AND(AR$1&lt;=График!$F16,AR$1+6&gt;=График!$E16),"■","")</f>
        <v/>
      </c>
      <c r="AS16" s="339" t="str">
        <f>IF(AND(AS$1&lt;=График!$F16,AS$1+6&gt;=График!$E16),"■","")</f>
        <v/>
      </c>
      <c r="AT16" s="339" t="str">
        <f>IF(AND(AT$1&lt;=График!$F16,AT$1+6&gt;=График!$E16),"■","")</f>
        <v/>
      </c>
      <c r="AU16" s="339" t="str">
        <f>IF(AND(AU$1&lt;=График!$F16,AU$1+6&gt;=График!$E16),"■","")</f>
        <v/>
      </c>
      <c r="AV16" s="339" t="str">
        <f>IF(AND(AV$1&lt;=График!$F16,AV$1+6&gt;=График!$E16),"■","")</f>
        <v/>
      </c>
      <c r="AW16" s="339" t="str">
        <f>IF(AND(AW$1&lt;=График!$F16,AW$1+6&gt;=График!$E16),"■","")</f>
        <v/>
      </c>
      <c r="AX16" s="339" t="str">
        <f>IF(AND(AX$1&lt;=График!$F16,AX$1+6&gt;=График!$E16),"■","")</f>
        <v/>
      </c>
      <c r="AY16" s="339" t="str">
        <f>IF(AND(AY$1&lt;=График!$F16,AY$1+6&gt;=График!$E16),"■","")</f>
        <v/>
      </c>
      <c r="AZ16" s="339" t="str">
        <f>IF(AND(AZ$1&lt;=График!$F16,AZ$1+6&gt;=График!$E16),"■","")</f>
        <v/>
      </c>
    </row>
    <row r="17" spans="1:52" ht="28.5" customHeight="1">
      <c r="A17" s="349">
        <f>График!A17</f>
        <v>16</v>
      </c>
      <c r="B17" s="349" t="str">
        <f>График!B17</f>
        <v>5. Кровля: 3-4 пролеты</v>
      </c>
      <c r="C17" s="349" t="str">
        <f>График!C17</f>
        <v>Ремонт плит покрытия, антикоррозия, межплиточные швы 3-4 пролеты</v>
      </c>
      <c r="D17" s="350">
        <f>График!E17</f>
        <v>46310</v>
      </c>
      <c r="E17" s="350">
        <f>График!F17</f>
        <v>46336</v>
      </c>
      <c r="F17" s="321">
        <f>График!G17</f>
        <v>27</v>
      </c>
      <c r="G17" s="339" t="str">
        <f>IF(AND(G$1&lt;=График!$F17,G$1+6&gt;=График!$E17),"■","")</f>
        <v/>
      </c>
      <c r="H17" s="339" t="str">
        <f>IF(AND(H$1&lt;=График!$F17,H$1+6&gt;=График!$E17),"■","")</f>
        <v/>
      </c>
      <c r="I17" s="339" t="str">
        <f>IF(AND(I$1&lt;=График!$F17,I$1+6&gt;=График!$E17),"■","")</f>
        <v/>
      </c>
      <c r="J17" s="339" t="str">
        <f>IF(AND(J$1&lt;=График!$F17,J$1+6&gt;=График!$E17),"■","")</f>
        <v/>
      </c>
      <c r="K17" s="339" t="str">
        <f>IF(AND(K$1&lt;=График!$F17,K$1+6&gt;=График!$E17),"■","")</f>
        <v/>
      </c>
      <c r="L17" s="339" t="str">
        <f>IF(AND(L$1&lt;=График!$F17,L$1+6&gt;=График!$E17),"■","")</f>
        <v/>
      </c>
      <c r="M17" s="339" t="str">
        <f>IF(AND(M$1&lt;=График!$F17,M$1+6&gt;=График!$E17),"■","")</f>
        <v/>
      </c>
      <c r="N17" s="339" t="str">
        <f>IF(AND(N$1&lt;=График!$F17,N$1+6&gt;=График!$E17),"■","")</f>
        <v/>
      </c>
      <c r="O17" s="339" t="str">
        <f>IF(AND(O$1&lt;=График!$F17,O$1+6&gt;=График!$E17),"■","")</f>
        <v/>
      </c>
      <c r="P17" s="339" t="str">
        <f>IF(AND(P$1&lt;=График!$F17,P$1+6&gt;=График!$E17),"■","")</f>
        <v/>
      </c>
      <c r="Q17" s="339" t="str">
        <f>IF(AND(Q$1&lt;=График!$F17,Q$1+6&gt;=График!$E17),"■","")</f>
        <v/>
      </c>
      <c r="R17" s="339" t="str">
        <f>IF(AND(R$1&lt;=График!$F17,R$1+6&gt;=График!$E17),"■","")</f>
        <v/>
      </c>
      <c r="S17" s="339" t="str">
        <f>IF(AND(S$1&lt;=График!$F17,S$1+6&gt;=График!$E17),"■","")</f>
        <v/>
      </c>
      <c r="T17" s="339" t="str">
        <f>IF(AND(T$1&lt;=График!$F17,T$1+6&gt;=График!$E17),"■","")</f>
        <v/>
      </c>
      <c r="U17" s="339" t="str">
        <f>IF(AND(U$1&lt;=График!$F17,U$1+6&gt;=График!$E17),"■","")</f>
        <v/>
      </c>
      <c r="V17" s="351" t="str">
        <f>IF(AND(V$1&lt;=График!$F17,V$1+6&gt;=График!$E17),"■","")</f>
        <v>■</v>
      </c>
      <c r="W17" s="351" t="str">
        <f>IF(AND(W$1&lt;=График!$F17,W$1+6&gt;=График!$E17),"■","")</f>
        <v>■</v>
      </c>
      <c r="X17" s="351" t="str">
        <f>IF(AND(X$1&lt;=График!$F17,X$1+6&gt;=График!$E17),"■","")</f>
        <v>■</v>
      </c>
      <c r="Y17" s="351" t="str">
        <f>IF(AND(Y$1&lt;=График!$F17,Y$1+6&gt;=График!$E17),"■","")</f>
        <v>■</v>
      </c>
      <c r="Z17" s="351" t="str">
        <f>IF(AND(Z$1&lt;=График!$F17,Z$1+6&gt;=График!$E17),"■","")</f>
        <v/>
      </c>
      <c r="AA17" s="351" t="str">
        <f>IF(AND(AA$1&lt;=График!$F17,AA$1+6&gt;=График!$E17),"■","")</f>
        <v/>
      </c>
      <c r="AB17" s="339" t="str">
        <f>IF(AND(AB$1&lt;=График!$F17,AB$1+6&gt;=График!$E17),"■","")</f>
        <v/>
      </c>
      <c r="AC17" s="339" t="str">
        <f>IF(AND(AC$1&lt;=График!$F17,AC$1+6&gt;=График!$E17),"■","")</f>
        <v/>
      </c>
      <c r="AD17" s="339" t="str">
        <f>IF(AND(AD$1&lt;=График!$F17,AD$1+6&gt;=График!$E17),"■","")</f>
        <v/>
      </c>
      <c r="AE17" s="339" t="str">
        <f>IF(AND(AE$1&lt;=График!$F17,AE$1+6&gt;=График!$E17),"■","")</f>
        <v/>
      </c>
      <c r="AF17" s="339" t="str">
        <f>IF(AND(AF$1&lt;=График!$F17,AF$1+6&gt;=График!$E17),"■","")</f>
        <v/>
      </c>
      <c r="AG17" s="339" t="str">
        <f>IF(AND(AG$1&lt;=График!$F17,AG$1+6&gt;=График!$E17),"■","")</f>
        <v/>
      </c>
      <c r="AH17" s="339" t="str">
        <f>IF(AND(AH$1&lt;=График!$F17,AH$1+6&gt;=График!$E17),"■","")</f>
        <v/>
      </c>
      <c r="AI17" s="339" t="str">
        <f>IF(AND(AI$1&lt;=График!$F17,AI$1+6&gt;=График!$E17),"■","")</f>
        <v/>
      </c>
      <c r="AJ17" s="339" t="str">
        <f>IF(AND(AJ$1&lt;=График!$F17,AJ$1+6&gt;=График!$E17),"■","")</f>
        <v/>
      </c>
      <c r="AK17" s="339" t="str">
        <f>IF(AND(AK$1&lt;=График!$F17,AK$1+6&gt;=График!$E17),"■","")</f>
        <v/>
      </c>
      <c r="AL17" s="339" t="str">
        <f>IF(AND(AL$1&lt;=График!$F17,AL$1+6&gt;=График!$E17),"■","")</f>
        <v/>
      </c>
      <c r="AM17" s="339" t="str">
        <f>IF(AND(AM$1&lt;=График!$F17,AM$1+6&gt;=График!$E17),"■","")</f>
        <v/>
      </c>
      <c r="AN17" s="339" t="str">
        <f>IF(AND(AN$1&lt;=График!$F17,AN$1+6&gt;=График!$E17),"■","")</f>
        <v/>
      </c>
      <c r="AO17" s="339" t="str">
        <f>IF(AND(AO$1&lt;=График!$F17,AO$1+6&gt;=График!$E17),"■","")</f>
        <v/>
      </c>
      <c r="AP17" s="339" t="str">
        <f>IF(AND(AP$1&lt;=График!$F17,AP$1+6&gt;=График!$E17),"■","")</f>
        <v/>
      </c>
      <c r="AQ17" s="339" t="str">
        <f>IF(AND(AQ$1&lt;=График!$F17,AQ$1+6&gt;=График!$E17),"■","")</f>
        <v/>
      </c>
      <c r="AR17" s="339" t="str">
        <f>IF(AND(AR$1&lt;=График!$F17,AR$1+6&gt;=График!$E17),"■","")</f>
        <v/>
      </c>
      <c r="AS17" s="339" t="str">
        <f>IF(AND(AS$1&lt;=График!$F17,AS$1+6&gt;=График!$E17),"■","")</f>
        <v/>
      </c>
      <c r="AT17" s="339" t="str">
        <f>IF(AND(AT$1&lt;=График!$F17,AT$1+6&gt;=График!$E17),"■","")</f>
        <v/>
      </c>
      <c r="AU17" s="339" t="str">
        <f>IF(AND(AU$1&lt;=График!$F17,AU$1+6&gt;=График!$E17),"■","")</f>
        <v/>
      </c>
      <c r="AV17" s="339" t="str">
        <f>IF(AND(AV$1&lt;=График!$F17,AV$1+6&gt;=График!$E17),"■","")</f>
        <v/>
      </c>
      <c r="AW17" s="339" t="str">
        <f>IF(AND(AW$1&lt;=График!$F17,AW$1+6&gt;=График!$E17),"■","")</f>
        <v/>
      </c>
      <c r="AX17" s="339" t="str">
        <f>IF(AND(AX$1&lt;=График!$F17,AX$1+6&gt;=График!$E17),"■","")</f>
        <v/>
      </c>
      <c r="AY17" s="339" t="str">
        <f>IF(AND(AY$1&lt;=График!$F17,AY$1+6&gt;=График!$E17),"■","")</f>
        <v/>
      </c>
      <c r="AZ17" s="339" t="str">
        <f>IF(AND(AZ$1&lt;=График!$F17,AZ$1+6&gt;=График!$E17),"■","")</f>
        <v/>
      </c>
    </row>
    <row r="18" spans="1:52" ht="14.25" customHeight="1">
      <c r="A18" s="349">
        <f>График!A18</f>
        <v>17</v>
      </c>
      <c r="B18" s="349" t="str">
        <f>График!B18</f>
        <v>5. Кровля: 3-4 пролеты</v>
      </c>
      <c r="C18" s="349" t="str">
        <f>График!C18</f>
        <v>Новый кровельный пирог 3-4 пролеты</v>
      </c>
      <c r="D18" s="350">
        <f>График!E18</f>
        <v>46320</v>
      </c>
      <c r="E18" s="350">
        <f>График!F18</f>
        <v>46366</v>
      </c>
      <c r="F18" s="321">
        <f>График!G18</f>
        <v>47</v>
      </c>
      <c r="G18" s="339" t="str">
        <f>IF(AND(G$1&lt;=График!$F18,G$1+6&gt;=График!$E18),"■","")</f>
        <v/>
      </c>
      <c r="H18" s="339" t="str">
        <f>IF(AND(H$1&lt;=График!$F18,H$1+6&gt;=График!$E18),"■","")</f>
        <v/>
      </c>
      <c r="I18" s="339" t="str">
        <f>IF(AND(I$1&lt;=График!$F18,I$1+6&gt;=График!$E18),"■","")</f>
        <v/>
      </c>
      <c r="J18" s="339" t="str">
        <f>IF(AND(J$1&lt;=График!$F18,J$1+6&gt;=График!$E18),"■","")</f>
        <v/>
      </c>
      <c r="K18" s="339" t="str">
        <f>IF(AND(K$1&lt;=График!$F18,K$1+6&gt;=График!$E18),"■","")</f>
        <v/>
      </c>
      <c r="L18" s="339" t="str">
        <f>IF(AND(L$1&lt;=График!$F18,L$1+6&gt;=График!$E18),"■","")</f>
        <v/>
      </c>
      <c r="M18" s="339" t="str">
        <f>IF(AND(M$1&lt;=График!$F18,M$1+6&gt;=График!$E18),"■","")</f>
        <v/>
      </c>
      <c r="N18" s="339" t="str">
        <f>IF(AND(N$1&lt;=График!$F18,N$1+6&gt;=График!$E18),"■","")</f>
        <v/>
      </c>
      <c r="O18" s="339" t="str">
        <f>IF(AND(O$1&lt;=График!$F18,O$1+6&gt;=График!$E18),"■","")</f>
        <v/>
      </c>
      <c r="P18" s="339" t="str">
        <f>IF(AND(P$1&lt;=График!$F18,P$1+6&gt;=График!$E18),"■","")</f>
        <v/>
      </c>
      <c r="Q18" s="339" t="str">
        <f>IF(AND(Q$1&lt;=График!$F18,Q$1+6&gt;=График!$E18),"■","")</f>
        <v/>
      </c>
      <c r="R18" s="339" t="str">
        <f>IF(AND(R$1&lt;=График!$F18,R$1+6&gt;=График!$E18),"■","")</f>
        <v/>
      </c>
      <c r="S18" s="339" t="str">
        <f>IF(AND(S$1&lt;=График!$F18,S$1+6&gt;=График!$E18),"■","")</f>
        <v/>
      </c>
      <c r="T18" s="339" t="str">
        <f>IF(AND(T$1&lt;=График!$F18,T$1+6&gt;=График!$E18),"■","")</f>
        <v/>
      </c>
      <c r="U18" s="339" t="str">
        <f>IF(AND(U$1&lt;=График!$F18,U$1+6&gt;=График!$E18),"■","")</f>
        <v/>
      </c>
      <c r="V18" s="339" t="str">
        <f>IF(AND(V$1&lt;=График!$F18,V$1+6&gt;=График!$E18),"■","")</f>
        <v/>
      </c>
      <c r="W18" s="339" t="str">
        <f>IF(AND(W$1&lt;=График!$F18,W$1+6&gt;=График!$E18),"■","")</f>
        <v>■</v>
      </c>
      <c r="X18" s="351" t="str">
        <f>IF(AND(X$1&lt;=График!$F18,X$1+6&gt;=График!$E18),"■","")</f>
        <v>■</v>
      </c>
      <c r="Y18" s="351" t="str">
        <f>IF(AND(Y$1&lt;=График!$F18,Y$1+6&gt;=График!$E18),"■","")</f>
        <v>■</v>
      </c>
      <c r="Z18" s="351" t="str">
        <f>IF(AND(Z$1&lt;=График!$F18,Z$1+6&gt;=График!$E18),"■","")</f>
        <v>■</v>
      </c>
      <c r="AA18" s="351" t="str">
        <f>IF(AND(AA$1&lt;=График!$F18,AA$1+6&gt;=График!$E18),"■","")</f>
        <v>■</v>
      </c>
      <c r="AB18" s="351" t="str">
        <f>IF(AND(AB$1&lt;=График!$F18,AB$1+6&gt;=График!$E18),"■","")</f>
        <v>■</v>
      </c>
      <c r="AC18" s="351" t="str">
        <f>IF(AND(AC$1&lt;=График!$F18,AC$1+6&gt;=График!$E18),"■","")</f>
        <v>■</v>
      </c>
      <c r="AD18" s="351" t="str">
        <f>IF(AND(AD$1&lt;=График!$F18,AD$1+6&gt;=График!$E18),"■","")</f>
        <v>■</v>
      </c>
      <c r="AE18" s="351" t="str">
        <f>IF(AND(AE$1&lt;=График!$F18,AE$1+6&gt;=График!$E18),"■","")</f>
        <v/>
      </c>
      <c r="AF18" s="339" t="str">
        <f>IF(AND(AF$1&lt;=График!$F18,AF$1+6&gt;=График!$E18),"■","")</f>
        <v/>
      </c>
      <c r="AG18" s="339" t="str">
        <f>IF(AND(AG$1&lt;=График!$F18,AG$1+6&gt;=График!$E18),"■","")</f>
        <v/>
      </c>
      <c r="AH18" s="339" t="str">
        <f>IF(AND(AH$1&lt;=График!$F18,AH$1+6&gt;=График!$E18),"■","")</f>
        <v/>
      </c>
      <c r="AI18" s="339" t="str">
        <f>IF(AND(AI$1&lt;=График!$F18,AI$1+6&gt;=График!$E18),"■","")</f>
        <v/>
      </c>
      <c r="AJ18" s="339" t="str">
        <f>IF(AND(AJ$1&lt;=График!$F18,AJ$1+6&gt;=График!$E18),"■","")</f>
        <v/>
      </c>
      <c r="AK18" s="339" t="str">
        <f>IF(AND(AK$1&lt;=График!$F18,AK$1+6&gt;=График!$E18),"■","")</f>
        <v/>
      </c>
      <c r="AL18" s="339" t="str">
        <f>IF(AND(AL$1&lt;=График!$F18,AL$1+6&gt;=График!$E18),"■","")</f>
        <v/>
      </c>
      <c r="AM18" s="339" t="str">
        <f>IF(AND(AM$1&lt;=График!$F18,AM$1+6&gt;=График!$E18),"■","")</f>
        <v/>
      </c>
      <c r="AN18" s="339" t="str">
        <f>IF(AND(AN$1&lt;=График!$F18,AN$1+6&gt;=График!$E18),"■","")</f>
        <v/>
      </c>
      <c r="AO18" s="339" t="str">
        <f>IF(AND(AO$1&lt;=График!$F18,AO$1+6&gt;=График!$E18),"■","")</f>
        <v/>
      </c>
      <c r="AP18" s="339" t="str">
        <f>IF(AND(AP$1&lt;=График!$F18,AP$1+6&gt;=График!$E18),"■","")</f>
        <v/>
      </c>
      <c r="AQ18" s="339" t="str">
        <f>IF(AND(AQ$1&lt;=График!$F18,AQ$1+6&gt;=График!$E18),"■","")</f>
        <v/>
      </c>
      <c r="AR18" s="339" t="str">
        <f>IF(AND(AR$1&lt;=График!$F18,AR$1+6&gt;=График!$E18),"■","")</f>
        <v/>
      </c>
      <c r="AS18" s="339" t="str">
        <f>IF(AND(AS$1&lt;=График!$F18,AS$1+6&gt;=График!$E18),"■","")</f>
        <v/>
      </c>
      <c r="AT18" s="339" t="str">
        <f>IF(AND(AT$1&lt;=График!$F18,AT$1+6&gt;=График!$E18),"■","")</f>
        <v/>
      </c>
      <c r="AU18" s="339" t="str">
        <f>IF(AND(AU$1&lt;=График!$F18,AU$1+6&gt;=График!$E18),"■","")</f>
        <v/>
      </c>
      <c r="AV18" s="339" t="str">
        <f>IF(AND(AV$1&lt;=График!$F18,AV$1+6&gt;=График!$E18),"■","")</f>
        <v/>
      </c>
      <c r="AW18" s="339" t="str">
        <f>IF(AND(AW$1&lt;=График!$F18,AW$1+6&gt;=График!$E18),"■","")</f>
        <v/>
      </c>
      <c r="AX18" s="339" t="str">
        <f>IF(AND(AX$1&lt;=График!$F18,AX$1+6&gt;=График!$E18),"■","")</f>
        <v/>
      </c>
      <c r="AY18" s="339" t="str">
        <f>IF(AND(AY$1&lt;=График!$F18,AY$1+6&gt;=График!$E18),"■","")</f>
        <v/>
      </c>
      <c r="AZ18" s="339" t="str">
        <f>IF(AND(AZ$1&lt;=График!$F18,AZ$1+6&gt;=График!$E18),"■","")</f>
        <v/>
      </c>
    </row>
    <row r="19" spans="1:52" ht="28.5" customHeight="1">
      <c r="A19" s="352">
        <f>График!A19</f>
        <v>18</v>
      </c>
      <c r="B19" s="352" t="str">
        <f>График!B19</f>
        <v>6. Ендовы, парапеты, воронки</v>
      </c>
      <c r="C19" s="352" t="str">
        <f>График!C19</f>
        <v>Устройство уклонов/ендов, армирование, локальные стяжки</v>
      </c>
      <c r="D19" s="353">
        <f>График!E19</f>
        <v>46310</v>
      </c>
      <c r="E19" s="353">
        <f>График!F19</f>
        <v>46346</v>
      </c>
      <c r="F19" s="333">
        <f>График!G19</f>
        <v>37</v>
      </c>
      <c r="G19" s="339" t="str">
        <f>IF(AND(G$1&lt;=График!$F19,G$1+6&gt;=График!$E19),"■","")</f>
        <v/>
      </c>
      <c r="H19" s="339" t="str">
        <f>IF(AND(H$1&lt;=График!$F19,H$1+6&gt;=График!$E19),"■","")</f>
        <v/>
      </c>
      <c r="I19" s="339" t="str">
        <f>IF(AND(I$1&lt;=График!$F19,I$1+6&gt;=График!$E19),"■","")</f>
        <v/>
      </c>
      <c r="J19" s="339" t="str">
        <f>IF(AND(J$1&lt;=График!$F19,J$1+6&gt;=График!$E19),"■","")</f>
        <v/>
      </c>
      <c r="K19" s="339" t="str">
        <f>IF(AND(K$1&lt;=График!$F19,K$1+6&gt;=График!$E19),"■","")</f>
        <v/>
      </c>
      <c r="L19" s="339" t="str">
        <f>IF(AND(L$1&lt;=График!$F19,L$1+6&gt;=График!$E19),"■","")</f>
        <v/>
      </c>
      <c r="M19" s="339" t="str">
        <f>IF(AND(M$1&lt;=График!$F19,M$1+6&gt;=График!$E19),"■","")</f>
        <v/>
      </c>
      <c r="N19" s="339" t="str">
        <f>IF(AND(N$1&lt;=График!$F19,N$1+6&gt;=График!$E19),"■","")</f>
        <v/>
      </c>
      <c r="O19" s="339" t="str">
        <f>IF(AND(O$1&lt;=График!$F19,O$1+6&gt;=График!$E19),"■","")</f>
        <v/>
      </c>
      <c r="P19" s="339" t="str">
        <f>IF(AND(P$1&lt;=График!$F19,P$1+6&gt;=График!$E19),"■","")</f>
        <v/>
      </c>
      <c r="Q19" s="339" t="str">
        <f>IF(AND(Q$1&lt;=График!$F19,Q$1+6&gt;=График!$E19),"■","")</f>
        <v/>
      </c>
      <c r="R19" s="339" t="str">
        <f>IF(AND(R$1&lt;=График!$F19,R$1+6&gt;=График!$E19),"■","")</f>
        <v/>
      </c>
      <c r="S19" s="339" t="str">
        <f>IF(AND(S$1&lt;=График!$F19,S$1+6&gt;=График!$E19),"■","")</f>
        <v/>
      </c>
      <c r="T19" s="339" t="str">
        <f>IF(AND(T$1&lt;=График!$F19,T$1+6&gt;=График!$E19),"■","")</f>
        <v/>
      </c>
      <c r="U19" s="339" t="str">
        <f>IF(AND(U$1&lt;=График!$F19,U$1+6&gt;=График!$E19),"■","")</f>
        <v/>
      </c>
      <c r="V19" s="354" t="str">
        <f>IF(AND(V$1&lt;=График!$F19,V$1+6&gt;=График!$E19),"■","")</f>
        <v>■</v>
      </c>
      <c r="W19" s="354" t="str">
        <f>IF(AND(W$1&lt;=График!$F19,W$1+6&gt;=График!$E19),"■","")</f>
        <v>■</v>
      </c>
      <c r="X19" s="354" t="str">
        <f>IF(AND(X$1&lt;=График!$F19,X$1+6&gt;=График!$E19),"■","")</f>
        <v>■</v>
      </c>
      <c r="Y19" s="354" t="str">
        <f>IF(AND(Y$1&lt;=График!$F19,Y$1+6&gt;=График!$E19),"■","")</f>
        <v>■</v>
      </c>
      <c r="Z19" s="354" t="str">
        <f>IF(AND(Z$1&lt;=График!$F19,Z$1+6&gt;=График!$E19),"■","")</f>
        <v>■</v>
      </c>
      <c r="AA19" s="354" t="str">
        <f>IF(AND(AA$1&lt;=График!$F19,AA$1+6&gt;=График!$E19),"■","")</f>
        <v>■</v>
      </c>
      <c r="AB19" s="354" t="str">
        <f>IF(AND(AB$1&lt;=График!$F19,AB$1+6&gt;=График!$E19),"■","")</f>
        <v/>
      </c>
      <c r="AC19" s="339" t="str">
        <f>IF(AND(AC$1&lt;=График!$F19,AC$1+6&gt;=График!$E19),"■","")</f>
        <v/>
      </c>
      <c r="AD19" s="339" t="str">
        <f>IF(AND(AD$1&lt;=График!$F19,AD$1+6&gt;=График!$E19),"■","")</f>
        <v/>
      </c>
      <c r="AE19" s="339" t="str">
        <f>IF(AND(AE$1&lt;=График!$F19,AE$1+6&gt;=График!$E19),"■","")</f>
        <v/>
      </c>
      <c r="AF19" s="339" t="str">
        <f>IF(AND(AF$1&lt;=График!$F19,AF$1+6&gt;=График!$E19),"■","")</f>
        <v/>
      </c>
      <c r="AG19" s="339" t="str">
        <f>IF(AND(AG$1&lt;=График!$F19,AG$1+6&gt;=График!$E19),"■","")</f>
        <v/>
      </c>
      <c r="AH19" s="339" t="str">
        <f>IF(AND(AH$1&lt;=График!$F19,AH$1+6&gt;=График!$E19),"■","")</f>
        <v/>
      </c>
      <c r="AI19" s="339" t="str">
        <f>IF(AND(AI$1&lt;=График!$F19,AI$1+6&gt;=График!$E19),"■","")</f>
        <v/>
      </c>
      <c r="AJ19" s="339" t="str">
        <f>IF(AND(AJ$1&lt;=График!$F19,AJ$1+6&gt;=График!$E19),"■","")</f>
        <v/>
      </c>
      <c r="AK19" s="339" t="str">
        <f>IF(AND(AK$1&lt;=График!$F19,AK$1+6&gt;=График!$E19),"■","")</f>
        <v/>
      </c>
      <c r="AL19" s="339" t="str">
        <f>IF(AND(AL$1&lt;=График!$F19,AL$1+6&gt;=График!$E19),"■","")</f>
        <v/>
      </c>
      <c r="AM19" s="339" t="str">
        <f>IF(AND(AM$1&lt;=График!$F19,AM$1+6&gt;=График!$E19),"■","")</f>
        <v/>
      </c>
      <c r="AN19" s="339" t="str">
        <f>IF(AND(AN$1&lt;=График!$F19,AN$1+6&gt;=График!$E19),"■","")</f>
        <v/>
      </c>
      <c r="AO19" s="339" t="str">
        <f>IF(AND(AO$1&lt;=График!$F19,AO$1+6&gt;=График!$E19),"■","")</f>
        <v/>
      </c>
      <c r="AP19" s="339" t="str">
        <f>IF(AND(AP$1&lt;=График!$F19,AP$1+6&gt;=График!$E19),"■","")</f>
        <v/>
      </c>
      <c r="AQ19" s="339" t="str">
        <f>IF(AND(AQ$1&lt;=График!$F19,AQ$1+6&gt;=График!$E19),"■","")</f>
        <v/>
      </c>
      <c r="AR19" s="339" t="str">
        <f>IF(AND(AR$1&lt;=График!$F19,AR$1+6&gt;=График!$E19),"■","")</f>
        <v/>
      </c>
      <c r="AS19" s="339" t="str">
        <f>IF(AND(AS$1&lt;=График!$F19,AS$1+6&gt;=График!$E19),"■","")</f>
        <v/>
      </c>
      <c r="AT19" s="339" t="str">
        <f>IF(AND(AT$1&lt;=График!$F19,AT$1+6&gt;=График!$E19),"■","")</f>
        <v/>
      </c>
      <c r="AU19" s="339" t="str">
        <f>IF(AND(AU$1&lt;=График!$F19,AU$1+6&gt;=График!$E19),"■","")</f>
        <v/>
      </c>
      <c r="AV19" s="339" t="str">
        <f>IF(AND(AV$1&lt;=График!$F19,AV$1+6&gt;=График!$E19),"■","")</f>
        <v/>
      </c>
      <c r="AW19" s="339" t="str">
        <f>IF(AND(AW$1&lt;=График!$F19,AW$1+6&gt;=График!$E19),"■","")</f>
        <v/>
      </c>
      <c r="AX19" s="339" t="str">
        <f>IF(AND(AX$1&lt;=График!$F19,AX$1+6&gt;=График!$E19),"■","")</f>
        <v/>
      </c>
      <c r="AY19" s="339" t="str">
        <f>IF(AND(AY$1&lt;=График!$F19,AY$1+6&gt;=График!$E19),"■","")</f>
        <v/>
      </c>
      <c r="AZ19" s="339" t="str">
        <f>IF(AND(AZ$1&lt;=График!$F19,AZ$1+6&gt;=График!$E19),"■","")</f>
        <v/>
      </c>
    </row>
    <row r="20" spans="1:52" ht="28.5" customHeight="1">
      <c r="A20" s="352">
        <f>График!A20</f>
        <v>19</v>
      </c>
      <c r="B20" s="352" t="str">
        <f>График!B20</f>
        <v>6. Ендовы, парапеты, воронки</v>
      </c>
      <c r="C20" s="352" t="str">
        <f>График!C20</f>
        <v>Парапеты, фасонные элементы, отливы, примыкания</v>
      </c>
      <c r="D20" s="353">
        <f>График!E20</f>
        <v>46327</v>
      </c>
      <c r="E20" s="353">
        <f>График!F20</f>
        <v>46371</v>
      </c>
      <c r="F20" s="333">
        <f>График!G20</f>
        <v>45</v>
      </c>
      <c r="G20" s="339" t="str">
        <f>IF(AND(G$1&lt;=График!$F20,G$1+6&gt;=График!$E20),"■","")</f>
        <v/>
      </c>
      <c r="H20" s="339" t="str">
        <f>IF(AND(H$1&lt;=График!$F20,H$1+6&gt;=График!$E20),"■","")</f>
        <v/>
      </c>
      <c r="I20" s="339" t="str">
        <f>IF(AND(I$1&lt;=График!$F20,I$1+6&gt;=График!$E20),"■","")</f>
        <v/>
      </c>
      <c r="J20" s="339" t="str">
        <f>IF(AND(J$1&lt;=График!$F20,J$1+6&gt;=График!$E20),"■","")</f>
        <v/>
      </c>
      <c r="K20" s="339" t="str">
        <f>IF(AND(K$1&lt;=График!$F20,K$1+6&gt;=График!$E20),"■","")</f>
        <v/>
      </c>
      <c r="L20" s="339" t="str">
        <f>IF(AND(L$1&lt;=График!$F20,L$1+6&gt;=График!$E20),"■","")</f>
        <v/>
      </c>
      <c r="M20" s="339" t="str">
        <f>IF(AND(M$1&lt;=График!$F20,M$1+6&gt;=График!$E20),"■","")</f>
        <v/>
      </c>
      <c r="N20" s="339" t="str">
        <f>IF(AND(N$1&lt;=График!$F20,N$1+6&gt;=График!$E20),"■","")</f>
        <v/>
      </c>
      <c r="O20" s="339" t="str">
        <f>IF(AND(O$1&lt;=График!$F20,O$1+6&gt;=График!$E20),"■","")</f>
        <v/>
      </c>
      <c r="P20" s="339" t="str">
        <f>IF(AND(P$1&lt;=График!$F20,P$1+6&gt;=График!$E20),"■","")</f>
        <v/>
      </c>
      <c r="Q20" s="339" t="str">
        <f>IF(AND(Q$1&lt;=График!$F20,Q$1+6&gt;=График!$E20),"■","")</f>
        <v/>
      </c>
      <c r="R20" s="339" t="str">
        <f>IF(AND(R$1&lt;=График!$F20,R$1+6&gt;=График!$E20),"■","")</f>
        <v/>
      </c>
      <c r="S20" s="339" t="str">
        <f>IF(AND(S$1&lt;=График!$F20,S$1+6&gt;=График!$E20),"■","")</f>
        <v/>
      </c>
      <c r="T20" s="339" t="str">
        <f>IF(AND(T$1&lt;=График!$F20,T$1+6&gt;=График!$E20),"■","")</f>
        <v/>
      </c>
      <c r="U20" s="339" t="str">
        <f>IF(AND(U$1&lt;=График!$F20,U$1+6&gt;=График!$E20),"■","")</f>
        <v/>
      </c>
      <c r="V20" s="339" t="str">
        <f>IF(AND(V$1&lt;=График!$F20,V$1+6&gt;=График!$E20),"■","")</f>
        <v/>
      </c>
      <c r="W20" s="339" t="str">
        <f>IF(AND(W$1&lt;=График!$F20,W$1+6&gt;=График!$E20),"■","")</f>
        <v/>
      </c>
      <c r="X20" s="339" t="str">
        <f>IF(AND(X$1&lt;=График!$F20,X$1+6&gt;=График!$E20),"■","")</f>
        <v>■</v>
      </c>
      <c r="Y20" s="354" t="str">
        <f>IF(AND(Y$1&lt;=График!$F20,Y$1+6&gt;=График!$E20),"■","")</f>
        <v>■</v>
      </c>
      <c r="Z20" s="354" t="str">
        <f>IF(AND(Z$1&lt;=График!$F20,Z$1+6&gt;=График!$E20),"■","")</f>
        <v>■</v>
      </c>
      <c r="AA20" s="354" t="str">
        <f>IF(AND(AA$1&lt;=График!$F20,AA$1+6&gt;=График!$E20),"■","")</f>
        <v>■</v>
      </c>
      <c r="AB20" s="354" t="str">
        <f>IF(AND(AB$1&lt;=График!$F20,AB$1+6&gt;=График!$E20),"■","")</f>
        <v>■</v>
      </c>
      <c r="AC20" s="354" t="str">
        <f>IF(AND(AC$1&lt;=График!$F20,AC$1+6&gt;=График!$E20),"■","")</f>
        <v>■</v>
      </c>
      <c r="AD20" s="354" t="str">
        <f>IF(AND(AD$1&lt;=График!$F20,AD$1+6&gt;=График!$E20),"■","")</f>
        <v>■</v>
      </c>
      <c r="AE20" s="354" t="str">
        <f>IF(AND(AE$1&lt;=График!$F20,AE$1+6&gt;=График!$E20),"■","")</f>
        <v/>
      </c>
      <c r="AF20" s="354" t="str">
        <f>IF(AND(AF$1&lt;=График!$F20,AF$1+6&gt;=График!$E20),"■","")</f>
        <v/>
      </c>
      <c r="AG20" s="354" t="str">
        <f>IF(AND(AG$1&lt;=График!$F20,AG$1+6&gt;=График!$E20),"■","")</f>
        <v/>
      </c>
      <c r="AH20" s="354" t="str">
        <f>IF(AND(AH$1&lt;=График!$F20,AH$1+6&gt;=График!$E20),"■","")</f>
        <v/>
      </c>
      <c r="AI20" s="354" t="str">
        <f>IF(AND(AI$1&lt;=График!$F20,AI$1+6&gt;=График!$E20),"■","")</f>
        <v/>
      </c>
      <c r="AJ20" s="354" t="str">
        <f>IF(AND(AJ$1&lt;=График!$F20,AJ$1+6&gt;=График!$E20),"■","")</f>
        <v/>
      </c>
      <c r="AK20" s="339" t="str">
        <f>IF(AND(AK$1&lt;=График!$F20,AK$1+6&gt;=График!$E20),"■","")</f>
        <v/>
      </c>
      <c r="AL20" s="339" t="str">
        <f>IF(AND(AL$1&lt;=График!$F20,AL$1+6&gt;=График!$E20),"■","")</f>
        <v/>
      </c>
      <c r="AM20" s="339" t="str">
        <f>IF(AND(AM$1&lt;=График!$F20,AM$1+6&gt;=График!$E20),"■","")</f>
        <v/>
      </c>
      <c r="AN20" s="339" t="str">
        <f>IF(AND(AN$1&lt;=График!$F20,AN$1+6&gt;=График!$E20),"■","")</f>
        <v/>
      </c>
      <c r="AO20" s="339" t="str">
        <f>IF(AND(AO$1&lt;=График!$F20,AO$1+6&gt;=График!$E20),"■","")</f>
        <v/>
      </c>
      <c r="AP20" s="339" t="str">
        <f>IF(AND(AP$1&lt;=График!$F20,AP$1+6&gt;=График!$E20),"■","")</f>
        <v/>
      </c>
      <c r="AQ20" s="339" t="str">
        <f>IF(AND(AQ$1&lt;=График!$F20,AQ$1+6&gt;=График!$E20),"■","")</f>
        <v/>
      </c>
      <c r="AR20" s="339" t="str">
        <f>IF(AND(AR$1&lt;=График!$F20,AR$1+6&gt;=График!$E20),"■","")</f>
        <v/>
      </c>
      <c r="AS20" s="339" t="str">
        <f>IF(AND(AS$1&lt;=График!$F20,AS$1+6&gt;=График!$E20),"■","")</f>
        <v/>
      </c>
      <c r="AT20" s="339" t="str">
        <f>IF(AND(AT$1&lt;=График!$F20,AT$1+6&gt;=График!$E20),"■","")</f>
        <v/>
      </c>
      <c r="AU20" s="339" t="str">
        <f>IF(AND(AU$1&lt;=График!$F20,AU$1+6&gt;=График!$E20),"■","")</f>
        <v/>
      </c>
      <c r="AV20" s="339" t="str">
        <f>IF(AND(AV$1&lt;=График!$F20,AV$1+6&gt;=График!$E20),"■","")</f>
        <v/>
      </c>
      <c r="AW20" s="339" t="str">
        <f>IF(AND(AW$1&lt;=График!$F20,AW$1+6&gt;=График!$E20),"■","")</f>
        <v/>
      </c>
      <c r="AX20" s="339" t="str">
        <f>IF(AND(AX$1&lt;=График!$F20,AX$1+6&gt;=График!$E20),"■","")</f>
        <v/>
      </c>
      <c r="AY20" s="339" t="str">
        <f>IF(AND(AY$1&lt;=График!$F20,AY$1+6&gt;=График!$E20),"■","")</f>
        <v/>
      </c>
      <c r="AZ20" s="339" t="str">
        <f>IF(AND(AZ$1&lt;=График!$F20,AZ$1+6&gt;=График!$E20),"■","")</f>
        <v/>
      </c>
    </row>
    <row r="21" spans="1:52" ht="28.5" customHeight="1">
      <c r="A21" s="352">
        <f>График!A21</f>
        <v>20</v>
      </c>
      <c r="B21" s="352" t="str">
        <f>График!B21</f>
        <v>6. Ендовы, парапеты, воронки</v>
      </c>
      <c r="C21" s="352" t="str">
        <f>График!C21</f>
        <v>Водоприемные воронки и примыкания</v>
      </c>
      <c r="D21" s="353">
        <f>График!E21</f>
        <v>46331</v>
      </c>
      <c r="E21" s="353">
        <f>График!F21</f>
        <v>46376</v>
      </c>
      <c r="F21" s="333">
        <f>График!G21</f>
        <v>46</v>
      </c>
      <c r="G21" s="339" t="str">
        <f>IF(AND(G$1&lt;=График!$F21,G$1+6&gt;=График!$E21),"■","")</f>
        <v/>
      </c>
      <c r="H21" s="339" t="str">
        <f>IF(AND(H$1&lt;=График!$F21,H$1+6&gt;=График!$E21),"■","")</f>
        <v/>
      </c>
      <c r="I21" s="339" t="str">
        <f>IF(AND(I$1&lt;=График!$F21,I$1+6&gt;=График!$E21),"■","")</f>
        <v/>
      </c>
      <c r="J21" s="339" t="str">
        <f>IF(AND(J$1&lt;=График!$F21,J$1+6&gt;=График!$E21),"■","")</f>
        <v/>
      </c>
      <c r="K21" s="339" t="str">
        <f>IF(AND(K$1&lt;=График!$F21,K$1+6&gt;=График!$E21),"■","")</f>
        <v/>
      </c>
      <c r="L21" s="339" t="str">
        <f>IF(AND(L$1&lt;=График!$F21,L$1+6&gt;=График!$E21),"■","")</f>
        <v/>
      </c>
      <c r="M21" s="339" t="str">
        <f>IF(AND(M$1&lt;=График!$F21,M$1+6&gt;=График!$E21),"■","")</f>
        <v/>
      </c>
      <c r="N21" s="339" t="str">
        <f>IF(AND(N$1&lt;=График!$F21,N$1+6&gt;=График!$E21),"■","")</f>
        <v/>
      </c>
      <c r="O21" s="339" t="str">
        <f>IF(AND(O$1&lt;=График!$F21,O$1+6&gt;=График!$E21),"■","")</f>
        <v/>
      </c>
      <c r="P21" s="339" t="str">
        <f>IF(AND(P$1&lt;=График!$F21,P$1+6&gt;=График!$E21),"■","")</f>
        <v/>
      </c>
      <c r="Q21" s="339" t="str">
        <f>IF(AND(Q$1&lt;=График!$F21,Q$1+6&gt;=График!$E21),"■","")</f>
        <v/>
      </c>
      <c r="R21" s="339" t="str">
        <f>IF(AND(R$1&lt;=График!$F21,R$1+6&gt;=График!$E21),"■","")</f>
        <v/>
      </c>
      <c r="S21" s="339" t="str">
        <f>IF(AND(S$1&lt;=График!$F21,S$1+6&gt;=График!$E21),"■","")</f>
        <v/>
      </c>
      <c r="T21" s="339" t="str">
        <f>IF(AND(T$1&lt;=График!$F21,T$1+6&gt;=График!$E21),"■","")</f>
        <v/>
      </c>
      <c r="U21" s="339" t="str">
        <f>IF(AND(U$1&lt;=График!$F21,U$1+6&gt;=График!$E21),"■","")</f>
        <v/>
      </c>
      <c r="V21" s="339" t="str">
        <f>IF(AND(V$1&lt;=График!$F21,V$1+6&gt;=График!$E21),"■","")</f>
        <v/>
      </c>
      <c r="W21" s="339" t="str">
        <f>IF(AND(W$1&lt;=График!$F21,W$1+6&gt;=График!$E21),"■","")</f>
        <v/>
      </c>
      <c r="X21" s="339" t="str">
        <f>IF(AND(X$1&lt;=График!$F21,X$1+6&gt;=График!$E21),"■","")</f>
        <v/>
      </c>
      <c r="Y21" s="354" t="str">
        <f>IF(AND(Y$1&lt;=График!$F21,Y$1+6&gt;=График!$E21),"■","")</f>
        <v>■</v>
      </c>
      <c r="Z21" s="354" t="str">
        <f>IF(AND(Z$1&lt;=График!$F21,Z$1+6&gt;=График!$E21),"■","")</f>
        <v>■</v>
      </c>
      <c r="AA21" s="354" t="str">
        <f>IF(AND(AA$1&lt;=График!$F21,AA$1+6&gt;=График!$E21),"■","")</f>
        <v>■</v>
      </c>
      <c r="AB21" s="354" t="str">
        <f>IF(AND(AB$1&lt;=График!$F21,AB$1+6&gt;=График!$E21),"■","")</f>
        <v>■</v>
      </c>
      <c r="AC21" s="354" t="str">
        <f>IF(AND(AC$1&lt;=График!$F21,AC$1+6&gt;=График!$E21),"■","")</f>
        <v>■</v>
      </c>
      <c r="AD21" s="354" t="str">
        <f>IF(AND(AD$1&lt;=График!$F21,AD$1+6&gt;=График!$E21),"■","")</f>
        <v>■</v>
      </c>
      <c r="AE21" s="354" t="str">
        <f>IF(AND(AE$1&lt;=График!$F21,AE$1+6&gt;=График!$E21),"■","")</f>
        <v>■</v>
      </c>
      <c r="AF21" s="354" t="str">
        <f>IF(AND(AF$1&lt;=График!$F21,AF$1+6&gt;=График!$E21),"■","")</f>
        <v/>
      </c>
      <c r="AG21" s="354" t="str">
        <f>IF(AND(AG$1&lt;=График!$F21,AG$1+6&gt;=График!$E21),"■","")</f>
        <v/>
      </c>
      <c r="AH21" s="354" t="str">
        <f>IF(AND(AH$1&lt;=График!$F21,AH$1+6&gt;=График!$E21),"■","")</f>
        <v/>
      </c>
      <c r="AI21" s="354" t="str">
        <f>IF(AND(AI$1&lt;=График!$F21,AI$1+6&gt;=График!$E21),"■","")</f>
        <v/>
      </c>
      <c r="AJ21" s="354" t="str">
        <f>IF(AND(AJ$1&lt;=График!$F21,AJ$1+6&gt;=График!$E21),"■","")</f>
        <v/>
      </c>
      <c r="AK21" s="339" t="str">
        <f>IF(AND(AK$1&lt;=График!$F21,AK$1+6&gt;=График!$E21),"■","")</f>
        <v/>
      </c>
      <c r="AL21" s="339" t="str">
        <f>IF(AND(AL$1&lt;=График!$F21,AL$1+6&gt;=График!$E21),"■","")</f>
        <v/>
      </c>
      <c r="AM21" s="339" t="str">
        <f>IF(AND(AM$1&lt;=График!$F21,AM$1+6&gt;=График!$E21),"■","")</f>
        <v/>
      </c>
      <c r="AN21" s="339" t="str">
        <f>IF(AND(AN$1&lt;=График!$F21,AN$1+6&gt;=График!$E21),"■","")</f>
        <v/>
      </c>
      <c r="AO21" s="339" t="str">
        <f>IF(AND(AO$1&lt;=График!$F21,AO$1+6&gt;=График!$E21),"■","")</f>
        <v/>
      </c>
      <c r="AP21" s="339" t="str">
        <f>IF(AND(AP$1&lt;=График!$F21,AP$1+6&gt;=График!$E21),"■","")</f>
        <v/>
      </c>
      <c r="AQ21" s="339" t="str">
        <f>IF(AND(AQ$1&lt;=График!$F21,AQ$1+6&gt;=График!$E21),"■","")</f>
        <v/>
      </c>
      <c r="AR21" s="339" t="str">
        <f>IF(AND(AR$1&lt;=График!$F21,AR$1+6&gt;=График!$E21),"■","")</f>
        <v/>
      </c>
      <c r="AS21" s="339" t="str">
        <f>IF(AND(AS$1&lt;=График!$F21,AS$1+6&gt;=График!$E21),"■","")</f>
        <v/>
      </c>
      <c r="AT21" s="339" t="str">
        <f>IF(AND(AT$1&lt;=График!$F21,AT$1+6&gt;=График!$E21),"■","")</f>
        <v/>
      </c>
      <c r="AU21" s="339" t="str">
        <f>IF(AND(AU$1&lt;=График!$F21,AU$1+6&gt;=График!$E21),"■","")</f>
        <v/>
      </c>
      <c r="AV21" s="339" t="str">
        <f>IF(AND(AV$1&lt;=График!$F21,AV$1+6&gt;=График!$E21),"■","")</f>
        <v/>
      </c>
      <c r="AW21" s="339" t="str">
        <f>IF(AND(AW$1&lt;=График!$F21,AW$1+6&gt;=График!$E21),"■","")</f>
        <v/>
      </c>
      <c r="AX21" s="339" t="str">
        <f>IF(AND(AX$1&lt;=График!$F21,AX$1+6&gt;=График!$E21),"■","")</f>
        <v/>
      </c>
      <c r="AY21" s="339" t="str">
        <f>IF(AND(AY$1&lt;=График!$F21,AY$1+6&gt;=График!$E21),"■","")</f>
        <v/>
      </c>
      <c r="AZ21" s="339" t="str">
        <f>IF(AND(AZ$1&lt;=График!$F21,AZ$1+6&gt;=График!$E21),"■","")</f>
        <v/>
      </c>
    </row>
    <row r="22" spans="1:52" ht="28.5" customHeight="1">
      <c r="A22" s="343">
        <f>График!A22</f>
        <v>21</v>
      </c>
      <c r="B22" s="343" t="str">
        <f>График!B22</f>
        <v>7. Световой фонарь СФ-1</v>
      </c>
      <c r="C22" s="343" t="str">
        <f>График!C22</f>
        <v>Устройство временного контура и защиты единого проема СФ-1</v>
      </c>
      <c r="D22" s="344">
        <f>График!E22</f>
        <v>46305</v>
      </c>
      <c r="E22" s="344">
        <f>График!F22</f>
        <v>46320</v>
      </c>
      <c r="F22" s="325">
        <f>График!G22</f>
        <v>16</v>
      </c>
      <c r="G22" s="339" t="str">
        <f>IF(AND(G$1&lt;=График!$F22,G$1+6&gt;=График!$E22),"■","")</f>
        <v/>
      </c>
      <c r="H22" s="339" t="str">
        <f>IF(AND(H$1&lt;=График!$F22,H$1+6&gt;=График!$E22),"■","")</f>
        <v/>
      </c>
      <c r="I22" s="339" t="str">
        <f>IF(AND(I$1&lt;=График!$F22,I$1+6&gt;=График!$E22),"■","")</f>
        <v/>
      </c>
      <c r="J22" s="339" t="str">
        <f>IF(AND(J$1&lt;=График!$F22,J$1+6&gt;=График!$E22),"■","")</f>
        <v/>
      </c>
      <c r="K22" s="339" t="str">
        <f>IF(AND(K$1&lt;=График!$F22,K$1+6&gt;=График!$E22),"■","")</f>
        <v/>
      </c>
      <c r="L22" s="339" t="str">
        <f>IF(AND(L$1&lt;=График!$F22,L$1+6&gt;=График!$E22),"■","")</f>
        <v/>
      </c>
      <c r="M22" s="339" t="str">
        <f>IF(AND(M$1&lt;=График!$F22,M$1+6&gt;=График!$E22),"■","")</f>
        <v/>
      </c>
      <c r="N22" s="339" t="str">
        <f>IF(AND(N$1&lt;=График!$F22,N$1+6&gt;=График!$E22),"■","")</f>
        <v/>
      </c>
      <c r="O22" s="339" t="str">
        <f>IF(AND(O$1&lt;=График!$F22,O$1+6&gt;=График!$E22),"■","")</f>
        <v/>
      </c>
      <c r="P22" s="339" t="str">
        <f>IF(AND(P$1&lt;=График!$F22,P$1+6&gt;=График!$E22),"■","")</f>
        <v/>
      </c>
      <c r="Q22" s="339" t="str">
        <f>IF(AND(Q$1&lt;=График!$F22,Q$1+6&gt;=График!$E22),"■","")</f>
        <v/>
      </c>
      <c r="R22" s="339" t="str">
        <f>IF(AND(R$1&lt;=График!$F22,R$1+6&gt;=График!$E22),"■","")</f>
        <v/>
      </c>
      <c r="S22" s="339" t="str">
        <f>IF(AND(S$1&lt;=График!$F22,S$1+6&gt;=График!$E22),"■","")</f>
        <v/>
      </c>
      <c r="T22" s="339" t="str">
        <f>IF(AND(T$1&lt;=График!$F22,T$1+6&gt;=График!$E22),"■","")</f>
        <v/>
      </c>
      <c r="U22" s="339" t="str">
        <f>IF(AND(U$1&lt;=График!$F22,U$1+6&gt;=График!$E22),"■","")</f>
        <v>■</v>
      </c>
      <c r="V22" s="339" t="str">
        <f>IF(AND(V$1&lt;=График!$F22,V$1+6&gt;=График!$E22),"■","")</f>
        <v>■</v>
      </c>
      <c r="W22" s="355" t="str">
        <f>IF(AND(W$1&lt;=График!$F22,W$1+6&gt;=График!$E22),"■","")</f>
        <v>■</v>
      </c>
      <c r="X22" s="355" t="str">
        <f>IF(AND(X$1&lt;=График!$F22,X$1+6&gt;=График!$E22),"■","")</f>
        <v/>
      </c>
      <c r="Y22" s="355" t="str">
        <f>IF(AND(Y$1&lt;=График!$F22,Y$1+6&gt;=График!$E22),"■","")</f>
        <v/>
      </c>
      <c r="Z22" s="355" t="str">
        <f>IF(AND(Z$1&lt;=График!$F22,Z$1+6&gt;=График!$E22),"■","")</f>
        <v/>
      </c>
      <c r="AA22" s="339" t="str">
        <f>IF(AND(AA$1&lt;=График!$F22,AA$1+6&gt;=График!$E22),"■","")</f>
        <v/>
      </c>
      <c r="AB22" s="339" t="str">
        <f>IF(AND(AB$1&lt;=График!$F22,AB$1+6&gt;=График!$E22),"■","")</f>
        <v/>
      </c>
      <c r="AC22" s="339" t="str">
        <f>IF(AND(AC$1&lt;=График!$F22,AC$1+6&gt;=График!$E22),"■","")</f>
        <v/>
      </c>
      <c r="AD22" s="339" t="str">
        <f>IF(AND(AD$1&lt;=График!$F22,AD$1+6&gt;=График!$E22),"■","")</f>
        <v/>
      </c>
      <c r="AE22" s="339" t="str">
        <f>IF(AND(AE$1&lt;=График!$F22,AE$1+6&gt;=График!$E22),"■","")</f>
        <v/>
      </c>
      <c r="AF22" s="339" t="str">
        <f>IF(AND(AF$1&lt;=График!$F22,AF$1+6&gt;=График!$E22),"■","")</f>
        <v/>
      </c>
      <c r="AG22" s="339" t="str">
        <f>IF(AND(AG$1&lt;=График!$F22,AG$1+6&gt;=График!$E22),"■","")</f>
        <v/>
      </c>
      <c r="AH22" s="339" t="str">
        <f>IF(AND(AH$1&lt;=График!$F22,AH$1+6&gt;=График!$E22),"■","")</f>
        <v/>
      </c>
      <c r="AI22" s="339" t="str">
        <f>IF(AND(AI$1&lt;=График!$F22,AI$1+6&gt;=График!$E22),"■","")</f>
        <v/>
      </c>
      <c r="AJ22" s="339" t="str">
        <f>IF(AND(AJ$1&lt;=График!$F22,AJ$1+6&gt;=График!$E22),"■","")</f>
        <v/>
      </c>
      <c r="AK22" s="339" t="str">
        <f>IF(AND(AK$1&lt;=График!$F22,AK$1+6&gt;=График!$E22),"■","")</f>
        <v/>
      </c>
      <c r="AL22" s="339" t="str">
        <f>IF(AND(AL$1&lt;=График!$F22,AL$1+6&gt;=График!$E22),"■","")</f>
        <v/>
      </c>
      <c r="AM22" s="339" t="str">
        <f>IF(AND(AM$1&lt;=График!$F22,AM$1+6&gt;=График!$E22),"■","")</f>
        <v/>
      </c>
      <c r="AN22" s="339" t="str">
        <f>IF(AND(AN$1&lt;=График!$F22,AN$1+6&gt;=График!$E22),"■","")</f>
        <v/>
      </c>
      <c r="AO22" s="339" t="str">
        <f>IF(AND(AO$1&lt;=График!$F22,AO$1+6&gt;=График!$E22),"■","")</f>
        <v/>
      </c>
      <c r="AP22" s="339" t="str">
        <f>IF(AND(AP$1&lt;=График!$F22,AP$1+6&gt;=График!$E22),"■","")</f>
        <v/>
      </c>
      <c r="AQ22" s="339" t="str">
        <f>IF(AND(AQ$1&lt;=График!$F22,AQ$1+6&gt;=График!$E22),"■","")</f>
        <v/>
      </c>
      <c r="AR22" s="339" t="str">
        <f>IF(AND(AR$1&lt;=График!$F22,AR$1+6&gt;=График!$E22),"■","")</f>
        <v/>
      </c>
      <c r="AS22" s="339" t="str">
        <f>IF(AND(AS$1&lt;=График!$F22,AS$1+6&gt;=График!$E22),"■","")</f>
        <v/>
      </c>
      <c r="AT22" s="339" t="str">
        <f>IF(AND(AT$1&lt;=График!$F22,AT$1+6&gt;=График!$E22),"■","")</f>
        <v/>
      </c>
      <c r="AU22" s="339" t="str">
        <f>IF(AND(AU$1&lt;=График!$F22,AU$1+6&gt;=График!$E22),"■","")</f>
        <v/>
      </c>
      <c r="AV22" s="339" t="str">
        <f>IF(AND(AV$1&lt;=График!$F22,AV$1+6&gt;=График!$E22),"■","")</f>
        <v/>
      </c>
      <c r="AW22" s="339" t="str">
        <f>IF(AND(AW$1&lt;=График!$F22,AW$1+6&gt;=График!$E22),"■","")</f>
        <v/>
      </c>
      <c r="AX22" s="339" t="str">
        <f>IF(AND(AX$1&lt;=График!$F22,AX$1+6&gt;=График!$E22),"■","")</f>
        <v/>
      </c>
      <c r="AY22" s="339" t="str">
        <f>IF(AND(AY$1&lt;=График!$F22,AY$1+6&gt;=График!$E22),"■","")</f>
        <v/>
      </c>
      <c r="AZ22" s="339" t="str">
        <f>IF(AND(AZ$1&lt;=График!$F22,AZ$1+6&gt;=График!$E22),"■","")</f>
        <v/>
      </c>
    </row>
    <row r="23" spans="1:52" ht="14.25" customHeight="1">
      <c r="A23" s="343">
        <f>График!A23</f>
        <v>22</v>
      </c>
      <c r="B23" s="343" t="str">
        <f>График!B23</f>
        <v>7. Световой фонарь СФ-1</v>
      </c>
      <c r="C23" s="343" t="str">
        <f>График!C23</f>
        <v>Демонтаж остекления СФ-1</v>
      </c>
      <c r="D23" s="344">
        <f>График!E23</f>
        <v>46321</v>
      </c>
      <c r="E23" s="344">
        <f>График!F23</f>
        <v>46341</v>
      </c>
      <c r="F23" s="325">
        <f>График!G23</f>
        <v>21</v>
      </c>
      <c r="G23" s="339" t="str">
        <f>IF(AND(G$1&lt;=График!$F23,G$1+6&gt;=График!$E23),"■","")</f>
        <v/>
      </c>
      <c r="H23" s="339" t="str">
        <f>IF(AND(H$1&lt;=График!$F23,H$1+6&gt;=График!$E23),"■","")</f>
        <v/>
      </c>
      <c r="I23" s="339" t="str">
        <f>IF(AND(I$1&lt;=График!$F23,I$1+6&gt;=График!$E23),"■","")</f>
        <v/>
      </c>
      <c r="J23" s="339" t="str">
        <f>IF(AND(J$1&lt;=График!$F23,J$1+6&gt;=График!$E23),"■","")</f>
        <v/>
      </c>
      <c r="K23" s="339" t="str">
        <f>IF(AND(K$1&lt;=График!$F23,K$1+6&gt;=График!$E23),"■","")</f>
        <v/>
      </c>
      <c r="L23" s="339" t="str">
        <f>IF(AND(L$1&lt;=График!$F23,L$1+6&gt;=График!$E23),"■","")</f>
        <v/>
      </c>
      <c r="M23" s="339" t="str">
        <f>IF(AND(M$1&lt;=График!$F23,M$1+6&gt;=График!$E23),"■","")</f>
        <v/>
      </c>
      <c r="N23" s="339" t="str">
        <f>IF(AND(N$1&lt;=График!$F23,N$1+6&gt;=График!$E23),"■","")</f>
        <v/>
      </c>
      <c r="O23" s="339" t="str">
        <f>IF(AND(O$1&lt;=График!$F23,O$1+6&gt;=График!$E23),"■","")</f>
        <v/>
      </c>
      <c r="P23" s="339" t="str">
        <f>IF(AND(P$1&lt;=График!$F23,P$1+6&gt;=График!$E23),"■","")</f>
        <v/>
      </c>
      <c r="Q23" s="339" t="str">
        <f>IF(AND(Q$1&lt;=График!$F23,Q$1+6&gt;=График!$E23),"■","")</f>
        <v/>
      </c>
      <c r="R23" s="339" t="str">
        <f>IF(AND(R$1&lt;=График!$F23,R$1+6&gt;=График!$E23),"■","")</f>
        <v/>
      </c>
      <c r="S23" s="339" t="str">
        <f>IF(AND(S$1&lt;=График!$F23,S$1+6&gt;=График!$E23),"■","")</f>
        <v/>
      </c>
      <c r="T23" s="339" t="str">
        <f>IF(AND(T$1&lt;=График!$F23,T$1+6&gt;=График!$E23),"■","")</f>
        <v/>
      </c>
      <c r="U23" s="339" t="str">
        <f>IF(AND(U$1&lt;=График!$F23,U$1+6&gt;=График!$E23),"■","")</f>
        <v/>
      </c>
      <c r="V23" s="339" t="str">
        <f>IF(AND(V$1&lt;=График!$F23,V$1+6&gt;=График!$E23),"■","")</f>
        <v/>
      </c>
      <c r="W23" s="339" t="str">
        <f>IF(AND(W$1&lt;=График!$F23,W$1+6&gt;=График!$E23),"■","")</f>
        <v>■</v>
      </c>
      <c r="X23" s="339" t="str">
        <f>IF(AND(X$1&lt;=График!$F23,X$1+6&gt;=График!$E23),"■","")</f>
        <v>■</v>
      </c>
      <c r="Y23" s="339" t="str">
        <f>IF(AND(Y$1&lt;=График!$F23,Y$1+6&gt;=График!$E23),"■","")</f>
        <v>■</v>
      </c>
      <c r="Z23" s="355" t="str">
        <f>IF(AND(Z$1&lt;=График!$F23,Z$1+6&gt;=График!$E23),"■","")</f>
        <v>■</v>
      </c>
      <c r="AA23" s="355" t="str">
        <f>IF(AND(AA$1&lt;=График!$F23,AA$1+6&gt;=График!$E23),"■","")</f>
        <v/>
      </c>
      <c r="AB23" s="355" t="str">
        <f>IF(AND(AB$1&lt;=График!$F23,AB$1+6&gt;=График!$E23),"■","")</f>
        <v/>
      </c>
      <c r="AC23" s="355" t="str">
        <f>IF(AND(AC$1&lt;=График!$F23,AC$1+6&gt;=График!$E23),"■","")</f>
        <v/>
      </c>
      <c r="AD23" s="355" t="str">
        <f>IF(AND(AD$1&lt;=График!$F23,AD$1+6&gt;=График!$E23),"■","")</f>
        <v/>
      </c>
      <c r="AE23" s="339" t="str">
        <f>IF(AND(AE$1&lt;=График!$F23,AE$1+6&gt;=График!$E23),"■","")</f>
        <v/>
      </c>
      <c r="AF23" s="339" t="str">
        <f>IF(AND(AF$1&lt;=График!$F23,AF$1+6&gt;=График!$E23),"■","")</f>
        <v/>
      </c>
      <c r="AG23" s="339" t="str">
        <f>IF(AND(AG$1&lt;=График!$F23,AG$1+6&gt;=График!$E23),"■","")</f>
        <v/>
      </c>
      <c r="AH23" s="339" t="str">
        <f>IF(AND(AH$1&lt;=График!$F23,AH$1+6&gt;=График!$E23),"■","")</f>
        <v/>
      </c>
      <c r="AI23" s="339" t="str">
        <f>IF(AND(AI$1&lt;=График!$F23,AI$1+6&gt;=График!$E23),"■","")</f>
        <v/>
      </c>
      <c r="AJ23" s="339" t="str">
        <f>IF(AND(AJ$1&lt;=График!$F23,AJ$1+6&gt;=График!$E23),"■","")</f>
        <v/>
      </c>
      <c r="AK23" s="339" t="str">
        <f>IF(AND(AK$1&lt;=График!$F23,AK$1+6&gt;=График!$E23),"■","")</f>
        <v/>
      </c>
      <c r="AL23" s="339" t="str">
        <f>IF(AND(AL$1&lt;=График!$F23,AL$1+6&gt;=График!$E23),"■","")</f>
        <v/>
      </c>
      <c r="AM23" s="339" t="str">
        <f>IF(AND(AM$1&lt;=График!$F23,AM$1+6&gt;=График!$E23),"■","")</f>
        <v/>
      </c>
      <c r="AN23" s="339" t="str">
        <f>IF(AND(AN$1&lt;=График!$F23,AN$1+6&gt;=График!$E23),"■","")</f>
        <v/>
      </c>
      <c r="AO23" s="339" t="str">
        <f>IF(AND(AO$1&lt;=График!$F23,AO$1+6&gt;=График!$E23),"■","")</f>
        <v/>
      </c>
      <c r="AP23" s="339" t="str">
        <f>IF(AND(AP$1&lt;=График!$F23,AP$1+6&gt;=График!$E23),"■","")</f>
        <v/>
      </c>
      <c r="AQ23" s="339" t="str">
        <f>IF(AND(AQ$1&lt;=График!$F23,AQ$1+6&gt;=График!$E23),"■","")</f>
        <v/>
      </c>
      <c r="AR23" s="339" t="str">
        <f>IF(AND(AR$1&lt;=График!$F23,AR$1+6&gt;=График!$E23),"■","")</f>
        <v/>
      </c>
      <c r="AS23" s="339" t="str">
        <f>IF(AND(AS$1&lt;=График!$F23,AS$1+6&gt;=График!$E23),"■","")</f>
        <v/>
      </c>
      <c r="AT23" s="339" t="str">
        <f>IF(AND(AT$1&lt;=График!$F23,AT$1+6&gt;=График!$E23),"■","")</f>
        <v/>
      </c>
      <c r="AU23" s="339" t="str">
        <f>IF(AND(AU$1&lt;=График!$F23,AU$1+6&gt;=График!$E23),"■","")</f>
        <v/>
      </c>
      <c r="AV23" s="339" t="str">
        <f>IF(AND(AV$1&lt;=График!$F23,AV$1+6&gt;=График!$E23),"■","")</f>
        <v/>
      </c>
      <c r="AW23" s="339" t="str">
        <f>IF(AND(AW$1&lt;=График!$F23,AW$1+6&gt;=График!$E23),"■","")</f>
        <v/>
      </c>
      <c r="AX23" s="339" t="str">
        <f>IF(AND(AX$1&lt;=График!$F23,AX$1+6&gt;=График!$E23),"■","")</f>
        <v/>
      </c>
      <c r="AY23" s="339" t="str">
        <f>IF(AND(AY$1&lt;=График!$F23,AY$1+6&gt;=График!$E23),"■","")</f>
        <v/>
      </c>
      <c r="AZ23" s="339" t="str">
        <f>IF(AND(AZ$1&lt;=График!$F23,AZ$1+6&gt;=График!$E23),"■","")</f>
        <v/>
      </c>
    </row>
    <row r="24" spans="1:52" ht="14.25" customHeight="1">
      <c r="A24" s="343">
        <f>График!A24</f>
        <v>23</v>
      </c>
      <c r="B24" s="343" t="str">
        <f>График!B24</f>
        <v>7. Световой фонарь СФ-1</v>
      </c>
      <c r="C24" s="343" t="str">
        <f>График!C24</f>
        <v>Демонтаж м/к рам СФ-1</v>
      </c>
      <c r="D24" s="344">
        <f>График!E24</f>
        <v>46336</v>
      </c>
      <c r="E24" s="344">
        <f>График!F24</f>
        <v>46356</v>
      </c>
      <c r="F24" s="325">
        <f>График!G24</f>
        <v>21</v>
      </c>
      <c r="G24" s="339" t="str">
        <f>IF(AND(G$1&lt;=График!$F24,G$1+6&gt;=График!$E24),"■","")</f>
        <v/>
      </c>
      <c r="H24" s="339" t="str">
        <f>IF(AND(H$1&lt;=График!$F24,H$1+6&gt;=График!$E24),"■","")</f>
        <v/>
      </c>
      <c r="I24" s="339" t="str">
        <f>IF(AND(I$1&lt;=График!$F24,I$1+6&gt;=График!$E24),"■","")</f>
        <v/>
      </c>
      <c r="J24" s="339" t="str">
        <f>IF(AND(J$1&lt;=График!$F24,J$1+6&gt;=График!$E24),"■","")</f>
        <v/>
      </c>
      <c r="K24" s="339" t="str">
        <f>IF(AND(K$1&lt;=График!$F24,K$1+6&gt;=График!$E24),"■","")</f>
        <v/>
      </c>
      <c r="L24" s="339" t="str">
        <f>IF(AND(L$1&lt;=График!$F24,L$1+6&gt;=График!$E24),"■","")</f>
        <v/>
      </c>
      <c r="M24" s="339" t="str">
        <f>IF(AND(M$1&lt;=График!$F24,M$1+6&gt;=График!$E24),"■","")</f>
        <v/>
      </c>
      <c r="N24" s="339" t="str">
        <f>IF(AND(N$1&lt;=График!$F24,N$1+6&gt;=График!$E24),"■","")</f>
        <v/>
      </c>
      <c r="O24" s="339" t="str">
        <f>IF(AND(O$1&lt;=График!$F24,O$1+6&gt;=График!$E24),"■","")</f>
        <v/>
      </c>
      <c r="P24" s="339" t="str">
        <f>IF(AND(P$1&lt;=График!$F24,P$1+6&gt;=График!$E24),"■","")</f>
        <v/>
      </c>
      <c r="Q24" s="339" t="str">
        <f>IF(AND(Q$1&lt;=График!$F24,Q$1+6&gt;=График!$E24),"■","")</f>
        <v/>
      </c>
      <c r="R24" s="339" t="str">
        <f>IF(AND(R$1&lt;=График!$F24,R$1+6&gt;=График!$E24),"■","")</f>
        <v/>
      </c>
      <c r="S24" s="339" t="str">
        <f>IF(AND(S$1&lt;=График!$F24,S$1+6&gt;=График!$E24),"■","")</f>
        <v/>
      </c>
      <c r="T24" s="339" t="str">
        <f>IF(AND(T$1&lt;=График!$F24,T$1+6&gt;=График!$E24),"■","")</f>
        <v/>
      </c>
      <c r="U24" s="339" t="str">
        <f>IF(AND(U$1&lt;=График!$F24,U$1+6&gt;=График!$E24),"■","")</f>
        <v/>
      </c>
      <c r="V24" s="339" t="str">
        <f>IF(AND(V$1&lt;=График!$F24,V$1+6&gt;=График!$E24),"■","")</f>
        <v/>
      </c>
      <c r="W24" s="339" t="str">
        <f>IF(AND(W$1&lt;=График!$F24,W$1+6&gt;=График!$E24),"■","")</f>
        <v/>
      </c>
      <c r="X24" s="339" t="str">
        <f>IF(AND(X$1&lt;=График!$F24,X$1+6&gt;=График!$E24),"■","")</f>
        <v/>
      </c>
      <c r="Y24" s="339" t="str">
        <f>IF(AND(Y$1&lt;=График!$F24,Y$1+6&gt;=График!$E24),"■","")</f>
        <v>■</v>
      </c>
      <c r="Z24" s="339" t="str">
        <f>IF(AND(Z$1&lt;=График!$F24,Z$1+6&gt;=График!$E24),"■","")</f>
        <v>■</v>
      </c>
      <c r="AA24" s="339" t="str">
        <f>IF(AND(AA$1&lt;=График!$F24,AA$1+6&gt;=График!$E24),"■","")</f>
        <v>■</v>
      </c>
      <c r="AB24" s="355" t="str">
        <f>IF(AND(AB$1&lt;=График!$F24,AB$1+6&gt;=График!$E24),"■","")</f>
        <v>■</v>
      </c>
      <c r="AC24" s="355" t="str">
        <f>IF(AND(AC$1&lt;=График!$F24,AC$1+6&gt;=График!$E24),"■","")</f>
        <v/>
      </c>
      <c r="AD24" s="355" t="str">
        <f>IF(AND(AD$1&lt;=График!$F24,AD$1+6&gt;=График!$E24),"■","")</f>
        <v/>
      </c>
      <c r="AE24" s="355" t="str">
        <f>IF(AND(AE$1&lt;=График!$F24,AE$1+6&gt;=График!$E24),"■","")</f>
        <v/>
      </c>
      <c r="AF24" s="339" t="str">
        <f>IF(AND(AF$1&lt;=График!$F24,AF$1+6&gt;=График!$E24),"■","")</f>
        <v/>
      </c>
      <c r="AG24" s="339" t="str">
        <f>IF(AND(AG$1&lt;=График!$F24,AG$1+6&gt;=График!$E24),"■","")</f>
        <v/>
      </c>
      <c r="AH24" s="339" t="str">
        <f>IF(AND(AH$1&lt;=График!$F24,AH$1+6&gt;=График!$E24),"■","")</f>
        <v/>
      </c>
      <c r="AI24" s="339" t="str">
        <f>IF(AND(AI$1&lt;=График!$F24,AI$1+6&gt;=График!$E24),"■","")</f>
        <v/>
      </c>
      <c r="AJ24" s="339" t="str">
        <f>IF(AND(AJ$1&lt;=График!$F24,AJ$1+6&gt;=График!$E24),"■","")</f>
        <v/>
      </c>
      <c r="AK24" s="339" t="str">
        <f>IF(AND(AK$1&lt;=График!$F24,AK$1+6&gt;=График!$E24),"■","")</f>
        <v/>
      </c>
      <c r="AL24" s="339" t="str">
        <f>IF(AND(AL$1&lt;=График!$F24,AL$1+6&gt;=График!$E24),"■","")</f>
        <v/>
      </c>
      <c r="AM24" s="339" t="str">
        <f>IF(AND(AM$1&lt;=График!$F24,AM$1+6&gt;=График!$E24),"■","")</f>
        <v/>
      </c>
      <c r="AN24" s="339" t="str">
        <f>IF(AND(AN$1&lt;=График!$F24,AN$1+6&gt;=График!$E24),"■","")</f>
        <v/>
      </c>
      <c r="AO24" s="339" t="str">
        <f>IF(AND(AO$1&lt;=График!$F24,AO$1+6&gt;=График!$E24),"■","")</f>
        <v/>
      </c>
      <c r="AP24" s="339" t="str">
        <f>IF(AND(AP$1&lt;=График!$F24,AP$1+6&gt;=График!$E24),"■","")</f>
        <v/>
      </c>
      <c r="AQ24" s="339" t="str">
        <f>IF(AND(AQ$1&lt;=График!$F24,AQ$1+6&gt;=График!$E24),"■","")</f>
        <v/>
      </c>
      <c r="AR24" s="339" t="str">
        <f>IF(AND(AR$1&lt;=График!$F24,AR$1+6&gt;=График!$E24),"■","")</f>
        <v/>
      </c>
      <c r="AS24" s="339" t="str">
        <f>IF(AND(AS$1&lt;=График!$F24,AS$1+6&gt;=График!$E24),"■","")</f>
        <v/>
      </c>
      <c r="AT24" s="339" t="str">
        <f>IF(AND(AT$1&lt;=График!$F24,AT$1+6&gt;=График!$E24),"■","")</f>
        <v/>
      </c>
      <c r="AU24" s="339" t="str">
        <f>IF(AND(AU$1&lt;=График!$F24,AU$1+6&gt;=График!$E24),"■","")</f>
        <v/>
      </c>
      <c r="AV24" s="339" t="str">
        <f>IF(AND(AV$1&lt;=График!$F24,AV$1+6&gt;=График!$E24),"■","")</f>
        <v/>
      </c>
      <c r="AW24" s="339" t="str">
        <f>IF(AND(AW$1&lt;=График!$F24,AW$1+6&gt;=График!$E24),"■","")</f>
        <v/>
      </c>
      <c r="AX24" s="339" t="str">
        <f>IF(AND(AX$1&lt;=График!$F24,AX$1+6&gt;=График!$E24),"■","")</f>
        <v/>
      </c>
      <c r="AY24" s="339" t="str">
        <f>IF(AND(AY$1&lt;=График!$F24,AY$1+6&gt;=График!$E24),"■","")</f>
        <v/>
      </c>
      <c r="AZ24" s="339" t="str">
        <f>IF(AND(AZ$1&lt;=График!$F24,AZ$1+6&gt;=График!$E24),"■","")</f>
        <v/>
      </c>
    </row>
    <row r="25" spans="1:52" ht="28.5" customHeight="1">
      <c r="A25" s="343">
        <f>График!A25</f>
        <v>24</v>
      </c>
      <c r="B25" s="343" t="str">
        <f>График!B25</f>
        <v>7. Световой фонарь СФ-1</v>
      </c>
      <c r="C25" s="343" t="str">
        <f>График!C25</f>
        <v>Подготовка/усиление опорных узлов, галтели, ремонт основания под фонарь</v>
      </c>
      <c r="D25" s="344">
        <f>График!E25</f>
        <v>46346</v>
      </c>
      <c r="E25" s="344">
        <f>График!F25</f>
        <v>46366</v>
      </c>
      <c r="F25" s="325">
        <f>График!G25</f>
        <v>21</v>
      </c>
      <c r="G25" s="339" t="str">
        <f>IF(AND(G$1&lt;=График!$F25,G$1+6&gt;=График!$E25),"■","")</f>
        <v/>
      </c>
      <c r="H25" s="339" t="str">
        <f>IF(AND(H$1&lt;=График!$F25,H$1+6&gt;=График!$E25),"■","")</f>
        <v/>
      </c>
      <c r="I25" s="339" t="str">
        <f>IF(AND(I$1&lt;=График!$F25,I$1+6&gt;=График!$E25),"■","")</f>
        <v/>
      </c>
      <c r="J25" s="339" t="str">
        <f>IF(AND(J$1&lt;=График!$F25,J$1+6&gt;=График!$E25),"■","")</f>
        <v/>
      </c>
      <c r="K25" s="339" t="str">
        <f>IF(AND(K$1&lt;=График!$F25,K$1+6&gt;=График!$E25),"■","")</f>
        <v/>
      </c>
      <c r="L25" s="339" t="str">
        <f>IF(AND(L$1&lt;=График!$F25,L$1+6&gt;=График!$E25),"■","")</f>
        <v/>
      </c>
      <c r="M25" s="339" t="str">
        <f>IF(AND(M$1&lt;=График!$F25,M$1+6&gt;=График!$E25),"■","")</f>
        <v/>
      </c>
      <c r="N25" s="339" t="str">
        <f>IF(AND(N$1&lt;=График!$F25,N$1+6&gt;=График!$E25),"■","")</f>
        <v/>
      </c>
      <c r="O25" s="339" t="str">
        <f>IF(AND(O$1&lt;=График!$F25,O$1+6&gt;=График!$E25),"■","")</f>
        <v/>
      </c>
      <c r="P25" s="339" t="str">
        <f>IF(AND(P$1&lt;=График!$F25,P$1+6&gt;=График!$E25),"■","")</f>
        <v/>
      </c>
      <c r="Q25" s="339" t="str">
        <f>IF(AND(Q$1&lt;=График!$F25,Q$1+6&gt;=График!$E25),"■","")</f>
        <v/>
      </c>
      <c r="R25" s="339" t="str">
        <f>IF(AND(R$1&lt;=График!$F25,R$1+6&gt;=График!$E25),"■","")</f>
        <v/>
      </c>
      <c r="S25" s="339" t="str">
        <f>IF(AND(S$1&lt;=График!$F25,S$1+6&gt;=График!$E25),"■","")</f>
        <v/>
      </c>
      <c r="T25" s="339" t="str">
        <f>IF(AND(T$1&lt;=График!$F25,T$1+6&gt;=График!$E25),"■","")</f>
        <v/>
      </c>
      <c r="U25" s="339" t="str">
        <f>IF(AND(U$1&lt;=График!$F25,U$1+6&gt;=График!$E25),"■","")</f>
        <v/>
      </c>
      <c r="V25" s="339" t="str">
        <f>IF(AND(V$1&lt;=График!$F25,V$1+6&gt;=График!$E25),"■","")</f>
        <v/>
      </c>
      <c r="W25" s="339" t="str">
        <f>IF(AND(W$1&lt;=График!$F25,W$1+6&gt;=График!$E25),"■","")</f>
        <v/>
      </c>
      <c r="X25" s="339" t="str">
        <f>IF(AND(X$1&lt;=График!$F25,X$1+6&gt;=График!$E25),"■","")</f>
        <v/>
      </c>
      <c r="Y25" s="339" t="str">
        <f>IF(AND(Y$1&lt;=График!$F25,Y$1+6&gt;=График!$E25),"■","")</f>
        <v/>
      </c>
      <c r="Z25" s="339" t="str">
        <f>IF(AND(Z$1&lt;=График!$F25,Z$1+6&gt;=График!$E25),"■","")</f>
        <v/>
      </c>
      <c r="AA25" s="339" t="str">
        <f>IF(AND(AA$1&lt;=График!$F25,AA$1+6&gt;=График!$E25),"■","")</f>
        <v>■</v>
      </c>
      <c r="AB25" s="339" t="str">
        <f>IF(AND(AB$1&lt;=График!$F25,AB$1+6&gt;=График!$E25),"■","")</f>
        <v>■</v>
      </c>
      <c r="AC25" s="355" t="str">
        <f>IF(AND(AC$1&lt;=График!$F25,AC$1+6&gt;=График!$E25),"■","")</f>
        <v>■</v>
      </c>
      <c r="AD25" s="355" t="str">
        <f>IF(AND(AD$1&lt;=График!$F25,AD$1+6&gt;=График!$E25),"■","")</f>
        <v>■</v>
      </c>
      <c r="AE25" s="355" t="str">
        <f>IF(AND(AE$1&lt;=График!$F25,AE$1+6&gt;=График!$E25),"■","")</f>
        <v/>
      </c>
      <c r="AF25" s="355" t="str">
        <f>IF(AND(AF$1&lt;=График!$F25,AF$1+6&gt;=График!$E25),"■","")</f>
        <v/>
      </c>
      <c r="AG25" s="355" t="str">
        <f>IF(AND(AG$1&lt;=График!$F25,AG$1+6&gt;=График!$E25),"■","")</f>
        <v/>
      </c>
      <c r="AH25" s="339" t="str">
        <f>IF(AND(AH$1&lt;=График!$F25,AH$1+6&gt;=График!$E25),"■","")</f>
        <v/>
      </c>
      <c r="AI25" s="339" t="str">
        <f>IF(AND(AI$1&lt;=График!$F25,AI$1+6&gt;=График!$E25),"■","")</f>
        <v/>
      </c>
      <c r="AJ25" s="339" t="str">
        <f>IF(AND(AJ$1&lt;=График!$F25,AJ$1+6&gt;=График!$E25),"■","")</f>
        <v/>
      </c>
      <c r="AK25" s="339" t="str">
        <f>IF(AND(AK$1&lt;=График!$F25,AK$1+6&gt;=График!$E25),"■","")</f>
        <v/>
      </c>
      <c r="AL25" s="339" t="str">
        <f>IF(AND(AL$1&lt;=График!$F25,AL$1+6&gt;=График!$E25),"■","")</f>
        <v/>
      </c>
      <c r="AM25" s="339" t="str">
        <f>IF(AND(AM$1&lt;=График!$F25,AM$1+6&gt;=График!$E25),"■","")</f>
        <v/>
      </c>
      <c r="AN25" s="339" t="str">
        <f>IF(AND(AN$1&lt;=График!$F25,AN$1+6&gt;=График!$E25),"■","")</f>
        <v/>
      </c>
      <c r="AO25" s="339" t="str">
        <f>IF(AND(AO$1&lt;=График!$F25,AO$1+6&gt;=График!$E25),"■","")</f>
        <v/>
      </c>
      <c r="AP25" s="339" t="str">
        <f>IF(AND(AP$1&lt;=График!$F25,AP$1+6&gt;=График!$E25),"■","")</f>
        <v/>
      </c>
      <c r="AQ25" s="339" t="str">
        <f>IF(AND(AQ$1&lt;=График!$F25,AQ$1+6&gt;=График!$E25),"■","")</f>
        <v/>
      </c>
      <c r="AR25" s="339" t="str">
        <f>IF(AND(AR$1&lt;=График!$F25,AR$1+6&gt;=График!$E25),"■","")</f>
        <v/>
      </c>
      <c r="AS25" s="339" t="str">
        <f>IF(AND(AS$1&lt;=График!$F25,AS$1+6&gt;=График!$E25),"■","")</f>
        <v/>
      </c>
      <c r="AT25" s="339" t="str">
        <f>IF(AND(AT$1&lt;=График!$F25,AT$1+6&gt;=График!$E25),"■","")</f>
        <v/>
      </c>
      <c r="AU25" s="339" t="str">
        <f>IF(AND(AU$1&lt;=График!$F25,AU$1+6&gt;=График!$E25),"■","")</f>
        <v/>
      </c>
      <c r="AV25" s="339" t="str">
        <f>IF(AND(AV$1&lt;=График!$F25,AV$1+6&gt;=График!$E25),"■","")</f>
        <v/>
      </c>
      <c r="AW25" s="339" t="str">
        <f>IF(AND(AW$1&lt;=График!$F25,AW$1+6&gt;=График!$E25),"■","")</f>
        <v/>
      </c>
      <c r="AX25" s="339" t="str">
        <f>IF(AND(AX$1&lt;=График!$F25,AX$1+6&gt;=График!$E25),"■","")</f>
        <v/>
      </c>
      <c r="AY25" s="339" t="str">
        <f>IF(AND(AY$1&lt;=График!$F25,AY$1+6&gt;=График!$E25),"■","")</f>
        <v/>
      </c>
      <c r="AZ25" s="339" t="str">
        <f>IF(AND(AZ$1&lt;=График!$F25,AZ$1+6&gt;=График!$E25),"■","")</f>
        <v/>
      </c>
    </row>
    <row r="26" spans="1:52" ht="14.25" customHeight="1">
      <c r="A26" s="343">
        <f>График!A26</f>
        <v>25</v>
      </c>
      <c r="B26" s="343" t="str">
        <f>График!B26</f>
        <v>7. Световой фонарь СФ-1</v>
      </c>
      <c r="C26" s="343" t="str">
        <f>График!C26</f>
        <v>Монтаж каркаса единого фонаря СФ-1</v>
      </c>
      <c r="D26" s="344">
        <f>График!E26</f>
        <v>46357</v>
      </c>
      <c r="E26" s="344">
        <f>График!F26</f>
        <v>46402</v>
      </c>
      <c r="F26" s="325">
        <f>График!G26</f>
        <v>46</v>
      </c>
      <c r="G26" s="339" t="str">
        <f>IF(AND(G$1&lt;=График!$F26,G$1+6&gt;=График!$E26),"■","")</f>
        <v/>
      </c>
      <c r="H26" s="339" t="str">
        <f>IF(AND(H$1&lt;=График!$F26,H$1+6&gt;=График!$E26),"■","")</f>
        <v/>
      </c>
      <c r="I26" s="339" t="str">
        <f>IF(AND(I$1&lt;=График!$F26,I$1+6&gt;=График!$E26),"■","")</f>
        <v/>
      </c>
      <c r="J26" s="339" t="str">
        <f>IF(AND(J$1&lt;=График!$F26,J$1+6&gt;=График!$E26),"■","")</f>
        <v/>
      </c>
      <c r="K26" s="339" t="str">
        <f>IF(AND(K$1&lt;=График!$F26,K$1+6&gt;=График!$E26),"■","")</f>
        <v/>
      </c>
      <c r="L26" s="339" t="str">
        <f>IF(AND(L$1&lt;=График!$F26,L$1+6&gt;=График!$E26),"■","")</f>
        <v/>
      </c>
      <c r="M26" s="339" t="str">
        <f>IF(AND(M$1&lt;=График!$F26,M$1+6&gt;=График!$E26),"■","")</f>
        <v/>
      </c>
      <c r="N26" s="339" t="str">
        <f>IF(AND(N$1&lt;=График!$F26,N$1+6&gt;=График!$E26),"■","")</f>
        <v/>
      </c>
      <c r="O26" s="339" t="str">
        <f>IF(AND(O$1&lt;=График!$F26,O$1+6&gt;=График!$E26),"■","")</f>
        <v/>
      </c>
      <c r="P26" s="339" t="str">
        <f>IF(AND(P$1&lt;=График!$F26,P$1+6&gt;=График!$E26),"■","")</f>
        <v/>
      </c>
      <c r="Q26" s="339" t="str">
        <f>IF(AND(Q$1&lt;=График!$F26,Q$1+6&gt;=График!$E26),"■","")</f>
        <v/>
      </c>
      <c r="R26" s="339" t="str">
        <f>IF(AND(R$1&lt;=График!$F26,R$1+6&gt;=График!$E26),"■","")</f>
        <v/>
      </c>
      <c r="S26" s="339" t="str">
        <f>IF(AND(S$1&lt;=График!$F26,S$1+6&gt;=График!$E26),"■","")</f>
        <v/>
      </c>
      <c r="T26" s="339" t="str">
        <f>IF(AND(T$1&lt;=График!$F26,T$1+6&gt;=График!$E26),"■","")</f>
        <v/>
      </c>
      <c r="U26" s="339" t="str">
        <f>IF(AND(U$1&lt;=График!$F26,U$1+6&gt;=График!$E26),"■","")</f>
        <v/>
      </c>
      <c r="V26" s="339" t="str">
        <f>IF(AND(V$1&lt;=График!$F26,V$1+6&gt;=График!$E26),"■","")</f>
        <v/>
      </c>
      <c r="W26" s="339" t="str">
        <f>IF(AND(W$1&lt;=График!$F26,W$1+6&gt;=График!$E26),"■","")</f>
        <v/>
      </c>
      <c r="X26" s="339" t="str">
        <f>IF(AND(X$1&lt;=График!$F26,X$1+6&gt;=График!$E26),"■","")</f>
        <v/>
      </c>
      <c r="Y26" s="339" t="str">
        <f>IF(AND(Y$1&lt;=График!$F26,Y$1+6&gt;=График!$E26),"■","")</f>
        <v/>
      </c>
      <c r="Z26" s="339" t="str">
        <f>IF(AND(Z$1&lt;=График!$F26,Z$1+6&gt;=График!$E26),"■","")</f>
        <v/>
      </c>
      <c r="AA26" s="339" t="str">
        <f>IF(AND(AA$1&lt;=График!$F26,AA$1+6&gt;=График!$E26),"■","")</f>
        <v/>
      </c>
      <c r="AB26" s="339" t="str">
        <f>IF(AND(AB$1&lt;=График!$F26,AB$1+6&gt;=График!$E26),"■","")</f>
        <v>■</v>
      </c>
      <c r="AC26" s="339" t="str">
        <f>IF(AND(AC$1&lt;=График!$F26,AC$1+6&gt;=График!$E26),"■","")</f>
        <v>■</v>
      </c>
      <c r="AD26" s="355" t="str">
        <f>IF(AND(AD$1&lt;=График!$F26,AD$1+6&gt;=График!$E26),"■","")</f>
        <v>■</v>
      </c>
      <c r="AE26" s="355" t="str">
        <f>IF(AND(AE$1&lt;=График!$F26,AE$1+6&gt;=График!$E26),"■","")</f>
        <v>■</v>
      </c>
      <c r="AF26" s="355" t="str">
        <f>IF(AND(AF$1&lt;=График!$F26,AF$1+6&gt;=График!$E26),"■","")</f>
        <v>■</v>
      </c>
      <c r="AG26" s="355" t="str">
        <f>IF(AND(AG$1&lt;=График!$F26,AG$1+6&gt;=График!$E26),"■","")</f>
        <v>■</v>
      </c>
      <c r="AH26" s="355" t="str">
        <f>IF(AND(AH$1&lt;=График!$F26,AH$1+6&gt;=График!$E26),"■","")</f>
        <v>■</v>
      </c>
      <c r="AI26" s="355" t="str">
        <f>IF(AND(AI$1&lt;=График!$F26,AI$1+6&gt;=График!$E26),"■","")</f>
        <v>■</v>
      </c>
      <c r="AJ26" s="355" t="str">
        <f>IF(AND(AJ$1&lt;=График!$F26,AJ$1+6&gt;=График!$E26),"■","")</f>
        <v/>
      </c>
      <c r="AK26" s="355" t="str">
        <f>IF(AND(AK$1&lt;=График!$F26,AK$1+6&gt;=График!$E26),"■","")</f>
        <v/>
      </c>
      <c r="AL26" s="339" t="str">
        <f>IF(AND(AL$1&lt;=График!$F26,AL$1+6&gt;=График!$E26),"■","")</f>
        <v/>
      </c>
      <c r="AM26" s="339" t="str">
        <f>IF(AND(AM$1&lt;=График!$F26,AM$1+6&gt;=График!$E26),"■","")</f>
        <v/>
      </c>
      <c r="AN26" s="339" t="str">
        <f>IF(AND(AN$1&lt;=График!$F26,AN$1+6&gt;=График!$E26),"■","")</f>
        <v/>
      </c>
      <c r="AO26" s="339" t="str">
        <f>IF(AND(AO$1&lt;=График!$F26,AO$1+6&gt;=График!$E26),"■","")</f>
        <v/>
      </c>
      <c r="AP26" s="339" t="str">
        <f>IF(AND(AP$1&lt;=График!$F26,AP$1+6&gt;=График!$E26),"■","")</f>
        <v/>
      </c>
      <c r="AQ26" s="339" t="str">
        <f>IF(AND(AQ$1&lt;=График!$F26,AQ$1+6&gt;=График!$E26),"■","")</f>
        <v/>
      </c>
      <c r="AR26" s="339" t="str">
        <f>IF(AND(AR$1&lt;=График!$F26,AR$1+6&gt;=График!$E26),"■","")</f>
        <v/>
      </c>
      <c r="AS26" s="339" t="str">
        <f>IF(AND(AS$1&lt;=График!$F26,AS$1+6&gt;=График!$E26),"■","")</f>
        <v/>
      </c>
      <c r="AT26" s="339" t="str">
        <f>IF(AND(AT$1&lt;=График!$F26,AT$1+6&gt;=График!$E26),"■","")</f>
        <v/>
      </c>
      <c r="AU26" s="339" t="str">
        <f>IF(AND(AU$1&lt;=График!$F26,AU$1+6&gt;=График!$E26),"■","")</f>
        <v/>
      </c>
      <c r="AV26" s="339" t="str">
        <f>IF(AND(AV$1&lt;=График!$F26,AV$1+6&gt;=График!$E26),"■","")</f>
        <v/>
      </c>
      <c r="AW26" s="339" t="str">
        <f>IF(AND(AW$1&lt;=График!$F26,AW$1+6&gt;=График!$E26),"■","")</f>
        <v/>
      </c>
      <c r="AX26" s="339" t="str">
        <f>IF(AND(AX$1&lt;=График!$F26,AX$1+6&gt;=График!$E26),"■","")</f>
        <v/>
      </c>
      <c r="AY26" s="339" t="str">
        <f>IF(AND(AY$1&lt;=График!$F26,AY$1+6&gt;=График!$E26),"■","")</f>
        <v/>
      </c>
      <c r="AZ26" s="339" t="str">
        <f>IF(AND(AZ$1&lt;=График!$F26,AZ$1+6&gt;=График!$E26),"■","")</f>
        <v/>
      </c>
    </row>
    <row r="27" spans="1:52" ht="28.5" customHeight="1">
      <c r="A27" s="343">
        <f>График!A27</f>
        <v>26</v>
      </c>
      <c r="B27" s="343" t="str">
        <f>График!B27</f>
        <v>7. Световой фонарь СФ-1</v>
      </c>
      <c r="C27" s="343" t="str">
        <f>График!C27</f>
        <v>Монтаж остекления, прижимных планок и первичная герметизация</v>
      </c>
      <c r="D27" s="344">
        <f>График!E27</f>
        <v>46397</v>
      </c>
      <c r="E27" s="344">
        <f>График!F27</f>
        <v>46428</v>
      </c>
      <c r="F27" s="325">
        <f>График!G27</f>
        <v>32</v>
      </c>
      <c r="G27" s="339" t="str">
        <f>IF(AND(G$1&lt;=График!$F27,G$1+6&gt;=График!$E27),"■","")</f>
        <v/>
      </c>
      <c r="H27" s="339" t="str">
        <f>IF(AND(H$1&lt;=График!$F27,H$1+6&gt;=График!$E27),"■","")</f>
        <v/>
      </c>
      <c r="I27" s="339" t="str">
        <f>IF(AND(I$1&lt;=График!$F27,I$1+6&gt;=График!$E27),"■","")</f>
        <v/>
      </c>
      <c r="J27" s="339" t="str">
        <f>IF(AND(J$1&lt;=График!$F27,J$1+6&gt;=График!$E27),"■","")</f>
        <v/>
      </c>
      <c r="K27" s="339" t="str">
        <f>IF(AND(K$1&lt;=График!$F27,K$1+6&gt;=График!$E27),"■","")</f>
        <v/>
      </c>
      <c r="L27" s="339" t="str">
        <f>IF(AND(L$1&lt;=График!$F27,L$1+6&gt;=График!$E27),"■","")</f>
        <v/>
      </c>
      <c r="M27" s="339" t="str">
        <f>IF(AND(M$1&lt;=График!$F27,M$1+6&gt;=График!$E27),"■","")</f>
        <v/>
      </c>
      <c r="N27" s="339" t="str">
        <f>IF(AND(N$1&lt;=График!$F27,N$1+6&gt;=График!$E27),"■","")</f>
        <v/>
      </c>
      <c r="O27" s="339" t="str">
        <f>IF(AND(O$1&lt;=График!$F27,O$1+6&gt;=График!$E27),"■","")</f>
        <v/>
      </c>
      <c r="P27" s="339" t="str">
        <f>IF(AND(P$1&lt;=График!$F27,P$1+6&gt;=График!$E27),"■","")</f>
        <v/>
      </c>
      <c r="Q27" s="339" t="str">
        <f>IF(AND(Q$1&lt;=График!$F27,Q$1+6&gt;=График!$E27),"■","")</f>
        <v/>
      </c>
      <c r="R27" s="339" t="str">
        <f>IF(AND(R$1&lt;=График!$F27,R$1+6&gt;=График!$E27),"■","")</f>
        <v/>
      </c>
      <c r="S27" s="339" t="str">
        <f>IF(AND(S$1&lt;=График!$F27,S$1+6&gt;=График!$E27),"■","")</f>
        <v/>
      </c>
      <c r="T27" s="339" t="str">
        <f>IF(AND(T$1&lt;=График!$F27,T$1+6&gt;=График!$E27),"■","")</f>
        <v/>
      </c>
      <c r="U27" s="339" t="str">
        <f>IF(AND(U$1&lt;=График!$F27,U$1+6&gt;=График!$E27),"■","")</f>
        <v/>
      </c>
      <c r="V27" s="339" t="str">
        <f>IF(AND(V$1&lt;=График!$F27,V$1+6&gt;=График!$E27),"■","")</f>
        <v/>
      </c>
      <c r="W27" s="339" t="str">
        <f>IF(AND(W$1&lt;=График!$F27,W$1+6&gt;=График!$E27),"■","")</f>
        <v/>
      </c>
      <c r="X27" s="339" t="str">
        <f>IF(AND(X$1&lt;=График!$F27,X$1+6&gt;=График!$E27),"■","")</f>
        <v/>
      </c>
      <c r="Y27" s="339" t="str">
        <f>IF(AND(Y$1&lt;=График!$F27,Y$1+6&gt;=График!$E27),"■","")</f>
        <v/>
      </c>
      <c r="Z27" s="339" t="str">
        <f>IF(AND(Z$1&lt;=График!$F27,Z$1+6&gt;=График!$E27),"■","")</f>
        <v/>
      </c>
      <c r="AA27" s="339" t="str">
        <f>IF(AND(AA$1&lt;=График!$F27,AA$1+6&gt;=График!$E27),"■","")</f>
        <v/>
      </c>
      <c r="AB27" s="339" t="str">
        <f>IF(AND(AB$1&lt;=График!$F27,AB$1+6&gt;=График!$E27),"■","")</f>
        <v/>
      </c>
      <c r="AC27" s="339" t="str">
        <f>IF(AND(AC$1&lt;=График!$F27,AC$1+6&gt;=График!$E27),"■","")</f>
        <v/>
      </c>
      <c r="AD27" s="339" t="str">
        <f>IF(AND(AD$1&lt;=График!$F27,AD$1+6&gt;=График!$E27),"■","")</f>
        <v/>
      </c>
      <c r="AE27" s="339" t="str">
        <f>IF(AND(AE$1&lt;=График!$F27,AE$1+6&gt;=График!$E27),"■","")</f>
        <v/>
      </c>
      <c r="AF27" s="339" t="str">
        <f>IF(AND(AF$1&lt;=График!$F27,AF$1+6&gt;=График!$E27),"■","")</f>
        <v/>
      </c>
      <c r="AG27" s="355" t="str">
        <f>IF(AND(AG$1&lt;=График!$F27,AG$1+6&gt;=График!$E27),"■","")</f>
        <v/>
      </c>
      <c r="AH27" s="355" t="str">
        <f>IF(AND(AH$1&lt;=График!$F27,AH$1+6&gt;=График!$E27),"■","")</f>
        <v>■</v>
      </c>
      <c r="AI27" s="355" t="str">
        <f>IF(AND(AI$1&lt;=График!$F27,AI$1+6&gt;=График!$E27),"■","")</f>
        <v>■</v>
      </c>
      <c r="AJ27" s="355" t="str">
        <f>IF(AND(AJ$1&lt;=График!$F27,AJ$1+6&gt;=График!$E27),"■","")</f>
        <v>■</v>
      </c>
      <c r="AK27" s="355" t="str">
        <f>IF(AND(AK$1&lt;=График!$F27,AK$1+6&gt;=График!$E27),"■","")</f>
        <v>■</v>
      </c>
      <c r="AL27" s="355" t="str">
        <f>IF(AND(AL$1&lt;=График!$F27,AL$1+6&gt;=График!$E27),"■","")</f>
        <v>■</v>
      </c>
      <c r="AM27" s="355" t="str">
        <f>IF(AND(AM$1&lt;=График!$F27,AM$1+6&gt;=График!$E27),"■","")</f>
        <v>■</v>
      </c>
      <c r="AN27" s="355" t="str">
        <f>IF(AND(AN$1&lt;=График!$F27,AN$1+6&gt;=График!$E27),"■","")</f>
        <v/>
      </c>
      <c r="AO27" s="339" t="str">
        <f>IF(AND(AO$1&lt;=График!$F27,AO$1+6&gt;=График!$E27),"■","")</f>
        <v/>
      </c>
      <c r="AP27" s="339" t="str">
        <f>IF(AND(AP$1&lt;=График!$F27,AP$1+6&gt;=График!$E27),"■","")</f>
        <v/>
      </c>
      <c r="AQ27" s="339" t="str">
        <f>IF(AND(AQ$1&lt;=График!$F27,AQ$1+6&gt;=График!$E27),"■","")</f>
        <v/>
      </c>
      <c r="AR27" s="339" t="str">
        <f>IF(AND(AR$1&lt;=График!$F27,AR$1+6&gt;=График!$E27),"■","")</f>
        <v/>
      </c>
      <c r="AS27" s="339" t="str">
        <f>IF(AND(AS$1&lt;=График!$F27,AS$1+6&gt;=График!$E27),"■","")</f>
        <v/>
      </c>
      <c r="AT27" s="339" t="str">
        <f>IF(AND(AT$1&lt;=График!$F27,AT$1+6&gt;=График!$E27),"■","")</f>
        <v/>
      </c>
      <c r="AU27" s="339" t="str">
        <f>IF(AND(AU$1&lt;=График!$F27,AU$1+6&gt;=График!$E27),"■","")</f>
        <v/>
      </c>
      <c r="AV27" s="339" t="str">
        <f>IF(AND(AV$1&lt;=График!$F27,AV$1+6&gt;=График!$E27),"■","")</f>
        <v/>
      </c>
      <c r="AW27" s="339" t="str">
        <f>IF(AND(AW$1&lt;=График!$F27,AW$1+6&gt;=График!$E27),"■","")</f>
        <v/>
      </c>
      <c r="AX27" s="339" t="str">
        <f>IF(AND(AX$1&lt;=График!$F27,AX$1+6&gt;=График!$E27),"■","")</f>
        <v/>
      </c>
      <c r="AY27" s="339" t="str">
        <f>IF(AND(AY$1&lt;=График!$F27,AY$1+6&gt;=График!$E27),"■","")</f>
        <v/>
      </c>
      <c r="AZ27" s="339" t="str">
        <f>IF(AND(AZ$1&lt;=График!$F27,AZ$1+6&gt;=График!$E27),"■","")</f>
        <v/>
      </c>
    </row>
    <row r="28" spans="1:52" ht="28.5" customHeight="1">
      <c r="A28" s="343">
        <f>График!A28</f>
        <v>27</v>
      </c>
      <c r="B28" s="343" t="str">
        <f>График!B28</f>
        <v>7. Световой фонарь СФ-1</v>
      </c>
      <c r="C28" s="343" t="str">
        <f>График!C28</f>
        <v>Фасонные элементы, узлы примыкания кровли к фонарю, водоотвод</v>
      </c>
      <c r="D28" s="344">
        <f>График!E28</f>
        <v>46419</v>
      </c>
      <c r="E28" s="344">
        <f>График!F28</f>
        <v>46438</v>
      </c>
      <c r="F28" s="325">
        <f>График!G28</f>
        <v>20</v>
      </c>
      <c r="G28" s="339" t="str">
        <f>IF(AND(G$1&lt;=График!$F28,G$1+6&gt;=График!$E28),"■","")</f>
        <v/>
      </c>
      <c r="H28" s="339" t="str">
        <f>IF(AND(H$1&lt;=График!$F28,H$1+6&gt;=График!$E28),"■","")</f>
        <v/>
      </c>
      <c r="I28" s="339" t="str">
        <f>IF(AND(I$1&lt;=График!$F28,I$1+6&gt;=График!$E28),"■","")</f>
        <v/>
      </c>
      <c r="J28" s="339" t="str">
        <f>IF(AND(J$1&lt;=График!$F28,J$1+6&gt;=График!$E28),"■","")</f>
        <v/>
      </c>
      <c r="K28" s="339" t="str">
        <f>IF(AND(K$1&lt;=График!$F28,K$1+6&gt;=График!$E28),"■","")</f>
        <v/>
      </c>
      <c r="L28" s="339" t="str">
        <f>IF(AND(L$1&lt;=График!$F28,L$1+6&gt;=График!$E28),"■","")</f>
        <v/>
      </c>
      <c r="M28" s="339" t="str">
        <f>IF(AND(M$1&lt;=График!$F28,M$1+6&gt;=График!$E28),"■","")</f>
        <v/>
      </c>
      <c r="N28" s="339" t="str">
        <f>IF(AND(N$1&lt;=График!$F28,N$1+6&gt;=График!$E28),"■","")</f>
        <v/>
      </c>
      <c r="O28" s="339" t="str">
        <f>IF(AND(O$1&lt;=График!$F28,O$1+6&gt;=График!$E28),"■","")</f>
        <v/>
      </c>
      <c r="P28" s="339" t="str">
        <f>IF(AND(P$1&lt;=График!$F28,P$1+6&gt;=График!$E28),"■","")</f>
        <v/>
      </c>
      <c r="Q28" s="339" t="str">
        <f>IF(AND(Q$1&lt;=График!$F28,Q$1+6&gt;=График!$E28),"■","")</f>
        <v/>
      </c>
      <c r="R28" s="339" t="str">
        <f>IF(AND(R$1&lt;=График!$F28,R$1+6&gt;=График!$E28),"■","")</f>
        <v/>
      </c>
      <c r="S28" s="339" t="str">
        <f>IF(AND(S$1&lt;=График!$F28,S$1+6&gt;=График!$E28),"■","")</f>
        <v/>
      </c>
      <c r="T28" s="339" t="str">
        <f>IF(AND(T$1&lt;=График!$F28,T$1+6&gt;=График!$E28),"■","")</f>
        <v/>
      </c>
      <c r="U28" s="339" t="str">
        <f>IF(AND(U$1&lt;=График!$F28,U$1+6&gt;=График!$E28),"■","")</f>
        <v/>
      </c>
      <c r="V28" s="339" t="str">
        <f>IF(AND(V$1&lt;=График!$F28,V$1+6&gt;=График!$E28),"■","")</f>
        <v/>
      </c>
      <c r="W28" s="339" t="str">
        <f>IF(AND(W$1&lt;=График!$F28,W$1+6&gt;=График!$E28),"■","")</f>
        <v/>
      </c>
      <c r="X28" s="339" t="str">
        <f>IF(AND(X$1&lt;=График!$F28,X$1+6&gt;=График!$E28),"■","")</f>
        <v/>
      </c>
      <c r="Y28" s="339" t="str">
        <f>IF(AND(Y$1&lt;=График!$F28,Y$1+6&gt;=График!$E28),"■","")</f>
        <v/>
      </c>
      <c r="Z28" s="339" t="str">
        <f>IF(AND(Z$1&lt;=График!$F28,Z$1+6&gt;=График!$E28),"■","")</f>
        <v/>
      </c>
      <c r="AA28" s="339" t="str">
        <f>IF(AND(AA$1&lt;=График!$F28,AA$1+6&gt;=График!$E28),"■","")</f>
        <v/>
      </c>
      <c r="AB28" s="339" t="str">
        <f>IF(AND(AB$1&lt;=График!$F28,AB$1+6&gt;=График!$E28),"■","")</f>
        <v/>
      </c>
      <c r="AC28" s="339" t="str">
        <f>IF(AND(AC$1&lt;=График!$F28,AC$1+6&gt;=График!$E28),"■","")</f>
        <v/>
      </c>
      <c r="AD28" s="339" t="str">
        <f>IF(AND(AD$1&lt;=График!$F28,AD$1+6&gt;=График!$E28),"■","")</f>
        <v/>
      </c>
      <c r="AE28" s="339" t="str">
        <f>IF(AND(AE$1&lt;=График!$F28,AE$1+6&gt;=График!$E28),"■","")</f>
        <v/>
      </c>
      <c r="AF28" s="339" t="str">
        <f>IF(AND(AF$1&lt;=График!$F28,AF$1+6&gt;=График!$E28),"■","")</f>
        <v/>
      </c>
      <c r="AG28" s="339" t="str">
        <f>IF(AND(AG$1&lt;=График!$F28,AG$1+6&gt;=График!$E28),"■","")</f>
        <v/>
      </c>
      <c r="AH28" s="339" t="str">
        <f>IF(AND(AH$1&lt;=График!$F28,AH$1+6&gt;=График!$E28),"■","")</f>
        <v/>
      </c>
      <c r="AI28" s="339" t="str">
        <f>IF(AND(AI$1&lt;=График!$F28,AI$1+6&gt;=График!$E28),"■","")</f>
        <v/>
      </c>
      <c r="AJ28" s="339" t="str">
        <f>IF(AND(AJ$1&lt;=График!$F28,AJ$1+6&gt;=График!$E28),"■","")</f>
        <v/>
      </c>
      <c r="AK28" s="355" t="str">
        <f>IF(AND(AK$1&lt;=График!$F28,AK$1+6&gt;=График!$E28),"■","")</f>
        <v>■</v>
      </c>
      <c r="AL28" s="355" t="str">
        <f>IF(AND(AL$1&lt;=График!$F28,AL$1+6&gt;=График!$E28),"■","")</f>
        <v>■</v>
      </c>
      <c r="AM28" s="355" t="str">
        <f>IF(AND(AM$1&lt;=График!$F28,AM$1+6&gt;=График!$E28),"■","")</f>
        <v>■</v>
      </c>
      <c r="AN28" s="355" t="str">
        <f>IF(AND(AN$1&lt;=График!$F28,AN$1+6&gt;=График!$E28),"■","")</f>
        <v>■</v>
      </c>
      <c r="AO28" s="355" t="str">
        <f>IF(AND(AO$1&lt;=График!$F28,AO$1+6&gt;=График!$E28),"■","")</f>
        <v/>
      </c>
      <c r="AP28" s="355" t="str">
        <f>IF(AND(AP$1&lt;=График!$F28,AP$1+6&gt;=График!$E28),"■","")</f>
        <v/>
      </c>
      <c r="AQ28" s="355" t="str">
        <f>IF(AND(AQ$1&lt;=График!$F28,AQ$1+6&gt;=График!$E28),"■","")</f>
        <v/>
      </c>
      <c r="AR28" s="355" t="str">
        <f>IF(AND(AR$1&lt;=График!$F28,AR$1+6&gt;=График!$E28),"■","")</f>
        <v/>
      </c>
      <c r="AS28" s="339" t="str">
        <f>IF(AND(AS$1&lt;=График!$F28,AS$1+6&gt;=График!$E28),"■","")</f>
        <v/>
      </c>
      <c r="AT28" s="339" t="str">
        <f>IF(AND(AT$1&lt;=График!$F28,AT$1+6&gt;=График!$E28),"■","")</f>
        <v/>
      </c>
      <c r="AU28" s="339" t="str">
        <f>IF(AND(AU$1&lt;=График!$F28,AU$1+6&gt;=График!$E28),"■","")</f>
        <v/>
      </c>
      <c r="AV28" s="339" t="str">
        <f>IF(AND(AV$1&lt;=График!$F28,AV$1+6&gt;=График!$E28),"■","")</f>
        <v/>
      </c>
      <c r="AW28" s="339" t="str">
        <f>IF(AND(AW$1&lt;=График!$F28,AW$1+6&gt;=График!$E28),"■","")</f>
        <v/>
      </c>
      <c r="AX28" s="339" t="str">
        <f>IF(AND(AX$1&lt;=График!$F28,AX$1+6&gt;=График!$E28),"■","")</f>
        <v/>
      </c>
      <c r="AY28" s="339" t="str">
        <f>IF(AND(AY$1&lt;=График!$F28,AY$1+6&gt;=График!$E28),"■","")</f>
        <v/>
      </c>
      <c r="AZ28" s="339" t="str">
        <f>IF(AND(AZ$1&lt;=График!$F28,AZ$1+6&gt;=График!$E28),"■","")</f>
        <v/>
      </c>
    </row>
    <row r="29" spans="1:52" ht="28.5" customHeight="1">
      <c r="A29" s="356">
        <f>График!A29</f>
        <v>28</v>
      </c>
      <c r="B29" s="356" t="str">
        <f>График!B29</f>
        <v>8. Электрика и дымоудаление</v>
      </c>
      <c r="C29" s="356" t="str">
        <f>График!C29</f>
        <v>Кабельные трассы, приводы, питание обогрева воронок</v>
      </c>
      <c r="D29" s="357">
        <f>График!E29</f>
        <v>46423</v>
      </c>
      <c r="E29" s="357">
        <f>График!F29</f>
        <v>46446</v>
      </c>
      <c r="F29" s="329">
        <f>График!G29</f>
        <v>24</v>
      </c>
      <c r="G29" s="339" t="str">
        <f>IF(AND(G$1&lt;=График!$F29,G$1+6&gt;=График!$E29),"■","")</f>
        <v/>
      </c>
      <c r="H29" s="339" t="str">
        <f>IF(AND(H$1&lt;=График!$F29,H$1+6&gt;=График!$E29),"■","")</f>
        <v/>
      </c>
      <c r="I29" s="339" t="str">
        <f>IF(AND(I$1&lt;=График!$F29,I$1+6&gt;=График!$E29),"■","")</f>
        <v/>
      </c>
      <c r="J29" s="339" t="str">
        <f>IF(AND(J$1&lt;=График!$F29,J$1+6&gt;=График!$E29),"■","")</f>
        <v/>
      </c>
      <c r="K29" s="339" t="str">
        <f>IF(AND(K$1&lt;=График!$F29,K$1+6&gt;=График!$E29),"■","")</f>
        <v/>
      </c>
      <c r="L29" s="339" t="str">
        <f>IF(AND(L$1&lt;=График!$F29,L$1+6&gt;=График!$E29),"■","")</f>
        <v/>
      </c>
      <c r="M29" s="339" t="str">
        <f>IF(AND(M$1&lt;=График!$F29,M$1+6&gt;=График!$E29),"■","")</f>
        <v/>
      </c>
      <c r="N29" s="339" t="str">
        <f>IF(AND(N$1&lt;=График!$F29,N$1+6&gt;=График!$E29),"■","")</f>
        <v/>
      </c>
      <c r="O29" s="339" t="str">
        <f>IF(AND(O$1&lt;=График!$F29,O$1+6&gt;=График!$E29),"■","")</f>
        <v/>
      </c>
      <c r="P29" s="339" t="str">
        <f>IF(AND(P$1&lt;=График!$F29,P$1+6&gt;=График!$E29),"■","")</f>
        <v/>
      </c>
      <c r="Q29" s="339" t="str">
        <f>IF(AND(Q$1&lt;=График!$F29,Q$1+6&gt;=График!$E29),"■","")</f>
        <v/>
      </c>
      <c r="R29" s="339" t="str">
        <f>IF(AND(R$1&lt;=График!$F29,R$1+6&gt;=График!$E29),"■","")</f>
        <v/>
      </c>
      <c r="S29" s="339" t="str">
        <f>IF(AND(S$1&lt;=График!$F29,S$1+6&gt;=График!$E29),"■","")</f>
        <v/>
      </c>
      <c r="T29" s="339" t="str">
        <f>IF(AND(T$1&lt;=График!$F29,T$1+6&gt;=График!$E29),"■","")</f>
        <v/>
      </c>
      <c r="U29" s="339" t="str">
        <f>IF(AND(U$1&lt;=График!$F29,U$1+6&gt;=График!$E29),"■","")</f>
        <v/>
      </c>
      <c r="V29" s="339" t="str">
        <f>IF(AND(V$1&lt;=График!$F29,V$1+6&gt;=График!$E29),"■","")</f>
        <v/>
      </c>
      <c r="W29" s="339" t="str">
        <f>IF(AND(W$1&lt;=График!$F29,W$1+6&gt;=График!$E29),"■","")</f>
        <v/>
      </c>
      <c r="X29" s="339" t="str">
        <f>IF(AND(X$1&lt;=График!$F29,X$1+6&gt;=График!$E29),"■","")</f>
        <v/>
      </c>
      <c r="Y29" s="339" t="str">
        <f>IF(AND(Y$1&lt;=График!$F29,Y$1+6&gt;=График!$E29),"■","")</f>
        <v/>
      </c>
      <c r="Z29" s="339" t="str">
        <f>IF(AND(Z$1&lt;=График!$F29,Z$1+6&gt;=График!$E29),"■","")</f>
        <v/>
      </c>
      <c r="AA29" s="339" t="str">
        <f>IF(AND(AA$1&lt;=График!$F29,AA$1+6&gt;=График!$E29),"■","")</f>
        <v/>
      </c>
      <c r="AB29" s="339" t="str">
        <f>IF(AND(AB$1&lt;=График!$F29,AB$1+6&gt;=График!$E29),"■","")</f>
        <v/>
      </c>
      <c r="AC29" s="339" t="str">
        <f>IF(AND(AC$1&lt;=График!$F29,AC$1+6&gt;=График!$E29),"■","")</f>
        <v/>
      </c>
      <c r="AD29" s="339" t="str">
        <f>IF(AND(AD$1&lt;=График!$F29,AD$1+6&gt;=График!$E29),"■","")</f>
        <v/>
      </c>
      <c r="AE29" s="339" t="str">
        <f>IF(AND(AE$1&lt;=График!$F29,AE$1+6&gt;=График!$E29),"■","")</f>
        <v/>
      </c>
      <c r="AF29" s="339" t="str">
        <f>IF(AND(AF$1&lt;=График!$F29,AF$1+6&gt;=График!$E29),"■","")</f>
        <v/>
      </c>
      <c r="AG29" s="339" t="str">
        <f>IF(AND(AG$1&lt;=График!$F29,AG$1+6&gt;=График!$E29),"■","")</f>
        <v/>
      </c>
      <c r="AH29" s="339" t="str">
        <f>IF(AND(AH$1&lt;=График!$F29,AH$1+6&gt;=График!$E29),"■","")</f>
        <v/>
      </c>
      <c r="AI29" s="339" t="str">
        <f>IF(AND(AI$1&lt;=График!$F29,AI$1+6&gt;=График!$E29),"■","")</f>
        <v/>
      </c>
      <c r="AJ29" s="339" t="str">
        <f>IF(AND(AJ$1&lt;=График!$F29,AJ$1+6&gt;=График!$E29),"■","")</f>
        <v/>
      </c>
      <c r="AK29" s="339" t="str">
        <f>IF(AND(AK$1&lt;=График!$F29,AK$1+6&gt;=График!$E29),"■","")</f>
        <v/>
      </c>
      <c r="AL29" s="339" t="str">
        <f>IF(AND(AL$1&lt;=График!$F29,AL$1+6&gt;=График!$E29),"■","")</f>
        <v>■</v>
      </c>
      <c r="AM29" s="358" t="str">
        <f>IF(AND(AM$1&lt;=График!$F29,AM$1+6&gt;=График!$E29),"■","")</f>
        <v>■</v>
      </c>
      <c r="AN29" s="358" t="str">
        <f>IF(AND(AN$1&lt;=График!$F29,AN$1+6&gt;=График!$E29),"■","")</f>
        <v>■</v>
      </c>
      <c r="AO29" s="358" t="str">
        <f>IF(AND(AO$1&lt;=График!$F29,AO$1+6&gt;=График!$E29),"■","")</f>
        <v>■</v>
      </c>
      <c r="AP29" s="358" t="str">
        <f>IF(AND(AP$1&lt;=График!$F29,AP$1+6&gt;=График!$E29),"■","")</f>
        <v/>
      </c>
      <c r="AQ29" s="358" t="str">
        <f>IF(AND(AQ$1&lt;=График!$F29,AQ$1+6&gt;=График!$E29),"■","")</f>
        <v/>
      </c>
      <c r="AR29" s="358" t="str">
        <f>IF(AND(AR$1&lt;=График!$F29,AR$1+6&gt;=График!$E29),"■","")</f>
        <v/>
      </c>
      <c r="AS29" s="358" t="str">
        <f>IF(AND(AS$1&lt;=График!$F29,AS$1+6&gt;=График!$E29),"■","")</f>
        <v/>
      </c>
      <c r="AT29" s="339" t="str">
        <f>IF(AND(AT$1&lt;=График!$F29,AT$1+6&gt;=График!$E29),"■","")</f>
        <v/>
      </c>
      <c r="AU29" s="339" t="str">
        <f>IF(AND(AU$1&lt;=График!$F29,AU$1+6&gt;=График!$E29),"■","")</f>
        <v/>
      </c>
      <c r="AV29" s="339" t="str">
        <f>IF(AND(AV$1&lt;=График!$F29,AV$1+6&gt;=График!$E29),"■","")</f>
        <v/>
      </c>
      <c r="AW29" s="339" t="str">
        <f>IF(AND(AW$1&lt;=График!$F29,AW$1+6&gt;=График!$E29),"■","")</f>
        <v/>
      </c>
      <c r="AX29" s="339" t="str">
        <f>IF(AND(AX$1&lt;=График!$F29,AX$1+6&gt;=График!$E29),"■","")</f>
        <v/>
      </c>
      <c r="AY29" s="339" t="str">
        <f>IF(AND(AY$1&lt;=График!$F29,AY$1+6&gt;=График!$E29),"■","")</f>
        <v/>
      </c>
      <c r="AZ29" s="339" t="str">
        <f>IF(AND(AZ$1&lt;=График!$F29,AZ$1+6&gt;=График!$E29),"■","")</f>
        <v/>
      </c>
    </row>
    <row r="30" spans="1:52" ht="28.5" customHeight="1">
      <c r="A30" s="356">
        <f>График!A30</f>
        <v>29</v>
      </c>
      <c r="B30" s="356" t="str">
        <f>График!B30</f>
        <v>8. Электрика и дымоудаление</v>
      </c>
      <c r="C30" s="356" t="str">
        <f>График!C30</f>
        <v>ПНР автоматизации противодымной вентиляции и электрики</v>
      </c>
      <c r="D30" s="357">
        <f>График!E30</f>
        <v>46447</v>
      </c>
      <c r="E30" s="357">
        <f>График!F30</f>
        <v>46461</v>
      </c>
      <c r="F30" s="329">
        <f>График!G30</f>
        <v>15</v>
      </c>
      <c r="G30" s="339" t="str">
        <f>IF(AND(G$1&lt;=График!$F30,G$1+6&gt;=График!$E30),"■","")</f>
        <v/>
      </c>
      <c r="H30" s="339" t="str">
        <f>IF(AND(H$1&lt;=График!$F30,H$1+6&gt;=График!$E30),"■","")</f>
        <v/>
      </c>
      <c r="I30" s="339" t="str">
        <f>IF(AND(I$1&lt;=График!$F30,I$1+6&gt;=График!$E30),"■","")</f>
        <v/>
      </c>
      <c r="J30" s="339" t="str">
        <f>IF(AND(J$1&lt;=График!$F30,J$1+6&gt;=График!$E30),"■","")</f>
        <v/>
      </c>
      <c r="K30" s="339" t="str">
        <f>IF(AND(K$1&lt;=График!$F30,K$1+6&gt;=График!$E30),"■","")</f>
        <v/>
      </c>
      <c r="L30" s="339" t="str">
        <f>IF(AND(L$1&lt;=График!$F30,L$1+6&gt;=График!$E30),"■","")</f>
        <v/>
      </c>
      <c r="M30" s="339" t="str">
        <f>IF(AND(M$1&lt;=График!$F30,M$1+6&gt;=График!$E30),"■","")</f>
        <v/>
      </c>
      <c r="N30" s="339" t="str">
        <f>IF(AND(N$1&lt;=График!$F30,N$1+6&gt;=График!$E30),"■","")</f>
        <v/>
      </c>
      <c r="O30" s="339" t="str">
        <f>IF(AND(O$1&lt;=График!$F30,O$1+6&gt;=График!$E30),"■","")</f>
        <v/>
      </c>
      <c r="P30" s="339" t="str">
        <f>IF(AND(P$1&lt;=График!$F30,P$1+6&gt;=График!$E30),"■","")</f>
        <v/>
      </c>
      <c r="Q30" s="339" t="str">
        <f>IF(AND(Q$1&lt;=График!$F30,Q$1+6&gt;=График!$E30),"■","")</f>
        <v/>
      </c>
      <c r="R30" s="339" t="str">
        <f>IF(AND(R$1&lt;=График!$F30,R$1+6&gt;=График!$E30),"■","")</f>
        <v/>
      </c>
      <c r="S30" s="339" t="str">
        <f>IF(AND(S$1&lt;=График!$F30,S$1+6&gt;=График!$E30),"■","")</f>
        <v/>
      </c>
      <c r="T30" s="339" t="str">
        <f>IF(AND(T$1&lt;=График!$F30,T$1+6&gt;=График!$E30),"■","")</f>
        <v/>
      </c>
      <c r="U30" s="339" t="str">
        <f>IF(AND(U$1&lt;=График!$F30,U$1+6&gt;=График!$E30),"■","")</f>
        <v/>
      </c>
      <c r="V30" s="339" t="str">
        <f>IF(AND(V$1&lt;=График!$F30,V$1+6&gt;=График!$E30),"■","")</f>
        <v/>
      </c>
      <c r="W30" s="339" t="str">
        <f>IF(AND(W$1&lt;=График!$F30,W$1+6&gt;=График!$E30),"■","")</f>
        <v/>
      </c>
      <c r="X30" s="339" t="str">
        <f>IF(AND(X$1&lt;=График!$F30,X$1+6&gt;=График!$E30),"■","")</f>
        <v/>
      </c>
      <c r="Y30" s="339" t="str">
        <f>IF(AND(Y$1&lt;=График!$F30,Y$1+6&gt;=График!$E30),"■","")</f>
        <v/>
      </c>
      <c r="Z30" s="339" t="str">
        <f>IF(AND(Z$1&lt;=График!$F30,Z$1+6&gt;=График!$E30),"■","")</f>
        <v/>
      </c>
      <c r="AA30" s="339" t="str">
        <f>IF(AND(AA$1&lt;=График!$F30,AA$1+6&gt;=График!$E30),"■","")</f>
        <v/>
      </c>
      <c r="AB30" s="339" t="str">
        <f>IF(AND(AB$1&lt;=График!$F30,AB$1+6&gt;=График!$E30),"■","")</f>
        <v/>
      </c>
      <c r="AC30" s="339" t="str">
        <f>IF(AND(AC$1&lt;=График!$F30,AC$1+6&gt;=График!$E30),"■","")</f>
        <v/>
      </c>
      <c r="AD30" s="339" t="str">
        <f>IF(AND(AD$1&lt;=График!$F30,AD$1+6&gt;=График!$E30),"■","")</f>
        <v/>
      </c>
      <c r="AE30" s="339" t="str">
        <f>IF(AND(AE$1&lt;=График!$F30,AE$1+6&gt;=График!$E30),"■","")</f>
        <v/>
      </c>
      <c r="AF30" s="339" t="str">
        <f>IF(AND(AF$1&lt;=График!$F30,AF$1+6&gt;=График!$E30),"■","")</f>
        <v/>
      </c>
      <c r="AG30" s="339" t="str">
        <f>IF(AND(AG$1&lt;=График!$F30,AG$1+6&gt;=График!$E30),"■","")</f>
        <v/>
      </c>
      <c r="AH30" s="339" t="str">
        <f>IF(AND(AH$1&lt;=График!$F30,AH$1+6&gt;=График!$E30),"■","")</f>
        <v/>
      </c>
      <c r="AI30" s="339" t="str">
        <f>IF(AND(AI$1&lt;=График!$F30,AI$1+6&gt;=График!$E30),"■","")</f>
        <v/>
      </c>
      <c r="AJ30" s="339" t="str">
        <f>IF(AND(AJ$1&lt;=График!$F30,AJ$1+6&gt;=График!$E30),"■","")</f>
        <v/>
      </c>
      <c r="AK30" s="339" t="str">
        <f>IF(AND(AK$1&lt;=График!$F30,AK$1+6&gt;=График!$E30),"■","")</f>
        <v/>
      </c>
      <c r="AL30" s="339" t="str">
        <f>IF(AND(AL$1&lt;=График!$F30,AL$1+6&gt;=График!$E30),"■","")</f>
        <v/>
      </c>
      <c r="AM30" s="339" t="str">
        <f>IF(AND(AM$1&lt;=График!$F30,AM$1+6&gt;=График!$E30),"■","")</f>
        <v/>
      </c>
      <c r="AN30" s="339" t="str">
        <f>IF(AND(AN$1&lt;=График!$F30,AN$1+6&gt;=График!$E30),"■","")</f>
        <v/>
      </c>
      <c r="AO30" s="339" t="str">
        <f>IF(AND(AO$1&lt;=График!$F30,AO$1+6&gt;=График!$E30),"■","")</f>
        <v>■</v>
      </c>
      <c r="AP30" s="339" t="str">
        <f>IF(AND(AP$1&lt;=График!$F30,AP$1+6&gt;=График!$E30),"■","")</f>
        <v>■</v>
      </c>
      <c r="AQ30" s="339" t="str">
        <f>IF(AND(AQ$1&lt;=График!$F30,AQ$1+6&gt;=График!$E30),"■","")</f>
        <v>■</v>
      </c>
      <c r="AR30" s="339" t="str">
        <f>IF(AND(AR$1&lt;=График!$F30,AR$1+6&gt;=График!$E30),"■","")</f>
        <v/>
      </c>
      <c r="AS30" s="358" t="str">
        <f>IF(AND(AS$1&lt;=График!$F30,AS$1+6&gt;=График!$E30),"■","")</f>
        <v/>
      </c>
      <c r="AT30" s="358" t="str">
        <f>IF(AND(AT$1&lt;=График!$F30,AT$1+6&gt;=График!$E30),"■","")</f>
        <v/>
      </c>
      <c r="AU30" s="358" t="str">
        <f>IF(AND(AU$1&lt;=График!$F30,AU$1+6&gt;=График!$E30),"■","")</f>
        <v/>
      </c>
      <c r="AV30" s="358" t="str">
        <f>IF(AND(AV$1&lt;=График!$F30,AV$1+6&gt;=График!$E30),"■","")</f>
        <v/>
      </c>
      <c r="AW30" s="339" t="str">
        <f>IF(AND(AW$1&lt;=График!$F30,AW$1+6&gt;=График!$E30),"■","")</f>
        <v/>
      </c>
      <c r="AX30" s="339" t="str">
        <f>IF(AND(AX$1&lt;=График!$F30,AX$1+6&gt;=График!$E30),"■","")</f>
        <v/>
      </c>
      <c r="AY30" s="339" t="str">
        <f>IF(AND(AY$1&lt;=График!$F30,AY$1+6&gt;=График!$E30),"■","")</f>
        <v/>
      </c>
      <c r="AZ30" s="339" t="str">
        <f>IF(AND(AZ$1&lt;=График!$F30,AZ$1+6&gt;=График!$E30),"■","")</f>
        <v/>
      </c>
    </row>
    <row r="31" spans="1:52" ht="28.5" customHeight="1">
      <c r="A31" s="359">
        <f>График!A31</f>
        <v>30</v>
      </c>
      <c r="B31" s="359" t="str">
        <f>График!B31</f>
        <v>9. Контроль, ИД, сдача</v>
      </c>
      <c r="C31" s="359" t="str">
        <f>График!C31</f>
        <v>Контроль герметичности, водопролив/осмотр после зимних работ</v>
      </c>
      <c r="D31" s="360">
        <f>График!E31</f>
        <v>46456</v>
      </c>
      <c r="E31" s="360">
        <f>График!F31</f>
        <v>46466</v>
      </c>
      <c r="F31" s="361">
        <f>График!G31</f>
        <v>11</v>
      </c>
      <c r="G31" s="339" t="str">
        <f>IF(AND(G$1&lt;=График!$F31,G$1+6&gt;=График!$E31),"■","")</f>
        <v/>
      </c>
      <c r="H31" s="339" t="str">
        <f>IF(AND(H$1&lt;=График!$F31,H$1+6&gt;=График!$E31),"■","")</f>
        <v/>
      </c>
      <c r="I31" s="339" t="str">
        <f>IF(AND(I$1&lt;=График!$F31,I$1+6&gt;=График!$E31),"■","")</f>
        <v/>
      </c>
      <c r="J31" s="339" t="str">
        <f>IF(AND(J$1&lt;=График!$F31,J$1+6&gt;=График!$E31),"■","")</f>
        <v/>
      </c>
      <c r="K31" s="339" t="str">
        <f>IF(AND(K$1&lt;=График!$F31,K$1+6&gt;=График!$E31),"■","")</f>
        <v/>
      </c>
      <c r="L31" s="339" t="str">
        <f>IF(AND(L$1&lt;=График!$F31,L$1+6&gt;=График!$E31),"■","")</f>
        <v/>
      </c>
      <c r="M31" s="339" t="str">
        <f>IF(AND(M$1&lt;=График!$F31,M$1+6&gt;=График!$E31),"■","")</f>
        <v/>
      </c>
      <c r="N31" s="339" t="str">
        <f>IF(AND(N$1&lt;=График!$F31,N$1+6&gt;=График!$E31),"■","")</f>
        <v/>
      </c>
      <c r="O31" s="339" t="str">
        <f>IF(AND(O$1&lt;=График!$F31,O$1+6&gt;=График!$E31),"■","")</f>
        <v/>
      </c>
      <c r="P31" s="339" t="str">
        <f>IF(AND(P$1&lt;=График!$F31,P$1+6&gt;=График!$E31),"■","")</f>
        <v/>
      </c>
      <c r="Q31" s="339" t="str">
        <f>IF(AND(Q$1&lt;=График!$F31,Q$1+6&gt;=График!$E31),"■","")</f>
        <v/>
      </c>
      <c r="R31" s="339" t="str">
        <f>IF(AND(R$1&lt;=График!$F31,R$1+6&gt;=График!$E31),"■","")</f>
        <v/>
      </c>
      <c r="S31" s="339" t="str">
        <f>IF(AND(S$1&lt;=График!$F31,S$1+6&gt;=График!$E31),"■","")</f>
        <v/>
      </c>
      <c r="T31" s="339" t="str">
        <f>IF(AND(T$1&lt;=График!$F31,T$1+6&gt;=График!$E31),"■","")</f>
        <v/>
      </c>
      <c r="U31" s="339" t="str">
        <f>IF(AND(U$1&lt;=График!$F31,U$1+6&gt;=График!$E31),"■","")</f>
        <v/>
      </c>
      <c r="V31" s="339" t="str">
        <f>IF(AND(V$1&lt;=График!$F31,V$1+6&gt;=График!$E31),"■","")</f>
        <v/>
      </c>
      <c r="W31" s="339" t="str">
        <f>IF(AND(W$1&lt;=График!$F31,W$1+6&gt;=График!$E31),"■","")</f>
        <v/>
      </c>
      <c r="X31" s="339" t="str">
        <f>IF(AND(X$1&lt;=График!$F31,X$1+6&gt;=График!$E31),"■","")</f>
        <v/>
      </c>
      <c r="Y31" s="339" t="str">
        <f>IF(AND(Y$1&lt;=График!$F31,Y$1+6&gt;=График!$E31),"■","")</f>
        <v/>
      </c>
      <c r="Z31" s="339" t="str">
        <f>IF(AND(Z$1&lt;=График!$F31,Z$1+6&gt;=График!$E31),"■","")</f>
        <v/>
      </c>
      <c r="AA31" s="339" t="str">
        <f>IF(AND(AA$1&lt;=График!$F31,AA$1+6&gt;=График!$E31),"■","")</f>
        <v/>
      </c>
      <c r="AB31" s="339" t="str">
        <f>IF(AND(AB$1&lt;=График!$F31,AB$1+6&gt;=График!$E31),"■","")</f>
        <v/>
      </c>
      <c r="AC31" s="339" t="str">
        <f>IF(AND(AC$1&lt;=График!$F31,AC$1+6&gt;=График!$E31),"■","")</f>
        <v/>
      </c>
      <c r="AD31" s="339" t="str">
        <f>IF(AND(AD$1&lt;=График!$F31,AD$1+6&gt;=График!$E31),"■","")</f>
        <v/>
      </c>
      <c r="AE31" s="339" t="str">
        <f>IF(AND(AE$1&lt;=График!$F31,AE$1+6&gt;=График!$E31),"■","")</f>
        <v/>
      </c>
      <c r="AF31" s="339" t="str">
        <f>IF(AND(AF$1&lt;=График!$F31,AF$1+6&gt;=График!$E31),"■","")</f>
        <v/>
      </c>
      <c r="AG31" s="339" t="str">
        <f>IF(AND(AG$1&lt;=График!$F31,AG$1+6&gt;=График!$E31),"■","")</f>
        <v/>
      </c>
      <c r="AH31" s="339" t="str">
        <f>IF(AND(AH$1&lt;=График!$F31,AH$1+6&gt;=График!$E31),"■","")</f>
        <v/>
      </c>
      <c r="AI31" s="339" t="str">
        <f>IF(AND(AI$1&lt;=График!$F31,AI$1+6&gt;=График!$E31),"■","")</f>
        <v/>
      </c>
      <c r="AJ31" s="339" t="str">
        <f>IF(AND(AJ$1&lt;=График!$F31,AJ$1+6&gt;=График!$E31),"■","")</f>
        <v/>
      </c>
      <c r="AK31" s="339" t="str">
        <f>IF(AND(AK$1&lt;=График!$F31,AK$1+6&gt;=График!$E31),"■","")</f>
        <v/>
      </c>
      <c r="AL31" s="339" t="str">
        <f>IF(AND(AL$1&lt;=График!$F31,AL$1+6&gt;=График!$E31),"■","")</f>
        <v/>
      </c>
      <c r="AM31" s="339" t="str">
        <f>IF(AND(AM$1&lt;=График!$F31,AM$1+6&gt;=График!$E31),"■","")</f>
        <v/>
      </c>
      <c r="AN31" s="339" t="str">
        <f>IF(AND(AN$1&lt;=График!$F31,AN$1+6&gt;=График!$E31),"■","")</f>
        <v/>
      </c>
      <c r="AO31" s="339" t="str">
        <f>IF(AND(AO$1&lt;=График!$F31,AO$1+6&gt;=График!$E31),"■","")</f>
        <v/>
      </c>
      <c r="AP31" s="339" t="str">
        <f>IF(AND(AP$1&lt;=График!$F31,AP$1+6&gt;=График!$E31),"■","")</f>
        <v/>
      </c>
      <c r="AQ31" s="339" t="str">
        <f>IF(AND(AQ$1&lt;=График!$F31,AQ$1+6&gt;=График!$E31),"■","")</f>
        <v>■</v>
      </c>
      <c r="AR31" s="339" t="str">
        <f>IF(AND(AR$1&lt;=График!$F31,AR$1+6&gt;=График!$E31),"■","")</f>
        <v>■</v>
      </c>
      <c r="AS31" s="339" t="str">
        <f>IF(AND(AS$1&lt;=График!$F31,AS$1+6&gt;=График!$E31),"■","")</f>
        <v/>
      </c>
      <c r="AT31" s="362" t="str">
        <f>IF(AND(AT$1&lt;=График!$F31,AT$1+6&gt;=График!$E31),"■","")</f>
        <v/>
      </c>
      <c r="AU31" s="362" t="str">
        <f>IF(AND(AU$1&lt;=График!$F31,AU$1+6&gt;=График!$E31),"■","")</f>
        <v/>
      </c>
      <c r="AV31" s="362" t="str">
        <f>IF(AND(AV$1&lt;=График!$F31,AV$1+6&gt;=График!$E31),"■","")</f>
        <v/>
      </c>
      <c r="AW31" s="339" t="str">
        <f>IF(AND(AW$1&lt;=График!$F31,AW$1+6&gt;=График!$E31),"■","")</f>
        <v/>
      </c>
      <c r="AX31" s="339" t="str">
        <f>IF(AND(AX$1&lt;=График!$F31,AX$1+6&gt;=График!$E31),"■","")</f>
        <v/>
      </c>
      <c r="AY31" s="339" t="str">
        <f>IF(AND(AY$1&lt;=График!$F31,AY$1+6&gt;=График!$E31),"■","")</f>
        <v/>
      </c>
      <c r="AZ31" s="339" t="str">
        <f>IF(AND(AZ$1&lt;=График!$F31,AZ$1+6&gt;=График!$E31),"■","")</f>
        <v/>
      </c>
    </row>
    <row r="32" spans="1:52" ht="28.5" customHeight="1">
      <c r="A32" s="359">
        <f>График!A32</f>
        <v>31</v>
      </c>
      <c r="B32" s="359" t="str">
        <f>График!B32</f>
        <v>9. Контроль, ИД, сдача</v>
      </c>
      <c r="C32" s="359" t="str">
        <f>График!C32</f>
        <v>Исполнительная документация, дефектовка, устранение замечаний</v>
      </c>
      <c r="D32" s="360">
        <f>График!E32</f>
        <v>46447</v>
      </c>
      <c r="E32" s="360">
        <f>График!F32</f>
        <v>46472</v>
      </c>
      <c r="F32" s="361">
        <f>График!G32</f>
        <v>26</v>
      </c>
      <c r="G32" s="339" t="str">
        <f>IF(AND(G$1&lt;=График!$F32,G$1+6&gt;=График!$E32),"■","")</f>
        <v/>
      </c>
      <c r="H32" s="339" t="str">
        <f>IF(AND(H$1&lt;=График!$F32,H$1+6&gt;=График!$E32),"■","")</f>
        <v/>
      </c>
      <c r="I32" s="339" t="str">
        <f>IF(AND(I$1&lt;=График!$F32,I$1+6&gt;=График!$E32),"■","")</f>
        <v/>
      </c>
      <c r="J32" s="339" t="str">
        <f>IF(AND(J$1&lt;=График!$F32,J$1+6&gt;=График!$E32),"■","")</f>
        <v/>
      </c>
      <c r="K32" s="339" t="str">
        <f>IF(AND(K$1&lt;=График!$F32,K$1+6&gt;=График!$E32),"■","")</f>
        <v/>
      </c>
      <c r="L32" s="339" t="str">
        <f>IF(AND(L$1&lt;=График!$F32,L$1+6&gt;=График!$E32),"■","")</f>
        <v/>
      </c>
      <c r="M32" s="339" t="str">
        <f>IF(AND(M$1&lt;=График!$F32,M$1+6&gt;=График!$E32),"■","")</f>
        <v/>
      </c>
      <c r="N32" s="339" t="str">
        <f>IF(AND(N$1&lt;=График!$F32,N$1+6&gt;=График!$E32),"■","")</f>
        <v/>
      </c>
      <c r="O32" s="339" t="str">
        <f>IF(AND(O$1&lt;=График!$F32,O$1+6&gt;=График!$E32),"■","")</f>
        <v/>
      </c>
      <c r="P32" s="339" t="str">
        <f>IF(AND(P$1&lt;=График!$F32,P$1+6&gt;=График!$E32),"■","")</f>
        <v/>
      </c>
      <c r="Q32" s="339" t="str">
        <f>IF(AND(Q$1&lt;=График!$F32,Q$1+6&gt;=График!$E32),"■","")</f>
        <v/>
      </c>
      <c r="R32" s="339" t="str">
        <f>IF(AND(R$1&lt;=График!$F32,R$1+6&gt;=График!$E32),"■","")</f>
        <v/>
      </c>
      <c r="S32" s="339" t="str">
        <f>IF(AND(S$1&lt;=График!$F32,S$1+6&gt;=График!$E32),"■","")</f>
        <v/>
      </c>
      <c r="T32" s="339" t="str">
        <f>IF(AND(T$1&lt;=График!$F32,T$1+6&gt;=График!$E32),"■","")</f>
        <v/>
      </c>
      <c r="U32" s="339" t="str">
        <f>IF(AND(U$1&lt;=График!$F32,U$1+6&gt;=График!$E32),"■","")</f>
        <v/>
      </c>
      <c r="V32" s="339" t="str">
        <f>IF(AND(V$1&lt;=График!$F32,V$1+6&gt;=График!$E32),"■","")</f>
        <v/>
      </c>
      <c r="W32" s="339" t="str">
        <f>IF(AND(W$1&lt;=График!$F32,W$1+6&gt;=График!$E32),"■","")</f>
        <v/>
      </c>
      <c r="X32" s="339" t="str">
        <f>IF(AND(X$1&lt;=График!$F32,X$1+6&gt;=График!$E32),"■","")</f>
        <v/>
      </c>
      <c r="Y32" s="339" t="str">
        <f>IF(AND(Y$1&lt;=График!$F32,Y$1+6&gt;=График!$E32),"■","")</f>
        <v/>
      </c>
      <c r="Z32" s="339" t="str">
        <f>IF(AND(Z$1&lt;=График!$F32,Z$1+6&gt;=График!$E32),"■","")</f>
        <v/>
      </c>
      <c r="AA32" s="339" t="str">
        <f>IF(AND(AA$1&lt;=График!$F32,AA$1+6&gt;=График!$E32),"■","")</f>
        <v/>
      </c>
      <c r="AB32" s="339" t="str">
        <f>IF(AND(AB$1&lt;=График!$F32,AB$1+6&gt;=График!$E32),"■","")</f>
        <v/>
      </c>
      <c r="AC32" s="339" t="str">
        <f>IF(AND(AC$1&lt;=График!$F32,AC$1+6&gt;=График!$E32),"■","")</f>
        <v/>
      </c>
      <c r="AD32" s="339" t="str">
        <f>IF(AND(AD$1&lt;=График!$F32,AD$1+6&gt;=График!$E32),"■","")</f>
        <v/>
      </c>
      <c r="AE32" s="339" t="str">
        <f>IF(AND(AE$1&lt;=График!$F32,AE$1+6&gt;=График!$E32),"■","")</f>
        <v/>
      </c>
      <c r="AF32" s="339" t="str">
        <f>IF(AND(AF$1&lt;=График!$F32,AF$1+6&gt;=График!$E32),"■","")</f>
        <v/>
      </c>
      <c r="AG32" s="339" t="str">
        <f>IF(AND(AG$1&lt;=График!$F32,AG$1+6&gt;=График!$E32),"■","")</f>
        <v/>
      </c>
      <c r="AH32" s="339" t="str">
        <f>IF(AND(AH$1&lt;=График!$F32,AH$1+6&gt;=График!$E32),"■","")</f>
        <v/>
      </c>
      <c r="AI32" s="339" t="str">
        <f>IF(AND(AI$1&lt;=График!$F32,AI$1+6&gt;=График!$E32),"■","")</f>
        <v/>
      </c>
      <c r="AJ32" s="339" t="str">
        <f>IF(AND(AJ$1&lt;=График!$F32,AJ$1+6&gt;=График!$E32),"■","")</f>
        <v/>
      </c>
      <c r="AK32" s="339" t="str">
        <f>IF(AND(AK$1&lt;=График!$F32,AK$1+6&gt;=График!$E32),"■","")</f>
        <v/>
      </c>
      <c r="AL32" s="339" t="str">
        <f>IF(AND(AL$1&lt;=График!$F32,AL$1+6&gt;=График!$E32),"■","")</f>
        <v/>
      </c>
      <c r="AM32" s="339" t="str">
        <f>IF(AND(AM$1&lt;=График!$F32,AM$1+6&gt;=График!$E32),"■","")</f>
        <v/>
      </c>
      <c r="AN32" s="339" t="str">
        <f>IF(AND(AN$1&lt;=График!$F32,AN$1+6&gt;=График!$E32),"■","")</f>
        <v/>
      </c>
      <c r="AO32" s="339" t="str">
        <f>IF(AND(AO$1&lt;=График!$F32,AO$1+6&gt;=График!$E32),"■","")</f>
        <v>■</v>
      </c>
      <c r="AP32" s="339" t="str">
        <f>IF(AND(AP$1&lt;=График!$F32,AP$1+6&gt;=График!$E32),"■","")</f>
        <v>■</v>
      </c>
      <c r="AQ32" s="339" t="str">
        <f>IF(AND(AQ$1&lt;=График!$F32,AQ$1+6&gt;=График!$E32),"■","")</f>
        <v>■</v>
      </c>
      <c r="AR32" s="339" t="str">
        <f>IF(AND(AR$1&lt;=График!$F32,AR$1+6&gt;=График!$E32),"■","")</f>
        <v>■</v>
      </c>
      <c r="AS32" s="339" t="str">
        <f>IF(AND(AS$1&lt;=График!$F32,AS$1+6&gt;=График!$E32),"■","")</f>
        <v>■</v>
      </c>
      <c r="AT32" s="362" t="str">
        <f>IF(AND(AT$1&lt;=График!$F32,AT$1+6&gt;=График!$E32),"■","")</f>
        <v/>
      </c>
      <c r="AU32" s="362" t="str">
        <f>IF(AND(AU$1&lt;=График!$F32,AU$1+6&gt;=График!$E32),"■","")</f>
        <v/>
      </c>
      <c r="AV32" s="362" t="str">
        <f>IF(AND(AV$1&lt;=График!$F32,AV$1+6&gt;=График!$E32),"■","")</f>
        <v/>
      </c>
      <c r="AW32" s="362" t="str">
        <f>IF(AND(AW$1&lt;=График!$F32,AW$1+6&gt;=График!$E32),"■","")</f>
        <v/>
      </c>
      <c r="AX32" s="362" t="str">
        <f>IF(AND(AX$1&lt;=График!$F32,AX$1+6&gt;=График!$E32),"■","")</f>
        <v/>
      </c>
      <c r="AY32" s="362" t="str">
        <f>IF(AND(AY$1&lt;=График!$F32,AY$1+6&gt;=График!$E32),"■","")</f>
        <v/>
      </c>
      <c r="AZ32" s="339" t="str">
        <f>IF(AND(AZ$1&lt;=График!$F32,AZ$1+6&gt;=График!$E32),"■","")</f>
        <v/>
      </c>
    </row>
    <row r="33" spans="1:52" ht="14.25" customHeight="1">
      <c r="A33" s="359">
        <f>График!A33</f>
        <v>32</v>
      </c>
      <c r="B33" s="359" t="str">
        <f>График!B33</f>
        <v>9. Контроль, ИД, сдача</v>
      </c>
      <c r="C33" s="359" t="str">
        <f>График!C33</f>
        <v>Комплексная сдача объекта</v>
      </c>
      <c r="D33" s="360">
        <f>График!E33</f>
        <v>46473</v>
      </c>
      <c r="E33" s="360">
        <f>График!F33</f>
        <v>46477</v>
      </c>
      <c r="F33" s="361">
        <f>График!G33</f>
        <v>5</v>
      </c>
      <c r="G33" s="339" t="str">
        <f>IF(AND(G$1&lt;=График!$F33,G$1+6&gt;=График!$E33),"■","")</f>
        <v/>
      </c>
      <c r="H33" s="339" t="str">
        <f>IF(AND(H$1&lt;=График!$F33,H$1+6&gt;=График!$E33),"■","")</f>
        <v/>
      </c>
      <c r="I33" s="339" t="str">
        <f>IF(AND(I$1&lt;=График!$F33,I$1+6&gt;=График!$E33),"■","")</f>
        <v/>
      </c>
      <c r="J33" s="339" t="str">
        <f>IF(AND(J$1&lt;=График!$F33,J$1+6&gt;=График!$E33),"■","")</f>
        <v/>
      </c>
      <c r="K33" s="339" t="str">
        <f>IF(AND(K$1&lt;=График!$F33,K$1+6&gt;=График!$E33),"■","")</f>
        <v/>
      </c>
      <c r="L33" s="339" t="str">
        <f>IF(AND(L$1&lt;=График!$F33,L$1+6&gt;=График!$E33),"■","")</f>
        <v/>
      </c>
      <c r="M33" s="339" t="str">
        <f>IF(AND(M$1&lt;=График!$F33,M$1+6&gt;=График!$E33),"■","")</f>
        <v/>
      </c>
      <c r="N33" s="339" t="str">
        <f>IF(AND(N$1&lt;=График!$F33,N$1+6&gt;=График!$E33),"■","")</f>
        <v/>
      </c>
      <c r="O33" s="339" t="str">
        <f>IF(AND(O$1&lt;=График!$F33,O$1+6&gt;=График!$E33),"■","")</f>
        <v/>
      </c>
      <c r="P33" s="339" t="str">
        <f>IF(AND(P$1&lt;=График!$F33,P$1+6&gt;=График!$E33),"■","")</f>
        <v/>
      </c>
      <c r="Q33" s="339" t="str">
        <f>IF(AND(Q$1&lt;=График!$F33,Q$1+6&gt;=График!$E33),"■","")</f>
        <v/>
      </c>
      <c r="R33" s="339" t="str">
        <f>IF(AND(R$1&lt;=График!$F33,R$1+6&gt;=График!$E33),"■","")</f>
        <v/>
      </c>
      <c r="S33" s="339" t="str">
        <f>IF(AND(S$1&lt;=График!$F33,S$1+6&gt;=График!$E33),"■","")</f>
        <v/>
      </c>
      <c r="T33" s="339" t="str">
        <f>IF(AND(T$1&lt;=График!$F33,T$1+6&gt;=График!$E33),"■","")</f>
        <v/>
      </c>
      <c r="U33" s="339" t="str">
        <f>IF(AND(U$1&lt;=График!$F33,U$1+6&gt;=График!$E33),"■","")</f>
        <v/>
      </c>
      <c r="V33" s="339" t="str">
        <f>IF(AND(V$1&lt;=График!$F33,V$1+6&gt;=График!$E33),"■","")</f>
        <v/>
      </c>
      <c r="W33" s="339" t="str">
        <f>IF(AND(W$1&lt;=График!$F33,W$1+6&gt;=График!$E33),"■","")</f>
        <v/>
      </c>
      <c r="X33" s="339" t="str">
        <f>IF(AND(X$1&lt;=График!$F33,X$1+6&gt;=График!$E33),"■","")</f>
        <v/>
      </c>
      <c r="Y33" s="339" t="str">
        <f>IF(AND(Y$1&lt;=График!$F33,Y$1+6&gt;=График!$E33),"■","")</f>
        <v/>
      </c>
      <c r="Z33" s="339" t="str">
        <f>IF(AND(Z$1&lt;=График!$F33,Z$1+6&gt;=График!$E33),"■","")</f>
        <v/>
      </c>
      <c r="AA33" s="339" t="str">
        <f>IF(AND(AA$1&lt;=График!$F33,AA$1+6&gt;=График!$E33),"■","")</f>
        <v/>
      </c>
      <c r="AB33" s="339" t="str">
        <f>IF(AND(AB$1&lt;=График!$F33,AB$1+6&gt;=График!$E33),"■","")</f>
        <v/>
      </c>
      <c r="AC33" s="339" t="str">
        <f>IF(AND(AC$1&lt;=График!$F33,AC$1+6&gt;=График!$E33),"■","")</f>
        <v/>
      </c>
      <c r="AD33" s="339" t="str">
        <f>IF(AND(AD$1&lt;=График!$F33,AD$1+6&gt;=График!$E33),"■","")</f>
        <v/>
      </c>
      <c r="AE33" s="339" t="str">
        <f>IF(AND(AE$1&lt;=График!$F33,AE$1+6&gt;=График!$E33),"■","")</f>
        <v/>
      </c>
      <c r="AF33" s="339" t="str">
        <f>IF(AND(AF$1&lt;=График!$F33,AF$1+6&gt;=График!$E33),"■","")</f>
        <v/>
      </c>
      <c r="AG33" s="339" t="str">
        <f>IF(AND(AG$1&lt;=График!$F33,AG$1+6&gt;=График!$E33),"■","")</f>
        <v/>
      </c>
      <c r="AH33" s="339" t="str">
        <f>IF(AND(AH$1&lt;=График!$F33,AH$1+6&gt;=График!$E33),"■","")</f>
        <v/>
      </c>
      <c r="AI33" s="339" t="str">
        <f>IF(AND(AI$1&lt;=График!$F33,AI$1+6&gt;=График!$E33),"■","")</f>
        <v/>
      </c>
      <c r="AJ33" s="339" t="str">
        <f>IF(AND(AJ$1&lt;=График!$F33,AJ$1+6&gt;=График!$E33),"■","")</f>
        <v/>
      </c>
      <c r="AK33" s="339" t="str">
        <f>IF(AND(AK$1&lt;=График!$F33,AK$1+6&gt;=График!$E33),"■","")</f>
        <v/>
      </c>
      <c r="AL33" s="339" t="str">
        <f>IF(AND(AL$1&lt;=График!$F33,AL$1+6&gt;=График!$E33),"■","")</f>
        <v/>
      </c>
      <c r="AM33" s="339" t="str">
        <f>IF(AND(AM$1&lt;=График!$F33,AM$1+6&gt;=График!$E33),"■","")</f>
        <v/>
      </c>
      <c r="AN33" s="339" t="str">
        <f>IF(AND(AN$1&lt;=График!$F33,AN$1+6&gt;=График!$E33),"■","")</f>
        <v/>
      </c>
      <c r="AO33" s="339" t="str">
        <f>IF(AND(AO$1&lt;=График!$F33,AO$1+6&gt;=График!$E33),"■","")</f>
        <v/>
      </c>
      <c r="AP33" s="339" t="str">
        <f>IF(AND(AP$1&lt;=График!$F33,AP$1+6&gt;=График!$E33),"■","")</f>
        <v/>
      </c>
      <c r="AQ33" s="339" t="str">
        <f>IF(AND(AQ$1&lt;=График!$F33,AQ$1+6&gt;=График!$E33),"■","")</f>
        <v/>
      </c>
      <c r="AR33" s="339" t="str">
        <f>IF(AND(AR$1&lt;=График!$F33,AR$1+6&gt;=График!$E33),"■","")</f>
        <v/>
      </c>
      <c r="AS33" s="339" t="str">
        <f>IF(AND(AS$1&lt;=График!$F33,AS$1+6&gt;=График!$E33),"■","")</f>
        <v>■</v>
      </c>
      <c r="AT33" s="339" t="str">
        <f>IF(AND(AT$1&lt;=График!$F33,AT$1+6&gt;=График!$E33),"■","")</f>
        <v>■</v>
      </c>
      <c r="AU33" s="339" t="str">
        <f>IF(AND(AU$1&lt;=График!$F33,AU$1+6&gt;=График!$E33),"■","")</f>
        <v/>
      </c>
      <c r="AV33" s="339" t="str">
        <f>IF(AND(AV$1&lt;=График!$F33,AV$1+6&gt;=График!$E33),"■","")</f>
        <v/>
      </c>
      <c r="AW33" s="339" t="str">
        <f>IF(AND(AW$1&lt;=График!$F33,AW$1+6&gt;=График!$E33),"■","")</f>
        <v/>
      </c>
      <c r="AX33" s="339" t="str">
        <f>IF(AND(AX$1&lt;=График!$F33,AX$1+6&gt;=График!$E33),"■","")</f>
        <v/>
      </c>
      <c r="AY33" s="362" t="str">
        <f>IF(AND(AY$1&lt;=График!$F33,AY$1+6&gt;=График!$E33),"■","")</f>
        <v/>
      </c>
      <c r="AZ33" s="362" t="str">
        <f>IF(AND(AZ$1&lt;=График!$F33,AZ$1+6&gt;=График!$E33),"■","")</f>
        <v/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9"/>
  <sheetViews>
    <sheetView showGridLines="0" workbookViewId="0">
      <selection activeCell="A15" sqref="A15"/>
    </sheetView>
  </sheetViews>
  <sheetFormatPr defaultColWidth="9" defaultRowHeight="14.25"/>
  <cols>
    <col min="1" max="1" width="29.85546875" style="135" customWidth="1"/>
    <col min="2" max="2" width="98.140625" style="135" customWidth="1"/>
    <col min="3" max="3" width="9" style="135" customWidth="1"/>
    <col min="4" max="16384" width="9" style="135"/>
  </cols>
  <sheetData>
    <row r="1" spans="1:2" ht="13.9" customHeight="1">
      <c r="A1" s="137" t="s">
        <v>710</v>
      </c>
      <c r="B1" s="137" t="s">
        <v>711</v>
      </c>
    </row>
    <row r="2" spans="1:2" ht="14.25" customHeight="1">
      <c r="A2" s="136" t="s">
        <v>1</v>
      </c>
      <c r="B2" s="136" t="s">
        <v>712</v>
      </c>
    </row>
    <row r="3" spans="1:2" ht="42.75" customHeight="1">
      <c r="A3" s="136" t="s">
        <v>713</v>
      </c>
      <c r="B3" s="136" t="s">
        <v>714</v>
      </c>
    </row>
    <row r="4" spans="1:2" ht="28.5" customHeight="1">
      <c r="A4" s="136" t="s">
        <v>715</v>
      </c>
      <c r="B4" s="136" t="s">
        <v>716</v>
      </c>
    </row>
    <row r="5" spans="1:2" ht="28.5" customHeight="1">
      <c r="A5" s="136" t="s">
        <v>717</v>
      </c>
      <c r="B5" s="136" t="s">
        <v>718</v>
      </c>
    </row>
    <row r="6" spans="1:2" ht="28.5" customHeight="1">
      <c r="A6" s="136" t="s">
        <v>433</v>
      </c>
      <c r="B6" s="136" t="s">
        <v>719</v>
      </c>
    </row>
    <row r="7" spans="1:2" ht="28.5" customHeight="1">
      <c r="A7" s="136" t="s">
        <v>720</v>
      </c>
      <c r="B7" s="136" t="s">
        <v>721</v>
      </c>
    </row>
    <row r="8" spans="1:2" ht="28.5" customHeight="1">
      <c r="A8" s="136" t="s">
        <v>722</v>
      </c>
      <c r="B8" s="136" t="s">
        <v>723</v>
      </c>
    </row>
    <row r="9" spans="1:2" ht="28.5" customHeight="1">
      <c r="A9" s="136" t="s">
        <v>724</v>
      </c>
      <c r="B9" s="136" t="s">
        <v>725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"/>
  <sheetViews>
    <sheetView showGridLines="0" workbookViewId="0">
      <selection activeCell="A15" sqref="A15"/>
    </sheetView>
  </sheetViews>
  <sheetFormatPr defaultColWidth="9" defaultRowHeight="14.25"/>
  <cols>
    <col min="1" max="1" width="6.42578125" style="135" customWidth="1"/>
    <col min="2" max="2" width="42.7109375" style="135" customWidth="1"/>
    <col min="3" max="3" width="29.85546875" style="135" customWidth="1"/>
    <col min="4" max="4" width="59.7109375" style="135" customWidth="1"/>
    <col min="5" max="5" width="25.5703125" style="135" customWidth="1"/>
    <col min="6" max="6" width="9" style="135" customWidth="1"/>
    <col min="7" max="16384" width="9" style="135"/>
  </cols>
  <sheetData>
    <row r="1" spans="1:5" ht="13.9" customHeight="1">
      <c r="A1" s="137" t="s">
        <v>613</v>
      </c>
      <c r="B1" s="137" t="s">
        <v>726</v>
      </c>
      <c r="C1" s="137" t="s">
        <v>727</v>
      </c>
      <c r="D1" s="137" t="s">
        <v>728</v>
      </c>
      <c r="E1" s="137" t="s">
        <v>729</v>
      </c>
    </row>
    <row r="2" spans="1:5" ht="28.5" customHeight="1">
      <c r="A2" s="136">
        <v>1</v>
      </c>
      <c r="B2" s="136" t="s">
        <v>730</v>
      </c>
      <c r="C2" s="136" t="s">
        <v>731</v>
      </c>
      <c r="D2" s="136" t="s">
        <v>732</v>
      </c>
      <c r="E2" s="136" t="s">
        <v>733</v>
      </c>
    </row>
    <row r="3" spans="1:5" ht="28.5" customHeight="1">
      <c r="A3" s="136">
        <v>2</v>
      </c>
      <c r="B3" s="136" t="s">
        <v>734</v>
      </c>
      <c r="C3" s="136" t="s">
        <v>735</v>
      </c>
      <c r="D3" s="136" t="s">
        <v>736</v>
      </c>
      <c r="E3" s="136" t="s">
        <v>737</v>
      </c>
    </row>
    <row r="4" spans="1:5" ht="28.5" customHeight="1">
      <c r="A4" s="136">
        <v>3</v>
      </c>
      <c r="B4" s="136" t="s">
        <v>738</v>
      </c>
      <c r="C4" s="136" t="s">
        <v>739</v>
      </c>
      <c r="D4" s="136" t="s">
        <v>740</v>
      </c>
      <c r="E4" s="136" t="s">
        <v>741</v>
      </c>
    </row>
    <row r="5" spans="1:5" ht="28.5" customHeight="1">
      <c r="A5" s="136">
        <v>4</v>
      </c>
      <c r="B5" s="136" t="s">
        <v>742</v>
      </c>
      <c r="C5" s="136" t="s">
        <v>722</v>
      </c>
      <c r="D5" s="136" t="s">
        <v>743</v>
      </c>
      <c r="E5" s="136" t="s">
        <v>744</v>
      </c>
    </row>
    <row r="6" spans="1:5" ht="28.5" customHeight="1">
      <c r="A6" s="136">
        <v>5</v>
      </c>
      <c r="B6" s="136" t="s">
        <v>745</v>
      </c>
      <c r="C6" s="136" t="s">
        <v>746</v>
      </c>
      <c r="D6" s="136" t="s">
        <v>747</v>
      </c>
      <c r="E6" s="136" t="s">
        <v>748</v>
      </c>
    </row>
    <row r="7" spans="1:5" ht="14.25" customHeight="1">
      <c r="A7" s="136">
        <v>6</v>
      </c>
      <c r="B7" s="136" t="s">
        <v>749</v>
      </c>
      <c r="C7" s="136" t="s">
        <v>750</v>
      </c>
      <c r="D7" s="136" t="s">
        <v>751</v>
      </c>
      <c r="E7" s="136" t="s">
        <v>752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74"/>
  <sheetViews>
    <sheetView showGridLines="0" topLeftCell="G1" workbookViewId="0">
      <pane ySplit="1" topLeftCell="A2" activePane="bottomLeft" state="frozen"/>
      <selection activeCell="A15" sqref="A15"/>
      <selection pane="bottomLeft" activeCell="A15" sqref="A15"/>
    </sheetView>
  </sheetViews>
  <sheetFormatPr defaultRowHeight="15"/>
  <cols>
    <col min="1" max="1" width="6" customWidth="1"/>
    <col min="2" max="2" width="22" customWidth="1"/>
    <col min="3" max="3" width="14" customWidth="1"/>
    <col min="4" max="4" width="18" customWidth="1"/>
    <col min="5" max="5" width="28" customWidth="1"/>
    <col min="6" max="6" width="48" customWidth="1"/>
    <col min="7" max="8" width="18" customWidth="1"/>
    <col min="9" max="9" width="12" customWidth="1"/>
    <col min="10" max="11" width="18" customWidth="1"/>
    <col min="12" max="12" width="20" customWidth="1"/>
    <col min="13" max="13" width="60" customWidth="1"/>
  </cols>
  <sheetData>
    <row r="1" spans="1:13" ht="30">
      <c r="A1" s="363" t="s">
        <v>613</v>
      </c>
      <c r="B1" s="363" t="s">
        <v>753</v>
      </c>
      <c r="C1" s="363" t="s">
        <v>754</v>
      </c>
      <c r="D1" s="363" t="s">
        <v>755</v>
      </c>
      <c r="E1" s="363" t="s">
        <v>427</v>
      </c>
      <c r="F1" s="363" t="s">
        <v>756</v>
      </c>
      <c r="G1" s="363" t="s">
        <v>757</v>
      </c>
      <c r="H1" s="363" t="s">
        <v>758</v>
      </c>
      <c r="I1" s="363" t="s">
        <v>759</v>
      </c>
      <c r="J1" s="363" t="s">
        <v>760</v>
      </c>
      <c r="K1" s="363" t="s">
        <v>761</v>
      </c>
      <c r="L1" s="363" t="s">
        <v>762</v>
      </c>
      <c r="M1" s="363" t="s">
        <v>43</v>
      </c>
    </row>
    <row r="2" spans="1:13" ht="30">
      <c r="A2" s="144">
        <v>1</v>
      </c>
      <c r="B2" s="144" t="s">
        <v>763</v>
      </c>
      <c r="C2" s="144">
        <v>7</v>
      </c>
      <c r="D2" s="144" t="s">
        <v>764</v>
      </c>
      <c r="E2" s="144" t="s">
        <v>174</v>
      </c>
      <c r="F2" s="166" t="str">
        <f>'себестоимость прямая'!B7</f>
        <v>Разработка рабочей документации</v>
      </c>
      <c r="G2" s="144" t="s">
        <v>765</v>
      </c>
      <c r="H2" s="167">
        <f>'себестоимость прямая'!G7</f>
        <v>13278688.524590164</v>
      </c>
      <c r="I2" s="364">
        <v>1</v>
      </c>
      <c r="J2" s="167">
        <f>H2*I2*FIN_0_Параметры!$B$10</f>
        <v>2921311.475409836</v>
      </c>
      <c r="K2" s="169">
        <f t="shared" ref="K2:K33" si="0">H2+J2</f>
        <v>16200000</v>
      </c>
      <c r="L2" s="169">
        <f t="shared" ref="L2:L33" si="1">H2</f>
        <v>13278688.524590164</v>
      </c>
      <c r="M2" s="144" t="s">
        <v>766</v>
      </c>
    </row>
    <row r="3" spans="1:13" ht="30">
      <c r="A3" s="144">
        <v>2</v>
      </c>
      <c r="B3" s="144" t="s">
        <v>763</v>
      </c>
      <c r="C3" s="144">
        <v>9</v>
      </c>
      <c r="D3" s="144" t="s">
        <v>764</v>
      </c>
      <c r="E3" s="144" t="s">
        <v>177</v>
      </c>
      <c r="F3" s="166" t="str">
        <f>'себестоимость прямая'!B9</f>
        <v>Система электроснабжения и автоматизации противодымной вентиляции</v>
      </c>
      <c r="G3" s="144" t="s">
        <v>765</v>
      </c>
      <c r="H3" s="167">
        <f>'себестоимость прямая'!G9</f>
        <v>9750674</v>
      </c>
      <c r="I3" s="364">
        <v>1</v>
      </c>
      <c r="J3" s="167">
        <f>H3*I3*FIN_0_Параметры!$B$10</f>
        <v>2145148.2799999998</v>
      </c>
      <c r="K3" s="169">
        <f t="shared" si="0"/>
        <v>11895822.279999999</v>
      </c>
      <c r="L3" s="169">
        <f t="shared" si="1"/>
        <v>9750674</v>
      </c>
      <c r="M3" s="144" t="s">
        <v>766</v>
      </c>
    </row>
    <row r="4" spans="1:13" ht="30">
      <c r="A4" s="144">
        <v>3</v>
      </c>
      <c r="B4" s="144" t="s">
        <v>763</v>
      </c>
      <c r="C4" s="144">
        <v>11</v>
      </c>
      <c r="D4" s="144" t="s">
        <v>764</v>
      </c>
      <c r="E4" s="144" t="s">
        <v>181</v>
      </c>
      <c r="F4" s="166" t="str">
        <f>'себестоимость прямая'!B11</f>
        <v>Восстановление бетонной поверхности плит покрытия толщ 50мм</v>
      </c>
      <c r="G4" s="144" t="s">
        <v>765</v>
      </c>
      <c r="H4" s="167">
        <f>'себестоимость прямая'!G11</f>
        <v>21149700</v>
      </c>
      <c r="I4" s="364">
        <v>1</v>
      </c>
      <c r="J4" s="167">
        <f>H4*I4*FIN_0_Параметры!$B$10</f>
        <v>4652934</v>
      </c>
      <c r="K4" s="169">
        <f t="shared" si="0"/>
        <v>25802634</v>
      </c>
      <c r="L4" s="169">
        <f t="shared" si="1"/>
        <v>21149700</v>
      </c>
      <c r="M4" s="144" t="s">
        <v>766</v>
      </c>
    </row>
    <row r="5" spans="1:13" ht="30">
      <c r="A5" s="144">
        <v>4</v>
      </c>
      <c r="B5" s="144" t="s">
        <v>763</v>
      </c>
      <c r="C5" s="144">
        <v>12</v>
      </c>
      <c r="D5" s="144" t="s">
        <v>764</v>
      </c>
      <c r="E5" s="144" t="s">
        <v>181</v>
      </c>
      <c r="F5" s="166" t="str">
        <f>'себестоимость прямая'!B12</f>
        <v>Устройство антикоррозийной защиты арматуры плит покрытия</v>
      </c>
      <c r="G5" s="144" t="s">
        <v>765</v>
      </c>
      <c r="H5" s="167">
        <f>'себестоимость прямая'!G12</f>
        <v>1203396</v>
      </c>
      <c r="I5" s="364">
        <v>1</v>
      </c>
      <c r="J5" s="167">
        <f>H5*I5*FIN_0_Параметры!$B$10</f>
        <v>264747.12</v>
      </c>
      <c r="K5" s="169">
        <f t="shared" si="0"/>
        <v>1468143.12</v>
      </c>
      <c r="L5" s="169">
        <f t="shared" si="1"/>
        <v>1203396</v>
      </c>
      <c r="M5" s="144" t="s">
        <v>766</v>
      </c>
    </row>
    <row r="6" spans="1:13" ht="30">
      <c r="A6" s="144">
        <v>5</v>
      </c>
      <c r="B6" s="144" t="s">
        <v>763</v>
      </c>
      <c r="C6" s="144">
        <v>14</v>
      </c>
      <c r="D6" s="144" t="s">
        <v>764</v>
      </c>
      <c r="E6" s="144" t="s">
        <v>189</v>
      </c>
      <c r="F6" s="166" t="str">
        <f>'себестоимость прямая'!B14</f>
        <v>Заполнение межплиточных швов ремонтной смесью с выравниванием поверхности</v>
      </c>
      <c r="G6" s="144" t="s">
        <v>765</v>
      </c>
      <c r="H6" s="167">
        <f>'себестоимость прямая'!G14</f>
        <v>2046507</v>
      </c>
      <c r="I6" s="364">
        <v>1</v>
      </c>
      <c r="J6" s="167">
        <f>H6*I6*FIN_0_Параметры!$B$10</f>
        <v>450231.54</v>
      </c>
      <c r="K6" s="169">
        <f t="shared" si="0"/>
        <v>2496738.54</v>
      </c>
      <c r="L6" s="169">
        <f t="shared" si="1"/>
        <v>2046507</v>
      </c>
      <c r="M6" s="144" t="s">
        <v>766</v>
      </c>
    </row>
    <row r="7" spans="1:13" ht="30">
      <c r="A7" s="144">
        <v>6</v>
      </c>
      <c r="B7" s="144" t="s">
        <v>763</v>
      </c>
      <c r="C7" s="144">
        <v>15</v>
      </c>
      <c r="D7" s="144" t="s">
        <v>764</v>
      </c>
      <c r="E7" s="144" t="s">
        <v>189</v>
      </c>
      <c r="F7" s="166" t="str">
        <f>'себестоимость прямая'!B15</f>
        <v xml:space="preserve">Погрузка мусора строительного </v>
      </c>
      <c r="G7" s="144" t="s">
        <v>765</v>
      </c>
      <c r="H7" s="167">
        <f>'себестоимость прямая'!G15</f>
        <v>40800</v>
      </c>
      <c r="I7" s="364">
        <v>1</v>
      </c>
      <c r="J7" s="167">
        <f>H7*I7*FIN_0_Параметры!$B$10</f>
        <v>8976</v>
      </c>
      <c r="K7" s="169">
        <f t="shared" si="0"/>
        <v>49776</v>
      </c>
      <c r="L7" s="169">
        <f t="shared" si="1"/>
        <v>40800</v>
      </c>
      <c r="M7" s="144" t="s">
        <v>766</v>
      </c>
    </row>
    <row r="8" spans="1:13" ht="30">
      <c r="A8" s="144">
        <v>7</v>
      </c>
      <c r="B8" s="144" t="s">
        <v>763</v>
      </c>
      <c r="C8" s="144">
        <v>16</v>
      </c>
      <c r="D8" s="144" t="s">
        <v>764</v>
      </c>
      <c r="E8" s="144" t="s">
        <v>189</v>
      </c>
      <c r="F8" s="166" t="str">
        <f>'себестоимость прямая'!B16</f>
        <v xml:space="preserve">Перевозка грузов самосвалами весом 10т, на расстояние 35 км </v>
      </c>
      <c r="G8" s="144" t="s">
        <v>765</v>
      </c>
      <c r="H8" s="167">
        <f>'себестоимость прямая'!G16</f>
        <v>87320</v>
      </c>
      <c r="I8" s="364">
        <v>1</v>
      </c>
      <c r="J8" s="167">
        <f>H8*I8*FIN_0_Параметры!$B$10</f>
        <v>19210.400000000001</v>
      </c>
      <c r="K8" s="169">
        <f t="shared" si="0"/>
        <v>106530.4</v>
      </c>
      <c r="L8" s="169">
        <f t="shared" si="1"/>
        <v>87320</v>
      </c>
      <c r="M8" s="144" t="s">
        <v>766</v>
      </c>
    </row>
    <row r="9" spans="1:13" ht="30">
      <c r="A9" s="144">
        <v>8</v>
      </c>
      <c r="B9" s="144" t="s">
        <v>763</v>
      </c>
      <c r="C9" s="144">
        <v>17</v>
      </c>
      <c r="D9" s="144" t="s">
        <v>764</v>
      </c>
      <c r="E9" s="144" t="s">
        <v>189</v>
      </c>
      <c r="F9" s="166" t="str">
        <f>'себестоимость прямая'!B17</f>
        <v>Утилизация строительного мусора</v>
      </c>
      <c r="G9" s="144" t="s">
        <v>765</v>
      </c>
      <c r="H9" s="167">
        <f>'себестоимость прямая'!G17</f>
        <v>108000</v>
      </c>
      <c r="I9" s="364">
        <v>1</v>
      </c>
      <c r="J9" s="167">
        <f>H9*I9*FIN_0_Параметры!$B$10</f>
        <v>23760</v>
      </c>
      <c r="K9" s="169">
        <f t="shared" si="0"/>
        <v>131760</v>
      </c>
      <c r="L9" s="169">
        <f t="shared" si="1"/>
        <v>108000</v>
      </c>
      <c r="M9" s="144" t="s">
        <v>766</v>
      </c>
    </row>
    <row r="10" spans="1:13" ht="30">
      <c r="A10" s="144">
        <v>9</v>
      </c>
      <c r="B10" s="144" t="s">
        <v>763</v>
      </c>
      <c r="C10" s="144">
        <v>20</v>
      </c>
      <c r="D10" s="144" t="s">
        <v>764</v>
      </c>
      <c r="E10" s="144" t="s">
        <v>200</v>
      </c>
      <c r="F10" s="166" t="str">
        <f>'себестоимость прямая'!B20</f>
        <v>Разборка покрытий кровель: из рулонных материалов средняя толщ 10 мм</v>
      </c>
      <c r="G10" s="144" t="s">
        <v>765</v>
      </c>
      <c r="H10" s="167">
        <f>'себестоимость прямая'!G20</f>
        <v>5247450</v>
      </c>
      <c r="I10" s="364">
        <v>1</v>
      </c>
      <c r="J10" s="167">
        <f>H10*I10*FIN_0_Параметры!$B$10</f>
        <v>1154439</v>
      </c>
      <c r="K10" s="169">
        <f t="shared" si="0"/>
        <v>6401889</v>
      </c>
      <c r="L10" s="169">
        <f t="shared" si="1"/>
        <v>5247450</v>
      </c>
      <c r="M10" s="144" t="s">
        <v>766</v>
      </c>
    </row>
    <row r="11" spans="1:13" ht="30">
      <c r="A11" s="144">
        <v>10</v>
      </c>
      <c r="B11" s="144" t="s">
        <v>763</v>
      </c>
      <c r="C11" s="144">
        <v>21</v>
      </c>
      <c r="D11" s="144" t="s">
        <v>764</v>
      </c>
      <c r="E11" s="144" t="s">
        <v>200</v>
      </c>
      <c r="F11" s="166" t="str">
        <f>'себестоимость прямая'!B21</f>
        <v>Демонтаж стяжек: цементно-песчаная средняя толщ 50 мм</v>
      </c>
      <c r="G11" s="144" t="s">
        <v>765</v>
      </c>
      <c r="H11" s="167">
        <f>'себестоимость прямая'!G21</f>
        <v>5247450</v>
      </c>
      <c r="I11" s="364">
        <v>1</v>
      </c>
      <c r="J11" s="167">
        <f>H11*I11*FIN_0_Параметры!$B$10</f>
        <v>1154439</v>
      </c>
      <c r="K11" s="169">
        <f t="shared" si="0"/>
        <v>6401889</v>
      </c>
      <c r="L11" s="169">
        <f t="shared" si="1"/>
        <v>5247450</v>
      </c>
      <c r="M11" s="144" t="s">
        <v>766</v>
      </c>
    </row>
    <row r="12" spans="1:13" ht="30">
      <c r="A12" s="144">
        <v>11</v>
      </c>
      <c r="B12" s="144" t="s">
        <v>763</v>
      </c>
      <c r="C12" s="144">
        <v>22</v>
      </c>
      <c r="D12" s="144" t="s">
        <v>764</v>
      </c>
      <c r="E12" s="144" t="s">
        <v>200</v>
      </c>
      <c r="F12" s="166" t="str">
        <f>'себестоимость прямая'!B22</f>
        <v>Демонтаж утеплителя из керамзита средняя толщ 110 мм</v>
      </c>
      <c r="G12" s="144" t="s">
        <v>765</v>
      </c>
      <c r="H12" s="167">
        <f>'себестоимость прямая'!G22</f>
        <v>4359420</v>
      </c>
      <c r="I12" s="364">
        <v>1</v>
      </c>
      <c r="J12" s="167">
        <f>H12*I12*FIN_0_Параметры!$B$10</f>
        <v>959072.4</v>
      </c>
      <c r="K12" s="169">
        <f t="shared" si="0"/>
        <v>5318492.4000000004</v>
      </c>
      <c r="L12" s="169">
        <f t="shared" si="1"/>
        <v>4359420</v>
      </c>
      <c r="M12" s="144" t="s">
        <v>766</v>
      </c>
    </row>
    <row r="13" spans="1:13" ht="30">
      <c r="A13" s="144">
        <v>12</v>
      </c>
      <c r="B13" s="144" t="s">
        <v>763</v>
      </c>
      <c r="C13" s="144">
        <v>23</v>
      </c>
      <c r="D13" s="144" t="s">
        <v>764</v>
      </c>
      <c r="E13" s="144" t="s">
        <v>200</v>
      </c>
      <c r="F13" s="166" t="str">
        <f>'себестоимость прямая'!B23</f>
        <v xml:space="preserve">Демонтаж воронок водосточных </v>
      </c>
      <c r="G13" s="144" t="s">
        <v>765</v>
      </c>
      <c r="H13" s="167">
        <f>'себестоимость прямая'!G23</f>
        <v>180000</v>
      </c>
      <c r="I13" s="364">
        <v>1</v>
      </c>
      <c r="J13" s="167">
        <f>H13*I13*FIN_0_Параметры!$B$10</f>
        <v>39600</v>
      </c>
      <c r="K13" s="169">
        <f t="shared" si="0"/>
        <v>219600</v>
      </c>
      <c r="L13" s="169">
        <f t="shared" si="1"/>
        <v>180000</v>
      </c>
      <c r="M13" s="144" t="s">
        <v>766</v>
      </c>
    </row>
    <row r="14" spans="1:13" ht="30">
      <c r="A14" s="144">
        <v>13</v>
      </c>
      <c r="B14" s="144" t="s">
        <v>763</v>
      </c>
      <c r="C14" s="144">
        <v>25</v>
      </c>
      <c r="D14" s="144" t="s">
        <v>764</v>
      </c>
      <c r="E14" s="144" t="s">
        <v>207</v>
      </c>
      <c r="F14" s="166" t="str">
        <f>'себестоимость прямая'!B25</f>
        <v>Разборка покрытий кровель: из рулонных материалов средняя толщ 16,5 мм</v>
      </c>
      <c r="G14" s="144" t="s">
        <v>765</v>
      </c>
      <c r="H14" s="167">
        <f>'себестоимость прямая'!G25</f>
        <v>6054000</v>
      </c>
      <c r="I14" s="364">
        <v>1</v>
      </c>
      <c r="J14" s="167">
        <f>H14*I14*FIN_0_Параметры!$B$10</f>
        <v>1331880</v>
      </c>
      <c r="K14" s="169">
        <f t="shared" si="0"/>
        <v>7385880</v>
      </c>
      <c r="L14" s="169">
        <f t="shared" si="1"/>
        <v>6054000</v>
      </c>
      <c r="M14" s="144" t="s">
        <v>766</v>
      </c>
    </row>
    <row r="15" spans="1:13" ht="30">
      <c r="A15" s="144">
        <v>14</v>
      </c>
      <c r="B15" s="144" t="s">
        <v>763</v>
      </c>
      <c r="C15" s="144">
        <v>26</v>
      </c>
      <c r="D15" s="144" t="s">
        <v>764</v>
      </c>
      <c r="E15" s="144" t="s">
        <v>207</v>
      </c>
      <c r="F15" s="166" t="str">
        <f>'себестоимость прямая'!B26</f>
        <v>Демонтаж стяжек: асфальтобетон средняя толщ 50 мм</v>
      </c>
      <c r="G15" s="144" t="s">
        <v>765</v>
      </c>
      <c r="H15" s="167">
        <f>'себестоимость прямая'!G26</f>
        <v>6457600</v>
      </c>
      <c r="I15" s="364">
        <v>1</v>
      </c>
      <c r="J15" s="167">
        <f>H15*I15*FIN_0_Параметры!$B$10</f>
        <v>1420672</v>
      </c>
      <c r="K15" s="169">
        <f t="shared" si="0"/>
        <v>7878272</v>
      </c>
      <c r="L15" s="169">
        <f t="shared" si="1"/>
        <v>6457600</v>
      </c>
      <c r="M15" s="144" t="s">
        <v>766</v>
      </c>
    </row>
    <row r="16" spans="1:13" ht="30">
      <c r="A16" s="144">
        <v>15</v>
      </c>
      <c r="B16" s="144" t="s">
        <v>763</v>
      </c>
      <c r="C16" s="144">
        <v>27</v>
      </c>
      <c r="D16" s="144" t="s">
        <v>764</v>
      </c>
      <c r="E16" s="144" t="s">
        <v>207</v>
      </c>
      <c r="F16" s="166" t="str">
        <f>'себестоимость прямая'!B27</f>
        <v>Демонтаж рулонных материалов из рубероида средняя толщ 5 мм</v>
      </c>
      <c r="G16" s="144" t="s">
        <v>765</v>
      </c>
      <c r="H16" s="167">
        <f>'себестоимость прямая'!G27</f>
        <v>3228800</v>
      </c>
      <c r="I16" s="364">
        <v>1</v>
      </c>
      <c r="J16" s="167">
        <f>H16*I16*FIN_0_Параметры!$B$10</f>
        <v>710336</v>
      </c>
      <c r="K16" s="169">
        <f t="shared" si="0"/>
        <v>3939136</v>
      </c>
      <c r="L16" s="169">
        <f t="shared" si="1"/>
        <v>3228800</v>
      </c>
      <c r="M16" s="144" t="s">
        <v>766</v>
      </c>
    </row>
    <row r="17" spans="1:13" ht="30">
      <c r="A17" s="144">
        <v>16</v>
      </c>
      <c r="B17" s="144" t="s">
        <v>763</v>
      </c>
      <c r="C17" s="144">
        <v>28</v>
      </c>
      <c r="D17" s="144" t="s">
        <v>764</v>
      </c>
      <c r="E17" s="144" t="s">
        <v>207</v>
      </c>
      <c r="F17" s="166" t="str">
        <f>'себестоимость прямая'!B28</f>
        <v>Демонтаж рулонных материалов из пергамина средняя толщ  1 мм</v>
      </c>
      <c r="G17" s="144" t="s">
        <v>765</v>
      </c>
      <c r="H17" s="167">
        <f>'себестоимость прямая'!G28</f>
        <v>1452960</v>
      </c>
      <c r="I17" s="364">
        <v>1</v>
      </c>
      <c r="J17" s="167">
        <f>H17*I17*FIN_0_Параметры!$B$10</f>
        <v>319651.20000000001</v>
      </c>
      <c r="K17" s="169">
        <f t="shared" si="0"/>
        <v>1772611.2</v>
      </c>
      <c r="L17" s="169">
        <f t="shared" si="1"/>
        <v>1452960</v>
      </c>
      <c r="M17" s="144" t="s">
        <v>766</v>
      </c>
    </row>
    <row r="18" spans="1:13" ht="30">
      <c r="A18" s="144">
        <v>17</v>
      </c>
      <c r="B18" s="144" t="s">
        <v>763</v>
      </c>
      <c r="C18" s="144">
        <v>29</v>
      </c>
      <c r="D18" s="144" t="s">
        <v>764</v>
      </c>
      <c r="E18" s="144" t="s">
        <v>207</v>
      </c>
      <c r="F18" s="166" t="str">
        <f>'себестоимость прямая'!B29</f>
        <v>Демонтаж утеплителя из керамзита средняя толщ 52,5 мм</v>
      </c>
      <c r="G18" s="144" t="s">
        <v>765</v>
      </c>
      <c r="H18" s="167">
        <f>'себестоимость прямая'!G29</f>
        <v>2663760</v>
      </c>
      <c r="I18" s="364">
        <v>1</v>
      </c>
      <c r="J18" s="167">
        <f>H18*I18*FIN_0_Параметры!$B$10</f>
        <v>586027.19999999995</v>
      </c>
      <c r="K18" s="169">
        <f t="shared" si="0"/>
        <v>3249787.2</v>
      </c>
      <c r="L18" s="169">
        <f t="shared" si="1"/>
        <v>2663760</v>
      </c>
      <c r="M18" s="144" t="s">
        <v>766</v>
      </c>
    </row>
    <row r="19" spans="1:13" ht="30">
      <c r="A19" s="144">
        <v>18</v>
      </c>
      <c r="B19" s="144" t="s">
        <v>763</v>
      </c>
      <c r="C19" s="144">
        <v>30</v>
      </c>
      <c r="D19" s="144" t="s">
        <v>764</v>
      </c>
      <c r="E19" s="144" t="s">
        <v>207</v>
      </c>
      <c r="F19" s="166" t="str">
        <f>'себестоимость прямая'!B30</f>
        <v>Демонтаж битумной изоляции средняя толщ  6,5 мм</v>
      </c>
      <c r="G19" s="144" t="s">
        <v>765</v>
      </c>
      <c r="H19" s="167">
        <f>'себестоимость прямая'!G30</f>
        <v>5246800</v>
      </c>
      <c r="I19" s="364">
        <v>1</v>
      </c>
      <c r="J19" s="167">
        <f>H19*I19*FIN_0_Параметры!$B$10</f>
        <v>1154296</v>
      </c>
      <c r="K19" s="169">
        <f t="shared" si="0"/>
        <v>6401096</v>
      </c>
      <c r="L19" s="169">
        <f t="shared" si="1"/>
        <v>5246800</v>
      </c>
      <c r="M19" s="144" t="s">
        <v>766</v>
      </c>
    </row>
    <row r="20" spans="1:13" ht="30">
      <c r="A20" s="144">
        <v>19</v>
      </c>
      <c r="B20" s="144" t="s">
        <v>763</v>
      </c>
      <c r="C20" s="144">
        <v>31</v>
      </c>
      <c r="D20" s="144" t="s">
        <v>764</v>
      </c>
      <c r="E20" s="144" t="s">
        <v>207</v>
      </c>
      <c r="F20" s="166" t="str">
        <f>'себестоимость прямая'!B31</f>
        <v>Демонтаж рулонных материалов из пергамина средняя толщ  0,5 мм</v>
      </c>
      <c r="G20" s="144" t="s">
        <v>765</v>
      </c>
      <c r="H20" s="167">
        <f>'себестоимость прямая'!G31</f>
        <v>968640</v>
      </c>
      <c r="I20" s="364">
        <v>1</v>
      </c>
      <c r="J20" s="167">
        <f>H20*I20*FIN_0_Параметры!$B$10</f>
        <v>213100.79999999999</v>
      </c>
      <c r="K20" s="169">
        <f t="shared" si="0"/>
        <v>1181740.8</v>
      </c>
      <c r="L20" s="169">
        <f t="shared" si="1"/>
        <v>968640</v>
      </c>
      <c r="M20" s="144" t="s">
        <v>766</v>
      </c>
    </row>
    <row r="21" spans="1:13" ht="30">
      <c r="A21" s="144">
        <v>20</v>
      </c>
      <c r="B21" s="144" t="s">
        <v>763</v>
      </c>
      <c r="C21" s="144">
        <v>32</v>
      </c>
      <c r="D21" s="144" t="s">
        <v>764</v>
      </c>
      <c r="E21" s="144" t="s">
        <v>207</v>
      </c>
      <c r="F21" s="166" t="str">
        <f>'себестоимость прямая'!B32</f>
        <v xml:space="preserve">Демонтаж воронок водосточных </v>
      </c>
      <c r="G21" s="144" t="s">
        <v>765</v>
      </c>
      <c r="H21" s="167">
        <f>'себестоимость прямая'!G32</f>
        <v>180000</v>
      </c>
      <c r="I21" s="364">
        <v>1</v>
      </c>
      <c r="J21" s="167">
        <f>H21*I21*FIN_0_Параметры!$B$10</f>
        <v>39600</v>
      </c>
      <c r="K21" s="169">
        <f t="shared" si="0"/>
        <v>219600</v>
      </c>
      <c r="L21" s="169">
        <f t="shared" si="1"/>
        <v>180000</v>
      </c>
      <c r="M21" s="144" t="s">
        <v>766</v>
      </c>
    </row>
    <row r="22" spans="1:13" ht="30">
      <c r="A22" s="144">
        <v>21</v>
      </c>
      <c r="B22" s="144" t="s">
        <v>763</v>
      </c>
      <c r="C22" s="144">
        <v>34</v>
      </c>
      <c r="D22" s="144" t="s">
        <v>764</v>
      </c>
      <c r="E22" s="144" t="s">
        <v>215</v>
      </c>
      <c r="F22" s="166" t="str">
        <f>'себестоимость прямая'!B34</f>
        <v>Демонтаж покрытий парапета из листовой оцинкованной стали</v>
      </c>
      <c r="G22" s="144" t="s">
        <v>765</v>
      </c>
      <c r="H22" s="167">
        <f>'себестоимость прямая'!G34</f>
        <v>100440</v>
      </c>
      <c r="I22" s="364">
        <v>1</v>
      </c>
      <c r="J22" s="167">
        <f>H22*I22*FIN_0_Параметры!$B$10</f>
        <v>22096.799999999999</v>
      </c>
      <c r="K22" s="169">
        <f t="shared" si="0"/>
        <v>122536.8</v>
      </c>
      <c r="L22" s="169">
        <f t="shared" si="1"/>
        <v>100440</v>
      </c>
      <c r="M22" s="144" t="s">
        <v>766</v>
      </c>
    </row>
    <row r="23" spans="1:13" ht="30">
      <c r="A23" s="144">
        <v>22</v>
      </c>
      <c r="B23" s="144" t="s">
        <v>763</v>
      </c>
      <c r="C23" s="144">
        <v>36</v>
      </c>
      <c r="D23" s="144" t="s">
        <v>764</v>
      </c>
      <c r="E23" s="144" t="s">
        <v>217</v>
      </c>
      <c r="F23" s="166" t="str">
        <f>'себестоимость прямая'!B36</f>
        <v>Устройство выравнивающих стяжек: цементно-песчаных толщиной 20мм</v>
      </c>
      <c r="G23" s="144" t="s">
        <v>765</v>
      </c>
      <c r="H23" s="167">
        <f>'себестоимость прямая'!G36</f>
        <v>7838397.5</v>
      </c>
      <c r="I23" s="364">
        <v>1</v>
      </c>
      <c r="J23" s="167">
        <f>H23*I23*FIN_0_Параметры!$B$10</f>
        <v>1724447.45</v>
      </c>
      <c r="K23" s="169">
        <f t="shared" si="0"/>
        <v>9562844.9499999993</v>
      </c>
      <c r="L23" s="169">
        <f t="shared" si="1"/>
        <v>7838397.5</v>
      </c>
      <c r="M23" s="144" t="s">
        <v>766</v>
      </c>
    </row>
    <row r="24" spans="1:13" ht="30">
      <c r="A24" s="144">
        <v>23</v>
      </c>
      <c r="B24" s="144" t="s">
        <v>763</v>
      </c>
      <c r="C24" s="144">
        <v>37</v>
      </c>
      <c r="D24" s="144" t="s">
        <v>764</v>
      </c>
      <c r="E24" s="144" t="s">
        <v>217</v>
      </c>
      <c r="F24" s="166" t="str">
        <f>'себестоимость прямая'!B37</f>
        <v>Огрунтовка оснований из бетона под водоизоляционный кровельный ковер</v>
      </c>
      <c r="G24" s="144" t="s">
        <v>765</v>
      </c>
      <c r="H24" s="167">
        <f>'себестоимость прямая'!G37</f>
        <v>2173103.7663934426</v>
      </c>
      <c r="I24" s="364">
        <v>1</v>
      </c>
      <c r="J24" s="167">
        <f>H24*I24*FIN_0_Параметры!$B$10</f>
        <v>478082.82860655739</v>
      </c>
      <c r="K24" s="169">
        <f t="shared" si="0"/>
        <v>2651186.5950000002</v>
      </c>
      <c r="L24" s="169">
        <f t="shared" si="1"/>
        <v>2173103.7663934426</v>
      </c>
      <c r="M24" s="144" t="s">
        <v>766</v>
      </c>
    </row>
    <row r="25" spans="1:13" ht="30">
      <c r="A25" s="144">
        <v>24</v>
      </c>
      <c r="B25" s="144" t="s">
        <v>763</v>
      </c>
      <c r="C25" s="144">
        <v>38</v>
      </c>
      <c r="D25" s="144" t="s">
        <v>764</v>
      </c>
      <c r="E25" s="144" t="s">
        <v>217</v>
      </c>
      <c r="F25" s="166" t="str">
        <f>'себестоимость прямая'!B38</f>
        <v>Устройство пароизоляции: прокладочной в один слой</v>
      </c>
      <c r="G25" s="144" t="s">
        <v>765</v>
      </c>
      <c r="H25" s="167">
        <f>'себестоимость прямая'!G38</f>
        <v>8647723.8528688513</v>
      </c>
      <c r="I25" s="364">
        <v>1</v>
      </c>
      <c r="J25" s="167">
        <f>H25*I25*FIN_0_Параметры!$B$10</f>
        <v>1902499.2476311473</v>
      </c>
      <c r="K25" s="169">
        <f t="shared" si="0"/>
        <v>10550223.100499999</v>
      </c>
      <c r="L25" s="169">
        <f t="shared" si="1"/>
        <v>8647723.8528688513</v>
      </c>
      <c r="M25" s="144" t="s">
        <v>766</v>
      </c>
    </row>
    <row r="26" spans="1:13" ht="30">
      <c r="A26" s="144">
        <v>25</v>
      </c>
      <c r="B26" s="144" t="s">
        <v>763</v>
      </c>
      <c r="C26" s="144">
        <v>39</v>
      </c>
      <c r="D26" s="144" t="s">
        <v>764</v>
      </c>
      <c r="E26" s="144" t="s">
        <v>217</v>
      </c>
      <c r="F26" s="166" t="str">
        <f>'себестоимость прямая'!B39</f>
        <v>Утепление покрытий плитами на битумной мастике первый слой</v>
      </c>
      <c r="G26" s="144" t="s">
        <v>765</v>
      </c>
      <c r="H26" s="167">
        <f>'себестоимость прямая'!G39</f>
        <v>29034470.418475412</v>
      </c>
      <c r="I26" s="364">
        <v>1</v>
      </c>
      <c r="J26" s="167">
        <f>H26*I26*FIN_0_Параметры!$B$10</f>
        <v>6387583.4920645906</v>
      </c>
      <c r="K26" s="169">
        <f t="shared" si="0"/>
        <v>35422053.91054</v>
      </c>
      <c r="L26" s="169">
        <f t="shared" si="1"/>
        <v>29034470.418475412</v>
      </c>
      <c r="M26" s="144" t="s">
        <v>766</v>
      </c>
    </row>
    <row r="27" spans="1:13" ht="30">
      <c r="A27" s="144">
        <v>26</v>
      </c>
      <c r="B27" s="144" t="s">
        <v>763</v>
      </c>
      <c r="C27" s="144">
        <v>40</v>
      </c>
      <c r="D27" s="144" t="s">
        <v>764</v>
      </c>
      <c r="E27" s="144" t="s">
        <v>217</v>
      </c>
      <c r="F27" s="166" t="str">
        <f>'себестоимость прямая'!B40</f>
        <v>Клеевой слой</v>
      </c>
      <c r="G27" s="144" t="s">
        <v>765</v>
      </c>
      <c r="H27" s="167">
        <f>'себестоимость прямая'!G40</f>
        <v>5557899.540983608</v>
      </c>
      <c r="I27" s="364">
        <v>1</v>
      </c>
      <c r="J27" s="167">
        <f>H27*I27*FIN_0_Параметры!$B$10</f>
        <v>1222737.8990163938</v>
      </c>
      <c r="K27" s="169">
        <f t="shared" si="0"/>
        <v>6780637.4400000013</v>
      </c>
      <c r="L27" s="169">
        <f t="shared" si="1"/>
        <v>5557899.540983608</v>
      </c>
      <c r="M27" s="144" t="s">
        <v>766</v>
      </c>
    </row>
    <row r="28" spans="1:13" ht="30">
      <c r="A28" s="144">
        <v>27</v>
      </c>
      <c r="B28" s="144" t="s">
        <v>763</v>
      </c>
      <c r="C28" s="144">
        <v>41</v>
      </c>
      <c r="D28" s="144" t="s">
        <v>764</v>
      </c>
      <c r="E28" s="144" t="s">
        <v>217</v>
      </c>
      <c r="F28" s="166" t="str">
        <f>'себестоимость прямая'!B41</f>
        <v>Утепление покрытий плитами второй слой</v>
      </c>
      <c r="G28" s="144" t="s">
        <v>765</v>
      </c>
      <c r="H28" s="167">
        <f>'себестоимость прямая'!G41</f>
        <v>29885260.628655739</v>
      </c>
      <c r="I28" s="364">
        <v>1</v>
      </c>
      <c r="J28" s="167">
        <f>H28*I28*FIN_0_Параметры!$B$10</f>
        <v>6574757.3383042626</v>
      </c>
      <c r="K28" s="169">
        <f t="shared" si="0"/>
        <v>36460017.966959998</v>
      </c>
      <c r="L28" s="169">
        <f t="shared" si="1"/>
        <v>29885260.628655739</v>
      </c>
      <c r="M28" s="144" t="s">
        <v>766</v>
      </c>
    </row>
    <row r="29" spans="1:13" ht="30">
      <c r="A29" s="144">
        <v>28</v>
      </c>
      <c r="B29" s="144" t="s">
        <v>763</v>
      </c>
      <c r="C29" s="144">
        <v>42</v>
      </c>
      <c r="D29" s="144" t="s">
        <v>764</v>
      </c>
      <c r="E29" s="144" t="s">
        <v>217</v>
      </c>
      <c r="F29" s="166" t="str">
        <f>'себестоимость прямая'!B42</f>
        <v>Утепление покрытий плитами на битумной мастике первый слой</v>
      </c>
      <c r="G29" s="144" t="s">
        <v>765</v>
      </c>
      <c r="H29" s="167">
        <f>'себестоимость прямая'!G42</f>
        <v>29034470.418475412</v>
      </c>
      <c r="I29" s="364">
        <v>1</v>
      </c>
      <c r="J29" s="167">
        <f>H29*I29*FIN_0_Параметры!$B$10</f>
        <v>6387583.4920645906</v>
      </c>
      <c r="K29" s="169">
        <f t="shared" si="0"/>
        <v>35422053.91054</v>
      </c>
      <c r="L29" s="169">
        <f t="shared" si="1"/>
        <v>29034470.418475412</v>
      </c>
      <c r="M29" s="144" t="s">
        <v>766</v>
      </c>
    </row>
    <row r="30" spans="1:13" ht="30">
      <c r="A30" s="144">
        <v>29</v>
      </c>
      <c r="B30" s="144" t="s">
        <v>763</v>
      </c>
      <c r="C30" s="144">
        <v>43</v>
      </c>
      <c r="D30" s="144" t="s">
        <v>764</v>
      </c>
      <c r="E30" s="144" t="s">
        <v>217</v>
      </c>
      <c r="F30" s="166" t="str">
        <f>'себестоимость прямая'!B43</f>
        <v>Устройство кровель плоских из наплавляемых материалов: первый слой</v>
      </c>
      <c r="G30" s="144" t="s">
        <v>765</v>
      </c>
      <c r="H30" s="167">
        <f>'себестоимость прямая'!G43</f>
        <v>12063953.951610655</v>
      </c>
      <c r="I30" s="364">
        <v>1</v>
      </c>
      <c r="J30" s="167">
        <f>H30*I30*FIN_0_Параметры!$B$10</f>
        <v>2654069.869354344</v>
      </c>
      <c r="K30" s="169">
        <f t="shared" si="0"/>
        <v>14718023.820964999</v>
      </c>
      <c r="L30" s="169">
        <f t="shared" si="1"/>
        <v>12063953.951610655</v>
      </c>
      <c r="M30" s="144" t="s">
        <v>766</v>
      </c>
    </row>
    <row r="31" spans="1:13" ht="30">
      <c r="A31" s="144">
        <v>30</v>
      </c>
      <c r="B31" s="144" t="s">
        <v>763</v>
      </c>
      <c r="C31" s="144">
        <v>44</v>
      </c>
      <c r="D31" s="144" t="s">
        <v>764</v>
      </c>
      <c r="E31" s="144" t="s">
        <v>217</v>
      </c>
      <c r="F31" s="166" t="str">
        <f>'себестоимость прямая'!B44</f>
        <v>Устройство кровель плоских из наплавляемых материалов: второй слой</v>
      </c>
      <c r="G31" s="144" t="s">
        <v>765</v>
      </c>
      <c r="H31" s="167">
        <f>'себестоимость прямая'!G44</f>
        <v>14329265.421438526</v>
      </c>
      <c r="I31" s="364">
        <v>1</v>
      </c>
      <c r="J31" s="167">
        <f>H31*I31*FIN_0_Параметры!$B$10</f>
        <v>3152438.3927164758</v>
      </c>
      <c r="K31" s="169">
        <f t="shared" si="0"/>
        <v>17481703.814155001</v>
      </c>
      <c r="L31" s="169">
        <f t="shared" si="1"/>
        <v>14329265.421438526</v>
      </c>
      <c r="M31" s="144" t="s">
        <v>766</v>
      </c>
    </row>
    <row r="32" spans="1:13" ht="30">
      <c r="A32" s="144">
        <v>31</v>
      </c>
      <c r="B32" s="144" t="s">
        <v>763</v>
      </c>
      <c r="C32" s="144">
        <v>46</v>
      </c>
      <c r="D32" s="144" t="s">
        <v>764</v>
      </c>
      <c r="E32" s="144" t="s">
        <v>236</v>
      </c>
      <c r="F32" s="166" t="str">
        <f>'себестоимость прямая'!B46</f>
        <v>Утепление покрытий: керамзитом</v>
      </c>
      <c r="G32" s="144" t="s">
        <v>765</v>
      </c>
      <c r="H32" s="167">
        <f>'себестоимость прямая'!G46</f>
        <v>3425344</v>
      </c>
      <c r="I32" s="364">
        <v>1</v>
      </c>
      <c r="J32" s="167">
        <f>H32*I32*FIN_0_Параметры!$B$10</f>
        <v>753575.68</v>
      </c>
      <c r="K32" s="169">
        <f t="shared" si="0"/>
        <v>4178919.68</v>
      </c>
      <c r="L32" s="169">
        <f t="shared" si="1"/>
        <v>3425344</v>
      </c>
      <c r="M32" s="144" t="s">
        <v>766</v>
      </c>
    </row>
    <row r="33" spans="1:13" ht="30">
      <c r="A33" s="144">
        <v>32</v>
      </c>
      <c r="B33" s="144" t="s">
        <v>763</v>
      </c>
      <c r="C33" s="144">
        <v>47</v>
      </c>
      <c r="D33" s="144" t="s">
        <v>764</v>
      </c>
      <c r="E33" s="144" t="s">
        <v>236</v>
      </c>
      <c r="F33" s="166" t="str">
        <f>'себестоимость прямая'!B47</f>
        <v>Армирование подстилающих слоев</v>
      </c>
      <c r="G33" s="144" t="s">
        <v>765</v>
      </c>
      <c r="H33" s="167">
        <f>'себестоимость прямая'!G47</f>
        <v>950848</v>
      </c>
      <c r="I33" s="364">
        <v>1</v>
      </c>
      <c r="J33" s="167">
        <f>H33*I33*FIN_0_Параметры!$B$10</f>
        <v>209186.56</v>
      </c>
      <c r="K33" s="169">
        <f t="shared" si="0"/>
        <v>1160034.56</v>
      </c>
      <c r="L33" s="169">
        <f t="shared" si="1"/>
        <v>950848</v>
      </c>
      <c r="M33" s="144" t="s">
        <v>766</v>
      </c>
    </row>
    <row r="34" spans="1:13" ht="30">
      <c r="A34" s="144">
        <v>33</v>
      </c>
      <c r="B34" s="144" t="s">
        <v>763</v>
      </c>
      <c r="C34" s="144">
        <v>49</v>
      </c>
      <c r="D34" s="144" t="s">
        <v>764</v>
      </c>
      <c r="E34" s="144" t="s">
        <v>242</v>
      </c>
      <c r="F34" s="166" t="str">
        <f>'себестоимость прямая'!B49</f>
        <v>Устройство выравнивающих стяжек: цементно-песчаных толщиной 20мм</v>
      </c>
      <c r="G34" s="144" t="s">
        <v>765</v>
      </c>
      <c r="H34" s="167">
        <f>'себестоимость прямая'!G49</f>
        <v>134031.6</v>
      </c>
      <c r="I34" s="364">
        <v>1</v>
      </c>
      <c r="J34" s="167">
        <f>H34*I34*FIN_0_Параметры!$B$10</f>
        <v>29486.952000000001</v>
      </c>
      <c r="K34" s="169">
        <f t="shared" ref="K34:K65" si="2">H34+J34</f>
        <v>163518.552</v>
      </c>
      <c r="L34" s="169">
        <f t="shared" ref="L34:L57" si="3">H34</f>
        <v>134031.6</v>
      </c>
      <c r="M34" s="144" t="s">
        <v>766</v>
      </c>
    </row>
    <row r="35" spans="1:13" ht="30">
      <c r="A35" s="144">
        <v>34</v>
      </c>
      <c r="B35" s="144" t="s">
        <v>763</v>
      </c>
      <c r="C35" s="144">
        <v>50</v>
      </c>
      <c r="D35" s="144" t="s">
        <v>764</v>
      </c>
      <c r="E35" s="144" t="s">
        <v>242</v>
      </c>
      <c r="F35" s="166" t="str">
        <f>'себестоимость прямая'!B50</f>
        <v>Устройство примыканий кровель из наплавляемых материалов к парапетам</v>
      </c>
      <c r="G35" s="144" t="s">
        <v>765</v>
      </c>
      <c r="H35" s="167">
        <f>'себестоимость прямая'!G50</f>
        <v>1397901.6</v>
      </c>
      <c r="I35" s="364">
        <v>1</v>
      </c>
      <c r="J35" s="167">
        <f>H35*I35*FIN_0_Параметры!$B$10</f>
        <v>307538.35200000001</v>
      </c>
      <c r="K35" s="169">
        <f t="shared" si="2"/>
        <v>1705439.952</v>
      </c>
      <c r="L35" s="169">
        <f t="shared" si="3"/>
        <v>1397901.6</v>
      </c>
      <c r="M35" s="144" t="s">
        <v>766</v>
      </c>
    </row>
    <row r="36" spans="1:13" ht="30">
      <c r="A36" s="144">
        <v>35</v>
      </c>
      <c r="B36" s="144" t="s">
        <v>763</v>
      </c>
      <c r="C36" s="144">
        <v>51</v>
      </c>
      <c r="D36" s="144" t="s">
        <v>764</v>
      </c>
      <c r="E36" s="144" t="s">
        <v>242</v>
      </c>
      <c r="F36" s="166" t="str">
        <f>'себестоимость прямая'!B51</f>
        <v>Устройство отливов из листовой стали</v>
      </c>
      <c r="G36" s="144" t="s">
        <v>765</v>
      </c>
      <c r="H36" s="167">
        <f>'себестоимость прямая'!G51</f>
        <v>810216</v>
      </c>
      <c r="I36" s="364">
        <v>1</v>
      </c>
      <c r="J36" s="167">
        <f>H36*I36*FIN_0_Параметры!$B$10</f>
        <v>178247.52</v>
      </c>
      <c r="K36" s="169">
        <f t="shared" si="2"/>
        <v>988463.52</v>
      </c>
      <c r="L36" s="169">
        <f t="shared" si="3"/>
        <v>810216</v>
      </c>
      <c r="M36" s="144" t="s">
        <v>766</v>
      </c>
    </row>
    <row r="37" spans="1:13" ht="45">
      <c r="A37" s="144">
        <v>36</v>
      </c>
      <c r="B37" s="144" t="s">
        <v>763</v>
      </c>
      <c r="C37" s="144">
        <v>53</v>
      </c>
      <c r="D37" s="144" t="s">
        <v>764</v>
      </c>
      <c r="E37" s="144" t="s">
        <v>247</v>
      </c>
      <c r="F37" s="166" t="str">
        <f>'себестоимость прямая'!B53</f>
        <v>Установка воронок водосточных с выравниванием основания</v>
      </c>
      <c r="G37" s="144" t="s">
        <v>765</v>
      </c>
      <c r="H37" s="167">
        <f>'себестоимость прямая'!G53</f>
        <v>1044737.7049180329</v>
      </c>
      <c r="I37" s="364">
        <v>1</v>
      </c>
      <c r="J37" s="167">
        <f>H37*I37*FIN_0_Параметры!$B$10</f>
        <v>229842.29508196723</v>
      </c>
      <c r="K37" s="169">
        <f t="shared" si="2"/>
        <v>1274580</v>
      </c>
      <c r="L37" s="169">
        <f t="shared" si="3"/>
        <v>1044737.7049180329</v>
      </c>
      <c r="M37" s="144" t="s">
        <v>766</v>
      </c>
    </row>
    <row r="38" spans="1:13" ht="45">
      <c r="A38" s="144">
        <v>37</v>
      </c>
      <c r="B38" s="144" t="s">
        <v>763</v>
      </c>
      <c r="C38" s="144">
        <v>54</v>
      </c>
      <c r="D38" s="144" t="s">
        <v>764</v>
      </c>
      <c r="E38" s="144" t="s">
        <v>247</v>
      </c>
      <c r="F38" s="166" t="str">
        <f>'себестоимость прямая'!B54</f>
        <v>Утепление примыканий плитами: на битумной мастике в один слой</v>
      </c>
      <c r="G38" s="144" t="s">
        <v>765</v>
      </c>
      <c r="H38" s="167">
        <f>'себестоимость прямая'!G54</f>
        <v>71678.590163934423</v>
      </c>
      <c r="I38" s="364">
        <v>1</v>
      </c>
      <c r="J38" s="167">
        <f>H38*I38*FIN_0_Параметры!$B$10</f>
        <v>15769.289836065573</v>
      </c>
      <c r="K38" s="169">
        <f t="shared" si="2"/>
        <v>87447.87999999999</v>
      </c>
      <c r="L38" s="169">
        <f t="shared" si="3"/>
        <v>71678.590163934423</v>
      </c>
      <c r="M38" s="144" t="s">
        <v>766</v>
      </c>
    </row>
    <row r="39" spans="1:13" ht="45">
      <c r="A39" s="144">
        <v>38</v>
      </c>
      <c r="B39" s="144" t="s">
        <v>763</v>
      </c>
      <c r="C39" s="144">
        <v>55</v>
      </c>
      <c r="D39" s="144" t="s">
        <v>764</v>
      </c>
      <c r="E39" s="144" t="s">
        <v>247</v>
      </c>
      <c r="F39" s="166" t="str">
        <f>'себестоимость прямая'!B55</f>
        <v>Устройство примыканий к воронкам из наплавляемых материалов</v>
      </c>
      <c r="G39" s="144" t="s">
        <v>765</v>
      </c>
      <c r="H39" s="167">
        <f>'себестоимость прямая'!G55</f>
        <v>56453.503844262297</v>
      </c>
      <c r="I39" s="364">
        <v>1</v>
      </c>
      <c r="J39" s="167">
        <f>H39*I39*FIN_0_Параметры!$B$10</f>
        <v>12419.770845737705</v>
      </c>
      <c r="K39" s="169">
        <f t="shared" si="2"/>
        <v>68873.274690000006</v>
      </c>
      <c r="L39" s="169">
        <f t="shared" si="3"/>
        <v>56453.503844262297</v>
      </c>
      <c r="M39" s="144" t="s">
        <v>766</v>
      </c>
    </row>
    <row r="40" spans="1:13" ht="30">
      <c r="A40" s="144">
        <v>39</v>
      </c>
      <c r="B40" s="144" t="s">
        <v>763</v>
      </c>
      <c r="C40" s="144">
        <v>58</v>
      </c>
      <c r="D40" s="144" t="s">
        <v>764</v>
      </c>
      <c r="E40" s="144" t="s">
        <v>199</v>
      </c>
      <c r="F40" s="166" t="str">
        <f>'себестоимость прямая'!B58</f>
        <v>Демонтаж стекол</v>
      </c>
      <c r="G40" s="144" t="s">
        <v>765</v>
      </c>
      <c r="H40" s="167">
        <f>'себестоимость прямая'!G58</f>
        <v>2073600</v>
      </c>
      <c r="I40" s="364">
        <v>1</v>
      </c>
      <c r="J40" s="167">
        <f>H40*I40*FIN_0_Параметры!$B$10</f>
        <v>456192</v>
      </c>
      <c r="K40" s="169">
        <f t="shared" si="2"/>
        <v>2529792</v>
      </c>
      <c r="L40" s="169">
        <f t="shared" si="3"/>
        <v>2073600</v>
      </c>
      <c r="M40" s="144" t="s">
        <v>766</v>
      </c>
    </row>
    <row r="41" spans="1:13" ht="30">
      <c r="A41" s="144">
        <v>40</v>
      </c>
      <c r="B41" s="144" t="s">
        <v>763</v>
      </c>
      <c r="C41" s="144">
        <v>59</v>
      </c>
      <c r="D41" s="144" t="s">
        <v>764</v>
      </c>
      <c r="E41" s="144" t="s">
        <v>199</v>
      </c>
      <c r="F41" s="166" t="str">
        <f>'себестоимость прямая'!B59</f>
        <v>Демонтаж м/к рам фонаря</v>
      </c>
      <c r="G41" s="144" t="s">
        <v>765</v>
      </c>
      <c r="H41" s="167">
        <f>'себестоимость прямая'!G59</f>
        <v>2112000</v>
      </c>
      <c r="I41" s="364">
        <v>1</v>
      </c>
      <c r="J41" s="167">
        <f>H41*I41*FIN_0_Параметры!$B$10</f>
        <v>464640</v>
      </c>
      <c r="K41" s="169">
        <f t="shared" si="2"/>
        <v>2576640</v>
      </c>
      <c r="L41" s="169">
        <f t="shared" si="3"/>
        <v>2112000</v>
      </c>
      <c r="M41" s="144" t="s">
        <v>766</v>
      </c>
    </row>
    <row r="42" spans="1:13" ht="30">
      <c r="A42" s="144">
        <v>41</v>
      </c>
      <c r="B42" s="144" t="s">
        <v>763</v>
      </c>
      <c r="C42" s="144">
        <v>61</v>
      </c>
      <c r="D42" s="144" t="s">
        <v>764</v>
      </c>
      <c r="E42" s="144" t="s">
        <v>257</v>
      </c>
      <c r="F42" s="166" t="str">
        <f>'себестоимость прямая'!B61</f>
        <v>Монтаж каркаса фонаря</v>
      </c>
      <c r="G42" s="144" t="s">
        <v>765</v>
      </c>
      <c r="H42" s="167">
        <f>'себестоимость прямая'!G61</f>
        <v>16488000</v>
      </c>
      <c r="I42" s="364">
        <v>1</v>
      </c>
      <c r="J42" s="167">
        <f>H42*I42*FIN_0_Параметры!$B$10</f>
        <v>3627360</v>
      </c>
      <c r="K42" s="169">
        <f t="shared" si="2"/>
        <v>20115360</v>
      </c>
      <c r="L42" s="169">
        <f t="shared" si="3"/>
        <v>16488000</v>
      </c>
      <c r="M42" s="144" t="s">
        <v>766</v>
      </c>
    </row>
    <row r="43" spans="1:13" ht="30">
      <c r="A43" s="144">
        <v>42</v>
      </c>
      <c r="B43" s="144" t="s">
        <v>763</v>
      </c>
      <c r="C43" s="144">
        <v>63</v>
      </c>
      <c r="D43" s="144" t="s">
        <v>764</v>
      </c>
      <c r="E43" s="144" t="s">
        <v>260</v>
      </c>
      <c r="F43" s="166" t="str">
        <f>'себестоимость прямая'!B63</f>
        <v xml:space="preserve">Монтаж фасонных элементов </v>
      </c>
      <c r="G43" s="144" t="s">
        <v>765</v>
      </c>
      <c r="H43" s="167">
        <f>'себестоимость прямая'!G63</f>
        <v>815050</v>
      </c>
      <c r="I43" s="364">
        <v>1</v>
      </c>
      <c r="J43" s="167">
        <f>H43*I43*FIN_0_Параметры!$B$10</f>
        <v>179311</v>
      </c>
      <c r="K43" s="169">
        <f t="shared" si="2"/>
        <v>994361</v>
      </c>
      <c r="L43" s="169">
        <f t="shared" si="3"/>
        <v>815050</v>
      </c>
      <c r="M43" s="144" t="s">
        <v>766</v>
      </c>
    </row>
    <row r="44" spans="1:13" ht="30">
      <c r="A44" s="144">
        <v>43</v>
      </c>
      <c r="B44" s="144" t="s">
        <v>763</v>
      </c>
      <c r="C44" s="144">
        <v>65</v>
      </c>
      <c r="D44" s="144" t="s">
        <v>764</v>
      </c>
      <c r="E44" s="144" t="s">
        <v>263</v>
      </c>
      <c r="F44" s="166" t="str">
        <f>'себестоимость прямая'!B65</f>
        <v>Устройство металлической водосточной системы: воронок</v>
      </c>
      <c r="G44" s="144" t="s">
        <v>765</v>
      </c>
      <c r="H44" s="167">
        <f>'себестоимость прямая'!G65</f>
        <v>1116480</v>
      </c>
      <c r="I44" s="364">
        <v>1</v>
      </c>
      <c r="J44" s="167">
        <f>H44*I44*FIN_0_Параметры!$B$10</f>
        <v>245625.60000000001</v>
      </c>
      <c r="K44" s="169">
        <f t="shared" si="2"/>
        <v>1362105.6</v>
      </c>
      <c r="L44" s="169">
        <f t="shared" si="3"/>
        <v>1116480</v>
      </c>
      <c r="M44" s="144" t="s">
        <v>766</v>
      </c>
    </row>
    <row r="45" spans="1:13" ht="60">
      <c r="A45" s="144">
        <v>44</v>
      </c>
      <c r="B45" s="144" t="s">
        <v>767</v>
      </c>
      <c r="C45" s="144" t="s">
        <v>768</v>
      </c>
      <c r="D45" s="144" t="s">
        <v>769</v>
      </c>
      <c r="E45" s="144" t="s">
        <v>770</v>
      </c>
      <c r="F45" s="144" t="s">
        <v>770</v>
      </c>
      <c r="G45" s="144" t="s">
        <v>771</v>
      </c>
      <c r="H45" s="167">
        <f>'разовые расходы'!D8</f>
        <v>1740000</v>
      </c>
      <c r="I45" s="364">
        <v>0</v>
      </c>
      <c r="J45" s="167">
        <f>H45*I45*FIN_0_Параметры!$B$10</f>
        <v>0</v>
      </c>
      <c r="K45" s="169">
        <f t="shared" si="2"/>
        <v>1740000</v>
      </c>
      <c r="L45" s="169">
        <f t="shared" si="3"/>
        <v>1740000</v>
      </c>
      <c r="M45" s="144" t="s">
        <v>772</v>
      </c>
    </row>
    <row r="46" spans="1:13" ht="60">
      <c r="A46" s="144">
        <v>45</v>
      </c>
      <c r="B46" s="144" t="s">
        <v>767</v>
      </c>
      <c r="C46" s="144" t="s">
        <v>773</v>
      </c>
      <c r="D46" s="144" t="s">
        <v>769</v>
      </c>
      <c r="E46" s="144" t="s">
        <v>774</v>
      </c>
      <c r="F46" s="144" t="s">
        <v>774</v>
      </c>
      <c r="G46" s="144" t="s">
        <v>771</v>
      </c>
      <c r="H46" s="167">
        <f>'разовые расходы'!D22</f>
        <v>2548500</v>
      </c>
      <c r="I46" s="364">
        <v>0</v>
      </c>
      <c r="J46" s="167">
        <f>H46*I46*FIN_0_Параметры!$B$10</f>
        <v>0</v>
      </c>
      <c r="K46" s="169">
        <f t="shared" si="2"/>
        <v>2548500</v>
      </c>
      <c r="L46" s="169">
        <f t="shared" si="3"/>
        <v>2548500</v>
      </c>
      <c r="M46" s="144" t="s">
        <v>772</v>
      </c>
    </row>
    <row r="47" spans="1:13" ht="60">
      <c r="A47" s="144">
        <v>46</v>
      </c>
      <c r="B47" s="144" t="s">
        <v>767</v>
      </c>
      <c r="C47" s="144" t="s">
        <v>775</v>
      </c>
      <c r="D47" s="144" t="s">
        <v>769</v>
      </c>
      <c r="E47" s="144" t="s">
        <v>776</v>
      </c>
      <c r="F47" s="144" t="s">
        <v>776</v>
      </c>
      <c r="G47" s="144" t="s">
        <v>771</v>
      </c>
      <c r="H47" s="167">
        <f>'разовые расходы'!D31</f>
        <v>669000</v>
      </c>
      <c r="I47" s="364">
        <v>0</v>
      </c>
      <c r="J47" s="167">
        <f>H47*I47*FIN_0_Параметры!$B$10</f>
        <v>0</v>
      </c>
      <c r="K47" s="169">
        <f t="shared" si="2"/>
        <v>669000</v>
      </c>
      <c r="L47" s="169">
        <f t="shared" si="3"/>
        <v>669000</v>
      </c>
      <c r="M47" s="144" t="s">
        <v>772</v>
      </c>
    </row>
    <row r="48" spans="1:13" ht="60">
      <c r="A48" s="144">
        <v>47</v>
      </c>
      <c r="B48" s="144" t="s">
        <v>767</v>
      </c>
      <c r="C48" s="144" t="s">
        <v>777</v>
      </c>
      <c r="D48" s="144" t="s">
        <v>769</v>
      </c>
      <c r="E48" s="144" t="s">
        <v>778</v>
      </c>
      <c r="F48" s="144" t="s">
        <v>778</v>
      </c>
      <c r="G48" s="144" t="s">
        <v>771</v>
      </c>
      <c r="H48" s="167">
        <f>'разовые расходы'!D40</f>
        <v>2340875</v>
      </c>
      <c r="I48" s="364">
        <v>0</v>
      </c>
      <c r="J48" s="167">
        <f>H48*I48*FIN_0_Параметры!$B$10</f>
        <v>0</v>
      </c>
      <c r="K48" s="169">
        <f t="shared" si="2"/>
        <v>2340875</v>
      </c>
      <c r="L48" s="169">
        <f t="shared" si="3"/>
        <v>2340875</v>
      </c>
      <c r="M48" s="144" t="s">
        <v>772</v>
      </c>
    </row>
    <row r="49" spans="1:13" ht="60">
      <c r="A49" s="144">
        <v>48</v>
      </c>
      <c r="B49" s="144" t="s">
        <v>767</v>
      </c>
      <c r="C49" s="144" t="s">
        <v>779</v>
      </c>
      <c r="D49" s="144" t="s">
        <v>769</v>
      </c>
      <c r="E49" s="144" t="s">
        <v>780</v>
      </c>
      <c r="F49" s="144" t="s">
        <v>780</v>
      </c>
      <c r="G49" s="144" t="s">
        <v>771</v>
      </c>
      <c r="H49" s="167">
        <f>'разовые расходы'!D57</f>
        <v>571600</v>
      </c>
      <c r="I49" s="364">
        <v>0</v>
      </c>
      <c r="J49" s="167">
        <f>H49*I49*FIN_0_Параметры!$B$10</f>
        <v>0</v>
      </c>
      <c r="K49" s="169">
        <f t="shared" si="2"/>
        <v>571600</v>
      </c>
      <c r="L49" s="169">
        <f t="shared" si="3"/>
        <v>571600</v>
      </c>
      <c r="M49" s="144" t="s">
        <v>772</v>
      </c>
    </row>
    <row r="50" spans="1:13" ht="60">
      <c r="A50" s="144">
        <v>49</v>
      </c>
      <c r="B50" s="144" t="s">
        <v>767</v>
      </c>
      <c r="C50" s="144" t="s">
        <v>781</v>
      </c>
      <c r="D50" s="144" t="s">
        <v>769</v>
      </c>
      <c r="E50" s="144" t="s">
        <v>782</v>
      </c>
      <c r="F50" s="144" t="s">
        <v>782</v>
      </c>
      <c r="G50" s="144" t="s">
        <v>771</v>
      </c>
      <c r="H50" s="167">
        <f>'разовые расходы'!D98</f>
        <v>2259700</v>
      </c>
      <c r="I50" s="364">
        <v>0</v>
      </c>
      <c r="J50" s="167">
        <f>H50*I50*FIN_0_Параметры!$B$10</f>
        <v>0</v>
      </c>
      <c r="K50" s="169">
        <f t="shared" si="2"/>
        <v>2259700</v>
      </c>
      <c r="L50" s="169">
        <f t="shared" si="3"/>
        <v>2259700</v>
      </c>
      <c r="M50" s="144" t="s">
        <v>772</v>
      </c>
    </row>
    <row r="51" spans="1:13" ht="60">
      <c r="A51" s="144">
        <v>50</v>
      </c>
      <c r="B51" s="144" t="s">
        <v>767</v>
      </c>
      <c r="C51" s="144" t="s">
        <v>783</v>
      </c>
      <c r="D51" s="144" t="s">
        <v>769</v>
      </c>
      <c r="E51" s="144" t="s">
        <v>784</v>
      </c>
      <c r="F51" s="144" t="s">
        <v>784</v>
      </c>
      <c r="G51" s="144" t="s">
        <v>771</v>
      </c>
      <c r="H51" s="167">
        <f>'разовые расходы'!D115</f>
        <v>610650</v>
      </c>
      <c r="I51" s="364">
        <v>0</v>
      </c>
      <c r="J51" s="167">
        <f>H51*I51*FIN_0_Параметры!$B$10</f>
        <v>0</v>
      </c>
      <c r="K51" s="169">
        <f t="shared" si="2"/>
        <v>610650</v>
      </c>
      <c r="L51" s="169">
        <f t="shared" si="3"/>
        <v>610650</v>
      </c>
      <c r="M51" s="144" t="s">
        <v>772</v>
      </c>
    </row>
    <row r="52" spans="1:13" ht="60">
      <c r="A52" s="144">
        <v>51</v>
      </c>
      <c r="B52" s="144" t="s">
        <v>767</v>
      </c>
      <c r="C52" s="144" t="s">
        <v>785</v>
      </c>
      <c r="D52" s="144" t="s">
        <v>769</v>
      </c>
      <c r="E52" s="144" t="s">
        <v>385</v>
      </c>
      <c r="F52" s="144" t="s">
        <v>385</v>
      </c>
      <c r="G52" s="144" t="s">
        <v>771</v>
      </c>
      <c r="H52" s="167">
        <f>'разовые расходы'!D123</f>
        <v>200000</v>
      </c>
      <c r="I52" s="364">
        <v>0</v>
      </c>
      <c r="J52" s="167">
        <f>H52*I52*FIN_0_Параметры!$B$10</f>
        <v>0</v>
      </c>
      <c r="K52" s="169">
        <f t="shared" si="2"/>
        <v>200000</v>
      </c>
      <c r="L52" s="169">
        <f t="shared" si="3"/>
        <v>200000</v>
      </c>
      <c r="M52" s="144" t="s">
        <v>772</v>
      </c>
    </row>
    <row r="53" spans="1:13" ht="60">
      <c r="A53" s="144">
        <v>52</v>
      </c>
      <c r="B53" s="144" t="s">
        <v>767</v>
      </c>
      <c r="C53" s="144" t="s">
        <v>786</v>
      </c>
      <c r="D53" s="144" t="s">
        <v>769</v>
      </c>
      <c r="E53" s="144" t="s">
        <v>787</v>
      </c>
      <c r="F53" s="144" t="s">
        <v>787</v>
      </c>
      <c r="G53" s="144" t="s">
        <v>771</v>
      </c>
      <c r="H53" s="167">
        <f>'разовые расходы'!D139</f>
        <v>180400</v>
      </c>
      <c r="I53" s="364">
        <v>0</v>
      </c>
      <c r="J53" s="167">
        <f>H53*I53*FIN_0_Параметры!$B$10</f>
        <v>0</v>
      </c>
      <c r="K53" s="169">
        <f t="shared" si="2"/>
        <v>180400</v>
      </c>
      <c r="L53" s="169">
        <f t="shared" si="3"/>
        <v>180400</v>
      </c>
      <c r="M53" s="144" t="s">
        <v>772</v>
      </c>
    </row>
    <row r="54" spans="1:13" ht="60">
      <c r="A54" s="144">
        <v>53</v>
      </c>
      <c r="B54" s="144" t="s">
        <v>767</v>
      </c>
      <c r="C54" s="144" t="s">
        <v>788</v>
      </c>
      <c r="D54" s="144" t="s">
        <v>769</v>
      </c>
      <c r="E54" s="144" t="s">
        <v>789</v>
      </c>
      <c r="F54" s="144" t="s">
        <v>789</v>
      </c>
      <c r="G54" s="144" t="s">
        <v>771</v>
      </c>
      <c r="H54" s="167">
        <f>'разовые расходы'!D145</f>
        <v>595000</v>
      </c>
      <c r="I54" s="364">
        <v>0</v>
      </c>
      <c r="J54" s="167">
        <f>H54*I54*FIN_0_Параметры!$B$10</f>
        <v>0</v>
      </c>
      <c r="K54" s="169">
        <f t="shared" si="2"/>
        <v>595000</v>
      </c>
      <c r="L54" s="169">
        <f t="shared" si="3"/>
        <v>595000</v>
      </c>
      <c r="M54" s="144" t="s">
        <v>772</v>
      </c>
    </row>
    <row r="55" spans="1:13" ht="60">
      <c r="A55" s="144">
        <v>54</v>
      </c>
      <c r="B55" s="144" t="s">
        <v>767</v>
      </c>
      <c r="C55" s="144" t="s">
        <v>790</v>
      </c>
      <c r="D55" s="144" t="s">
        <v>769</v>
      </c>
      <c r="E55" s="144" t="s">
        <v>414</v>
      </c>
      <c r="F55" s="144" t="s">
        <v>414</v>
      </c>
      <c r="G55" s="144" t="s">
        <v>771</v>
      </c>
      <c r="H55" s="167"/>
      <c r="I55" s="364">
        <v>0</v>
      </c>
      <c r="J55" s="167">
        <f>H55*I55*FIN_0_Параметры!$B$10</f>
        <v>0</v>
      </c>
      <c r="K55" s="169">
        <f t="shared" si="2"/>
        <v>0</v>
      </c>
      <c r="L55" s="169">
        <f t="shared" si="3"/>
        <v>0</v>
      </c>
      <c r="M55" s="144" t="s">
        <v>772</v>
      </c>
    </row>
    <row r="56" spans="1:13" ht="60">
      <c r="A56" s="144">
        <v>55</v>
      </c>
      <c r="B56" s="144" t="s">
        <v>767</v>
      </c>
      <c r="C56" s="144" t="s">
        <v>791</v>
      </c>
      <c r="D56" s="144" t="s">
        <v>769</v>
      </c>
      <c r="E56" s="144" t="s">
        <v>420</v>
      </c>
      <c r="F56" s="144" t="s">
        <v>420</v>
      </c>
      <c r="G56" s="144" t="s">
        <v>771</v>
      </c>
      <c r="H56" s="167"/>
      <c r="I56" s="364">
        <v>0</v>
      </c>
      <c r="J56" s="167">
        <f>H56*I56*FIN_0_Параметры!$B$10</f>
        <v>0</v>
      </c>
      <c r="K56" s="169">
        <f t="shared" si="2"/>
        <v>0</v>
      </c>
      <c r="L56" s="169">
        <f t="shared" si="3"/>
        <v>0</v>
      </c>
      <c r="M56" s="144" t="s">
        <v>772</v>
      </c>
    </row>
    <row r="57" spans="1:13" ht="60">
      <c r="A57" s="144">
        <v>56</v>
      </c>
      <c r="B57" s="144" t="s">
        <v>767</v>
      </c>
      <c r="C57" s="144" t="s">
        <v>792</v>
      </c>
      <c r="D57" s="144" t="s">
        <v>769</v>
      </c>
      <c r="E57" s="144" t="s">
        <v>425</v>
      </c>
      <c r="F57" s="144" t="s">
        <v>425</v>
      </c>
      <c r="G57" s="144" t="s">
        <v>771</v>
      </c>
      <c r="H57" s="167">
        <f>'разовые расходы'!E162*1000</f>
        <v>1120000000</v>
      </c>
      <c r="I57" s="364">
        <v>0</v>
      </c>
      <c r="J57" s="167">
        <f>H57*I57*FIN_0_Параметры!$B$10</f>
        <v>0</v>
      </c>
      <c r="K57" s="169">
        <f t="shared" si="2"/>
        <v>1120000000</v>
      </c>
      <c r="L57" s="169">
        <f t="shared" si="3"/>
        <v>1120000000</v>
      </c>
      <c r="M57" s="144" t="s">
        <v>772</v>
      </c>
    </row>
    <row r="58" spans="1:13" ht="30">
      <c r="A58" s="144">
        <v>57</v>
      </c>
      <c r="B58" s="144" t="s">
        <v>793</v>
      </c>
      <c r="C58" s="144" t="s">
        <v>794</v>
      </c>
      <c r="D58" s="144" t="s">
        <v>795</v>
      </c>
      <c r="E58" s="144" t="s">
        <v>796</v>
      </c>
      <c r="F58" s="144" t="s">
        <v>797</v>
      </c>
      <c r="G58" s="144" t="s">
        <v>798</v>
      </c>
      <c r="H58" s="167">
        <f>FIN_0_Параметры!$B$40*FIN_0_Параметры!$B$39</f>
        <v>3034482.7586206901</v>
      </c>
      <c r="I58" s="364">
        <v>0</v>
      </c>
      <c r="J58" s="167">
        <f>H58*I58*FIN_0_Параметры!$B$10</f>
        <v>0</v>
      </c>
      <c r="K58" s="169">
        <f t="shared" si="2"/>
        <v>3034482.7586206901</v>
      </c>
      <c r="L58" s="167">
        <f>H58*FIN_0_Параметры!$B$7</f>
        <v>27316575.798343133</v>
      </c>
      <c r="M58" s="144" t="s">
        <v>799</v>
      </c>
    </row>
    <row r="59" spans="1:13" ht="30">
      <c r="A59" s="144">
        <v>58</v>
      </c>
      <c r="B59" s="144" t="s">
        <v>800</v>
      </c>
      <c r="C59" s="144" t="s">
        <v>801</v>
      </c>
      <c r="D59" s="144" t="s">
        <v>795</v>
      </c>
      <c r="E59" s="144" t="s">
        <v>802</v>
      </c>
      <c r="F59" s="144" t="s">
        <v>803</v>
      </c>
      <c r="G59" s="144" t="s">
        <v>798</v>
      </c>
      <c r="H59" s="167">
        <f>FIN_0_Параметры!$B$41</f>
        <v>1600000</v>
      </c>
      <c r="I59" s="364">
        <v>0</v>
      </c>
      <c r="J59" s="167">
        <f>H59*I59*FIN_0_Параметры!$B$10</f>
        <v>0</v>
      </c>
      <c r="K59" s="169">
        <f t="shared" si="2"/>
        <v>1600000</v>
      </c>
      <c r="L59" s="167">
        <f>H59*FIN_0_Параметры!$B$7</f>
        <v>14403285.420944558</v>
      </c>
      <c r="M59" s="144" t="s">
        <v>804</v>
      </c>
    </row>
    <row r="60" spans="1:13" ht="30">
      <c r="A60" s="144">
        <v>59</v>
      </c>
      <c r="B60" s="144" t="s">
        <v>793</v>
      </c>
      <c r="C60" s="144" t="s">
        <v>805</v>
      </c>
      <c r="D60" s="144" t="s">
        <v>795</v>
      </c>
      <c r="E60" s="144" t="s">
        <v>493</v>
      </c>
      <c r="F60" s="144" t="s">
        <v>806</v>
      </c>
      <c r="G60" s="144" t="s">
        <v>798</v>
      </c>
      <c r="H60" s="167">
        <f>'ежемесячные расходы'!$F$42*1000</f>
        <v>986206.89655172417</v>
      </c>
      <c r="I60" s="364">
        <v>0</v>
      </c>
      <c r="J60" s="167">
        <f>H60*I60*FIN_0_Параметры!$B$10</f>
        <v>0</v>
      </c>
      <c r="K60" s="169">
        <f t="shared" si="2"/>
        <v>986206.89655172417</v>
      </c>
      <c r="L60" s="167">
        <f>H60*FIN_0_Параметры!$B$7</f>
        <v>8877887.1344615165</v>
      </c>
      <c r="M60" s="144" t="s">
        <v>807</v>
      </c>
    </row>
    <row r="61" spans="1:13" ht="30">
      <c r="A61" s="144">
        <v>60</v>
      </c>
      <c r="B61" s="144" t="s">
        <v>793</v>
      </c>
      <c r="C61" s="144" t="s">
        <v>808</v>
      </c>
      <c r="D61" s="144" t="s">
        <v>809</v>
      </c>
      <c r="E61" s="144" t="s">
        <v>501</v>
      </c>
      <c r="F61" s="144" t="s">
        <v>501</v>
      </c>
      <c r="G61" s="144" t="s">
        <v>798</v>
      </c>
      <c r="H61" s="167">
        <f>'ежемесячные расходы'!$E$50*1000</f>
        <v>326600</v>
      </c>
      <c r="I61" s="364">
        <v>1</v>
      </c>
      <c r="J61" s="167">
        <f>H61*I61*FIN_0_Параметры!$B$10</f>
        <v>71852</v>
      </c>
      <c r="K61" s="169">
        <f t="shared" si="2"/>
        <v>398452</v>
      </c>
      <c r="L61" s="167">
        <f>H61*FIN_0_Параметры!$B$7</f>
        <v>2940070.6365503082</v>
      </c>
      <c r="M61" s="144" t="s">
        <v>810</v>
      </c>
    </row>
    <row r="62" spans="1:13" ht="30">
      <c r="A62" s="144">
        <v>61</v>
      </c>
      <c r="B62" s="144" t="s">
        <v>793</v>
      </c>
      <c r="C62" s="144" t="s">
        <v>811</v>
      </c>
      <c r="D62" s="144" t="s">
        <v>809</v>
      </c>
      <c r="E62" s="144" t="s">
        <v>812</v>
      </c>
      <c r="F62" s="144" t="s">
        <v>507</v>
      </c>
      <c r="G62" s="144" t="s">
        <v>798</v>
      </c>
      <c r="H62" s="167">
        <f>'ежемесячные расходы'!$E$58*1000</f>
        <v>700000</v>
      </c>
      <c r="I62" s="364">
        <v>1</v>
      </c>
      <c r="J62" s="167">
        <f>H62*I62*FIN_0_Параметры!$B$10</f>
        <v>154000</v>
      </c>
      <c r="K62" s="169">
        <f t="shared" si="2"/>
        <v>854000</v>
      </c>
      <c r="L62" s="167">
        <f>H62*FIN_0_Параметры!$B$7</f>
        <v>6301437.3716632444</v>
      </c>
      <c r="M62" s="144" t="s">
        <v>810</v>
      </c>
    </row>
    <row r="63" spans="1:13" ht="30">
      <c r="A63" s="144">
        <v>62</v>
      </c>
      <c r="B63" s="144" t="s">
        <v>793</v>
      </c>
      <c r="C63" s="144" t="s">
        <v>813</v>
      </c>
      <c r="D63" s="144" t="s">
        <v>809</v>
      </c>
      <c r="E63" s="144" t="s">
        <v>512</v>
      </c>
      <c r="F63" s="144" t="s">
        <v>512</v>
      </c>
      <c r="G63" s="144" t="s">
        <v>798</v>
      </c>
      <c r="H63" s="167">
        <f>'ежемесячные расходы'!$E$66*1000</f>
        <v>9360000000</v>
      </c>
      <c r="I63" s="364">
        <v>1</v>
      </c>
      <c r="J63" s="167">
        <f>H63*I63*FIN_0_Параметры!$B$10</f>
        <v>2059200000</v>
      </c>
      <c r="K63" s="169">
        <f t="shared" si="2"/>
        <v>11419200000</v>
      </c>
      <c r="L63" s="167">
        <f>H63*FIN_0_Параметры!$B$7</f>
        <v>84259219712.525665</v>
      </c>
      <c r="M63" s="144" t="s">
        <v>810</v>
      </c>
    </row>
    <row r="64" spans="1:13" ht="30">
      <c r="A64" s="144">
        <v>63</v>
      </c>
      <c r="B64" s="144" t="s">
        <v>793</v>
      </c>
      <c r="C64" s="144" t="s">
        <v>814</v>
      </c>
      <c r="D64" s="144" t="s">
        <v>809</v>
      </c>
      <c r="E64" s="144" t="s">
        <v>815</v>
      </c>
      <c r="F64" s="144" t="s">
        <v>816</v>
      </c>
      <c r="G64" s="144" t="s">
        <v>798</v>
      </c>
      <c r="H64" s="167">
        <f>'ежемесячные расходы'!$I$86*1000</f>
        <v>1162800</v>
      </c>
      <c r="I64" s="364">
        <v>1</v>
      </c>
      <c r="J64" s="167">
        <f>H64*I64*FIN_0_Параметры!$B$10</f>
        <v>255816</v>
      </c>
      <c r="K64" s="169">
        <f t="shared" si="2"/>
        <v>1418616</v>
      </c>
      <c r="L64" s="167">
        <f>H64*FIN_0_Параметры!$B$7</f>
        <v>10467587.679671459</v>
      </c>
      <c r="M64" s="144" t="s">
        <v>810</v>
      </c>
    </row>
    <row r="65" spans="1:13" ht="30">
      <c r="A65" s="144">
        <v>64</v>
      </c>
      <c r="B65" s="144" t="s">
        <v>793</v>
      </c>
      <c r="C65" s="144" t="s">
        <v>817</v>
      </c>
      <c r="D65" s="144" t="s">
        <v>809</v>
      </c>
      <c r="E65" s="144" t="s">
        <v>538</v>
      </c>
      <c r="F65" s="144" t="s">
        <v>538</v>
      </c>
      <c r="G65" s="144" t="s">
        <v>798</v>
      </c>
      <c r="H65" s="167">
        <f>'ежемесячные расходы'!$E$102*1000</f>
        <v>318500000</v>
      </c>
      <c r="I65" s="364">
        <v>1</v>
      </c>
      <c r="J65" s="167">
        <f>H65*I65*FIN_0_Параметры!$B$10</f>
        <v>70070000</v>
      </c>
      <c r="K65" s="169">
        <f t="shared" si="2"/>
        <v>388570000</v>
      </c>
      <c r="L65" s="167">
        <f>H65*FIN_0_Параметры!$B$7</f>
        <v>2867154004.1067762</v>
      </c>
      <c r="M65" s="144" t="s">
        <v>810</v>
      </c>
    </row>
    <row r="66" spans="1:13" ht="30">
      <c r="A66" s="144">
        <v>65</v>
      </c>
      <c r="B66" s="144" t="s">
        <v>793</v>
      </c>
      <c r="C66" s="144" t="s">
        <v>818</v>
      </c>
      <c r="D66" s="144" t="s">
        <v>769</v>
      </c>
      <c r="E66" s="144" t="s">
        <v>819</v>
      </c>
      <c r="F66" s="144" t="s">
        <v>553</v>
      </c>
      <c r="G66" s="144" t="s">
        <v>771</v>
      </c>
      <c r="H66" s="167">
        <f>'ежемесячные расходы'!$C$105*1000</f>
        <v>2000000</v>
      </c>
      <c r="I66" s="364">
        <v>0</v>
      </c>
      <c r="J66" s="167">
        <f>H66*I66*FIN_0_Параметры!$B$10</f>
        <v>0</v>
      </c>
      <c r="K66" s="169">
        <f t="shared" ref="K66:K72" si="4">H66+J66</f>
        <v>2000000</v>
      </c>
      <c r="L66" s="169">
        <f t="shared" ref="L66:L72" si="5">H66</f>
        <v>2000000</v>
      </c>
      <c r="M66" s="144" t="s">
        <v>820</v>
      </c>
    </row>
    <row r="67" spans="1:13" ht="30">
      <c r="A67" s="144">
        <v>66</v>
      </c>
      <c r="B67" s="144" t="s">
        <v>793</v>
      </c>
      <c r="C67" s="144" t="s">
        <v>821</v>
      </c>
      <c r="D67" s="144" t="s">
        <v>769</v>
      </c>
      <c r="E67" s="144" t="s">
        <v>518</v>
      </c>
      <c r="F67" s="144" t="s">
        <v>518</v>
      </c>
      <c r="G67" s="144" t="s">
        <v>822</v>
      </c>
      <c r="H67" s="167">
        <f>'ежемесячные расходы'!$E$75*1000</f>
        <v>588000000</v>
      </c>
      <c r="I67" s="364">
        <v>1</v>
      </c>
      <c r="J67" s="167">
        <f>H67*I67*FIN_0_Параметры!$B$10</f>
        <v>129360000</v>
      </c>
      <c r="K67" s="169">
        <f t="shared" si="4"/>
        <v>717360000</v>
      </c>
      <c r="L67" s="169">
        <f t="shared" si="5"/>
        <v>588000000</v>
      </c>
      <c r="M67" s="144" t="s">
        <v>810</v>
      </c>
    </row>
    <row r="68" spans="1:13" ht="30">
      <c r="A68" s="144">
        <v>67</v>
      </c>
      <c r="B68" s="144" t="s">
        <v>125</v>
      </c>
      <c r="C68" s="144" t="s">
        <v>823</v>
      </c>
      <c r="D68" s="144" t="s">
        <v>809</v>
      </c>
      <c r="E68" s="144" t="s">
        <v>824</v>
      </c>
      <c r="F68" s="144" t="s">
        <v>105</v>
      </c>
      <c r="G68" s="144" t="s">
        <v>765</v>
      </c>
      <c r="H68" s="167">
        <f>SUMIFS($L$2:$L$67,$D$2:$D$67,"Прямые")*FIN_0_Параметры!$B$29</f>
        <v>3871699.3803362702</v>
      </c>
      <c r="I68" s="364">
        <v>1</v>
      </c>
      <c r="J68" s="167">
        <f>H68*I68*FIN_0_Параметры!$B$10</f>
        <v>851773.86367397942</v>
      </c>
      <c r="K68" s="169">
        <f t="shared" si="4"/>
        <v>4723473.2440102492</v>
      </c>
      <c r="L68" s="169">
        <f t="shared" si="5"/>
        <v>3871699.3803362702</v>
      </c>
      <c r="M68" s="144" t="s">
        <v>825</v>
      </c>
    </row>
    <row r="69" spans="1:13">
      <c r="A69" s="144">
        <v>68</v>
      </c>
      <c r="B69" s="144" t="s">
        <v>125</v>
      </c>
      <c r="C69" s="144" t="s">
        <v>826</v>
      </c>
      <c r="D69" s="144" t="s">
        <v>724</v>
      </c>
      <c r="E69" s="144" t="s">
        <v>827</v>
      </c>
      <c r="F69" s="144" t="s">
        <v>109</v>
      </c>
      <c r="G69" s="144" t="s">
        <v>765</v>
      </c>
      <c r="H69" s="167">
        <f>SUM($L$2:$L$68)*FIN_0_Параметры!$B$30</f>
        <v>2675411438.312305</v>
      </c>
      <c r="I69" s="364">
        <v>0</v>
      </c>
      <c r="J69" s="167">
        <f>H69*I69*FIN_0_Параметры!$B$10</f>
        <v>0</v>
      </c>
      <c r="K69" s="169">
        <f t="shared" si="4"/>
        <v>2675411438.312305</v>
      </c>
      <c r="L69" s="169">
        <f t="shared" si="5"/>
        <v>2675411438.312305</v>
      </c>
      <c r="M69" s="144" t="s">
        <v>828</v>
      </c>
    </row>
    <row r="70" spans="1:13">
      <c r="A70" s="144">
        <v>69</v>
      </c>
      <c r="B70" s="144" t="s">
        <v>125</v>
      </c>
      <c r="C70" s="144" t="s">
        <v>829</v>
      </c>
      <c r="D70" s="144" t="s">
        <v>724</v>
      </c>
      <c r="E70" s="144" t="s">
        <v>830</v>
      </c>
      <c r="F70" s="144" t="s">
        <v>119</v>
      </c>
      <c r="G70" s="144" t="s">
        <v>771</v>
      </c>
      <c r="H70" s="167">
        <f>FIN_0_Параметры!$B$33</f>
        <v>0</v>
      </c>
      <c r="I70" s="364">
        <v>0</v>
      </c>
      <c r="J70" s="167">
        <f>H70*I70*FIN_0_Параметры!$B$10</f>
        <v>0</v>
      </c>
      <c r="K70" s="169">
        <f t="shared" si="4"/>
        <v>0</v>
      </c>
      <c r="L70" s="169">
        <f t="shared" si="5"/>
        <v>0</v>
      </c>
      <c r="M70" s="144" t="s">
        <v>831</v>
      </c>
    </row>
    <row r="71" spans="1:13" ht="30">
      <c r="A71" s="144">
        <v>70</v>
      </c>
      <c r="B71" s="144" t="s">
        <v>125</v>
      </c>
      <c r="C71" s="144" t="s">
        <v>832</v>
      </c>
      <c r="D71" s="144" t="s">
        <v>833</v>
      </c>
      <c r="E71" s="144" t="s">
        <v>103</v>
      </c>
      <c r="F71" s="144" t="s">
        <v>103</v>
      </c>
      <c r="G71" s="144" t="s">
        <v>771</v>
      </c>
      <c r="H71" s="167">
        <f>FIN_3_PnL!$B$16*FIN_0_Параметры!$B$28</f>
        <v>109534012.55497546</v>
      </c>
      <c r="I71" s="364">
        <v>0</v>
      </c>
      <c r="J71" s="167">
        <f>H71*I71*FIN_0_Параметры!$B$10</f>
        <v>0</v>
      </c>
      <c r="K71" s="169">
        <f t="shared" si="4"/>
        <v>109534012.55497546</v>
      </c>
      <c r="L71" s="169">
        <f t="shared" si="5"/>
        <v>109534012.55497546</v>
      </c>
      <c r="M71" s="144" t="s">
        <v>834</v>
      </c>
    </row>
    <row r="72" spans="1:13">
      <c r="A72" s="144">
        <v>71</v>
      </c>
      <c r="B72" s="144" t="s">
        <v>125</v>
      </c>
      <c r="C72" s="144" t="s">
        <v>835</v>
      </c>
      <c r="D72" s="144" t="s">
        <v>833</v>
      </c>
      <c r="E72" s="144" t="s">
        <v>836</v>
      </c>
      <c r="F72" s="144" t="s">
        <v>837</v>
      </c>
      <c r="G72" s="144" t="s">
        <v>771</v>
      </c>
      <c r="H72" s="167">
        <f>FIN_3_PnL!$B$16*(1+FIN_0_Параметры!$B$10)*FIN_0_Параметры!$B$16*FIN_0_Параметры!$B$18*FIN_0_Параметры!$B$7/12</f>
        <v>1503697318.9682629</v>
      </c>
      <c r="I72" s="364">
        <v>0</v>
      </c>
      <c r="J72" s="167">
        <f>H72*I72*FIN_0_Параметры!$B$10</f>
        <v>0</v>
      </c>
      <c r="K72" s="169">
        <f t="shared" si="4"/>
        <v>1503697318.9682629</v>
      </c>
      <c r="L72" s="169">
        <f t="shared" si="5"/>
        <v>1503697318.9682629</v>
      </c>
      <c r="M72" s="144" t="s">
        <v>838</v>
      </c>
    </row>
    <row r="73" spans="1:13">
      <c r="A73" s="144"/>
      <c r="B73" s="144"/>
      <c r="C73" s="144"/>
      <c r="D73" s="144"/>
      <c r="E73" s="144"/>
      <c r="F73" s="144"/>
      <c r="G73" s="144"/>
      <c r="H73" s="147"/>
      <c r="I73" s="365"/>
      <c r="J73" s="147"/>
      <c r="K73" s="147"/>
      <c r="L73" s="147"/>
      <c r="M73" s="144"/>
    </row>
    <row r="74" spans="1:13">
      <c r="A74" s="366"/>
      <c r="B74" s="366"/>
      <c r="C74" s="366"/>
      <c r="D74" s="366"/>
      <c r="E74" s="366"/>
      <c r="F74" s="366"/>
      <c r="G74" s="366" t="s">
        <v>839</v>
      </c>
      <c r="H74" s="366">
        <f>SUM(H2:H72)</f>
        <v>15958653575.893471</v>
      </c>
      <c r="I74" s="366"/>
      <c r="J74" s="366">
        <f>SUM(J2:J72)</f>
        <v>2316748366.1086063</v>
      </c>
      <c r="K74" s="366">
        <f>SUM(K2:K72)</f>
        <v>18275401942.002075</v>
      </c>
      <c r="L74" s="366">
        <f>SUM(L2:L72)</f>
        <v>93469024046.912384</v>
      </c>
      <c r="M74" s="366"/>
    </row>
  </sheetData>
  <autoFilter ref="A1:M72" xr:uid="{00000000-0009-0000-0000-00000D000000}"/>
  <dataValidations count="2">
    <dataValidation type="list" sqref="I2:I72" xr:uid="{00000000-0002-0000-0D00-000000000000}">
      <formula1>"0,1"</formula1>
    </dataValidation>
    <dataValidation type="list" sqref="G2:G72" xr:uid="{00000000-0002-0000-0D00-000001000000}">
      <formula1>"по графику,ежемесячно,однократно старт,однократно финиш"</formula1>
    </dataValidation>
  </dataValidation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1"/>
  <sheetViews>
    <sheetView showGridLines="0" workbookViewId="0">
      <pane ySplit="3" topLeftCell="A4" activePane="bottomLeft" state="frozen"/>
      <selection activeCell="A15" sqref="A15"/>
      <selection pane="bottomLeft" activeCell="A15" sqref="A15"/>
    </sheetView>
  </sheetViews>
  <sheetFormatPr defaultRowHeight="15"/>
  <cols>
    <col min="1" max="1" width="48" customWidth="1"/>
    <col min="2" max="2" width="22" customWidth="1"/>
    <col min="3" max="3" width="14" customWidth="1"/>
  </cols>
  <sheetData>
    <row r="1" spans="1:3" ht="18.75">
      <c r="A1" s="367" t="s">
        <v>840</v>
      </c>
      <c r="B1" s="144"/>
      <c r="C1" s="144"/>
    </row>
    <row r="2" spans="1:3">
      <c r="A2" s="144"/>
      <c r="B2" s="144"/>
      <c r="C2" s="144"/>
    </row>
    <row r="3" spans="1:3">
      <c r="A3" s="144"/>
      <c r="B3" s="144"/>
      <c r="C3" s="144"/>
    </row>
    <row r="4" spans="1:3">
      <c r="A4" s="142" t="s">
        <v>63</v>
      </c>
      <c r="B4" s="368">
        <f>FIN_0_Параметры!$B$10</f>
        <v>0.22</v>
      </c>
      <c r="C4" s="142" t="s">
        <v>25</v>
      </c>
    </row>
    <row r="5" spans="1:3">
      <c r="A5" s="144" t="s">
        <v>66</v>
      </c>
      <c r="B5" s="369">
        <f>FIN_0_Параметры!$B$11</f>
        <v>0.25</v>
      </c>
      <c r="C5" s="144" t="s">
        <v>25</v>
      </c>
    </row>
    <row r="6" spans="1:3">
      <c r="A6" s="144" t="s">
        <v>841</v>
      </c>
      <c r="B6" s="369">
        <f>FIN_0_Параметры!$B$12</f>
        <v>0.11</v>
      </c>
      <c r="C6" s="144" t="s">
        <v>25</v>
      </c>
    </row>
    <row r="7" spans="1:3">
      <c r="A7" s="144" t="s">
        <v>842</v>
      </c>
      <c r="B7" s="370">
        <f>B6/(1-B5)</f>
        <v>0.14666666666666667</v>
      </c>
      <c r="C7" s="144" t="s">
        <v>25</v>
      </c>
    </row>
    <row r="8" spans="1:3">
      <c r="A8" s="144"/>
      <c r="B8" s="144"/>
      <c r="C8" s="144"/>
    </row>
    <row r="9" spans="1:3">
      <c r="A9" s="142" t="s">
        <v>843</v>
      </c>
      <c r="B9" s="371">
        <f>SUMIFS(FIN_1_Затраты!$L$2:$L$72,FIN_1_Затраты!$D$2:$D$72,"&lt;&gt;Страхование/БГ")</f>
        <v>91855792715.389145</v>
      </c>
      <c r="C9" s="142" t="s">
        <v>15</v>
      </c>
    </row>
    <row r="10" spans="1:3">
      <c r="A10" s="144" t="s">
        <v>844</v>
      </c>
      <c r="B10" s="369">
        <f>FIN_0_Параметры!$B$28</f>
        <v>1E-3</v>
      </c>
      <c r="C10" s="144" t="s">
        <v>25</v>
      </c>
    </row>
    <row r="11" spans="1:3">
      <c r="A11" s="144" t="s">
        <v>845</v>
      </c>
      <c r="B11" s="369">
        <f>FIN_0_Параметры!$B$16*(1+FIN_0_Параметры!$B$10)*FIN_0_Параметры!$B$18*FIN_0_Параметры!$B$7/12</f>
        <v>1.3728131416837782E-2</v>
      </c>
      <c r="C11" s="144" t="s">
        <v>25</v>
      </c>
    </row>
    <row r="12" spans="1:3">
      <c r="A12" s="144" t="s">
        <v>846</v>
      </c>
      <c r="B12" s="370">
        <f>B10+B11</f>
        <v>1.4728131416837782E-2</v>
      </c>
      <c r="C12" s="144" t="s">
        <v>25</v>
      </c>
    </row>
    <row r="13" spans="1:3">
      <c r="A13" s="144"/>
      <c r="B13" s="144"/>
      <c r="C13" s="144"/>
    </row>
    <row r="14" spans="1:3">
      <c r="A14" s="144"/>
      <c r="B14" s="144"/>
      <c r="C14" s="144"/>
    </row>
    <row r="15" spans="1:3">
      <c r="A15" s="144"/>
      <c r="B15" s="144"/>
      <c r="C15" s="144"/>
    </row>
    <row r="16" spans="1:3">
      <c r="A16" s="142" t="s">
        <v>14</v>
      </c>
      <c r="B16" s="371">
        <f>B9/(1-B7-B12)</f>
        <v>109534012554.97546</v>
      </c>
      <c r="C16" s="142" t="s">
        <v>15</v>
      </c>
    </row>
    <row r="17" spans="1:3">
      <c r="A17" s="144" t="s">
        <v>103</v>
      </c>
      <c r="B17" s="169">
        <f>B16*B10</f>
        <v>109534012.55497546</v>
      </c>
      <c r="C17" s="144" t="s">
        <v>15</v>
      </c>
    </row>
    <row r="18" spans="1:3">
      <c r="A18" s="144" t="s">
        <v>82</v>
      </c>
      <c r="B18" s="169">
        <f>B16*B11</f>
        <v>1503697318.9682627</v>
      </c>
      <c r="C18" s="144" t="s">
        <v>15</v>
      </c>
    </row>
    <row r="19" spans="1:3">
      <c r="A19" s="144" t="s">
        <v>847</v>
      </c>
      <c r="B19" s="169">
        <f>B9+B17+B18</f>
        <v>93469024046.912384</v>
      </c>
      <c r="C19" s="144" t="s">
        <v>15</v>
      </c>
    </row>
    <row r="20" spans="1:3">
      <c r="A20" s="144" t="s">
        <v>848</v>
      </c>
      <c r="B20" s="169">
        <f>B16-B19</f>
        <v>16064988508.06308</v>
      </c>
      <c r="C20" s="144" t="s">
        <v>15</v>
      </c>
    </row>
    <row r="21" spans="1:3">
      <c r="A21" s="144" t="s">
        <v>66</v>
      </c>
      <c r="B21" s="169">
        <f>MAX(0,B20*B5)</f>
        <v>4016247127.01577</v>
      </c>
      <c r="C21" s="144" t="s">
        <v>15</v>
      </c>
    </row>
    <row r="22" spans="1:3">
      <c r="A22" s="144" t="s">
        <v>21</v>
      </c>
      <c r="B22" s="169">
        <f>B20-B21</f>
        <v>12048741381.04731</v>
      </c>
      <c r="C22" s="144" t="s">
        <v>15</v>
      </c>
    </row>
    <row r="23" spans="1:3">
      <c r="A23" s="144" t="s">
        <v>849</v>
      </c>
      <c r="B23" s="370">
        <f>B22/B16</f>
        <v>0.11000000000000008</v>
      </c>
      <c r="C23" s="144" t="s">
        <v>25</v>
      </c>
    </row>
    <row r="24" spans="1:3">
      <c r="A24" s="144"/>
      <c r="B24" s="144"/>
      <c r="C24" s="144"/>
    </row>
    <row r="25" spans="1:3">
      <c r="A25" s="142" t="s">
        <v>850</v>
      </c>
      <c r="B25" s="371">
        <f>B16*B4</f>
        <v>24097482762.094601</v>
      </c>
      <c r="C25" s="142" t="s">
        <v>15</v>
      </c>
    </row>
    <row r="26" spans="1:3">
      <c r="A26" s="144" t="s">
        <v>851</v>
      </c>
      <c r="B26" s="167">
        <f>SUM(FIN_1_Затраты!$J$2:$J$72)</f>
        <v>2316748366.1086063</v>
      </c>
      <c r="C26" s="144" t="s">
        <v>15</v>
      </c>
    </row>
    <row r="27" spans="1:3">
      <c r="A27" s="144" t="s">
        <v>852</v>
      </c>
      <c r="B27" s="169">
        <f>MAX(0,B25-B26)</f>
        <v>21780734395.985992</v>
      </c>
      <c r="C27" s="144" t="s">
        <v>15</v>
      </c>
    </row>
    <row r="28" spans="1:3">
      <c r="A28" s="144" t="s">
        <v>18</v>
      </c>
      <c r="B28" s="169">
        <f>B16+B25</f>
        <v>133631495317.07007</v>
      </c>
      <c r="C28" s="144" t="s">
        <v>15</v>
      </c>
    </row>
    <row r="29" spans="1:3" ht="30">
      <c r="A29" s="144" t="s">
        <v>853</v>
      </c>
      <c r="B29" s="169">
        <f>B28-B27</f>
        <v>111850760921.08408</v>
      </c>
      <c r="C29" s="144" t="s">
        <v>15</v>
      </c>
    </row>
    <row r="30" spans="1:3">
      <c r="A30" s="144" t="s">
        <v>854</v>
      </c>
      <c r="B30" s="167">
        <f>B16/'Объемы из ценовой'!$D$5</f>
        <v>6784392.2301006792</v>
      </c>
      <c r="C30" s="144" t="s">
        <v>855</v>
      </c>
    </row>
    <row r="31" spans="1:3">
      <c r="A31" s="144"/>
      <c r="B31" s="144"/>
      <c r="C31" s="144"/>
    </row>
  </sheetData>
  <pageMargins left="0.75" right="0.75" top="1" bottom="1" header="0.5" footer="0.5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workbookViewId="0">
      <pane xSplit="1" ySplit="2" topLeftCell="B9" activePane="bottomRight" state="frozen"/>
      <selection activeCell="A15" sqref="A15"/>
      <selection pane="topRight" activeCell="A15" sqref="A15"/>
      <selection pane="bottomLeft" activeCell="A15" sqref="A15"/>
      <selection pane="bottomRight" activeCell="A15" sqref="A15"/>
    </sheetView>
  </sheetViews>
  <sheetFormatPr defaultRowHeight="15"/>
  <cols>
    <col min="1" max="1" width="42" customWidth="1"/>
    <col min="2" max="17" width="14" customWidth="1"/>
  </cols>
  <sheetData>
    <row r="1" spans="1:17">
      <c r="A1" s="372" t="s">
        <v>856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>
      <c r="A2" s="142" t="s">
        <v>857</v>
      </c>
      <c r="B2" s="373">
        <f>DATE(YEAR(FIN_0_Параметры!$B$4),MONTH(FIN_0_Параметры!$B$4),1)</f>
        <v>46204</v>
      </c>
      <c r="C2" s="373">
        <f t="shared" ref="C2:Q2" si="0">EDATE(B$2,1)</f>
        <v>46235</v>
      </c>
      <c r="D2" s="373">
        <f t="shared" si="0"/>
        <v>46266</v>
      </c>
      <c r="E2" s="373">
        <f t="shared" si="0"/>
        <v>46296</v>
      </c>
      <c r="F2" s="373">
        <f t="shared" si="0"/>
        <v>46327</v>
      </c>
      <c r="G2" s="373">
        <f t="shared" si="0"/>
        <v>46357</v>
      </c>
      <c r="H2" s="373">
        <f t="shared" si="0"/>
        <v>46388</v>
      </c>
      <c r="I2" s="373">
        <f t="shared" si="0"/>
        <v>46419</v>
      </c>
      <c r="J2" s="373">
        <f t="shared" si="0"/>
        <v>46447</v>
      </c>
      <c r="K2" s="373">
        <f t="shared" si="0"/>
        <v>46478</v>
      </c>
      <c r="L2" s="373">
        <f t="shared" si="0"/>
        <v>46508</v>
      </c>
      <c r="M2" s="373">
        <f t="shared" si="0"/>
        <v>46539</v>
      </c>
      <c r="N2" s="373">
        <f t="shared" si="0"/>
        <v>46569</v>
      </c>
      <c r="O2" s="373">
        <f t="shared" si="0"/>
        <v>46600</v>
      </c>
      <c r="P2" s="373">
        <f t="shared" si="0"/>
        <v>46631</v>
      </c>
      <c r="Q2" s="373">
        <f t="shared" si="0"/>
        <v>46661</v>
      </c>
    </row>
    <row r="3" spans="1:17">
      <c r="A3" s="374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>
      <c r="A4" s="363" t="s">
        <v>858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</row>
    <row r="5" spans="1:17">
      <c r="A5" s="374" t="s">
        <v>859</v>
      </c>
      <c r="B5" s="147">
        <f>FIN_3_PnL!$B$16*SUM(B13:B16)/SUM($B$13:$Q$16)</f>
        <v>12664893936.571718</v>
      </c>
      <c r="C5" s="147">
        <f>FIN_3_PnL!$B$16*SUM(C13:C16)/SUM($B$13:$Q$16)</f>
        <v>11337874051.656027</v>
      </c>
      <c r="D5" s="147">
        <f>FIN_3_PnL!$B$16*SUM(D13:D16)/SUM($B$13:$Q$16)</f>
        <v>11454424461.991879</v>
      </c>
      <c r="E5" s="147">
        <f>FIN_3_PnL!$B$16*SUM(E13:E16)/SUM($B$13:$Q$16)</f>
        <v>13494056642.869278</v>
      </c>
      <c r="F5" s="147">
        <f>FIN_3_PnL!$B$16*SUM(F13:F16)/SUM($B$13:$Q$16)</f>
        <v>13053755092.711615</v>
      </c>
      <c r="G5" s="147">
        <f>FIN_3_PnL!$B$16*SUM(G13:G16)/SUM($B$13:$Q$16)</f>
        <v>11991851354.096081</v>
      </c>
      <c r="H5" s="147">
        <f>FIN_3_PnL!$B$16*SUM(H13:H16)/SUM($B$13:$Q$16)</f>
        <v>11700475328.256453</v>
      </c>
      <c r="I5" s="147">
        <f>FIN_3_PnL!$B$16*SUM(I13:I16)/SUM($B$13:$Q$16)</f>
        <v>11713425373.849325</v>
      </c>
      <c r="J5" s="147">
        <f>FIN_3_PnL!$B$16*SUM(J13:J16)/SUM($B$13:$Q$16)</f>
        <v>12123256312.973099</v>
      </c>
      <c r="K5" s="147">
        <f>FIN_3_PnL!$B$16*SUM(K13:K16)/SUM($B$13:$Q$16)</f>
        <v>0</v>
      </c>
      <c r="L5" s="147">
        <f>FIN_3_PnL!$B$16*SUM(L13:L16)/SUM($B$13:$Q$16)</f>
        <v>0</v>
      </c>
      <c r="M5" s="147">
        <f>FIN_3_PnL!$B$16*SUM(M13:M16)/SUM($B$13:$Q$16)</f>
        <v>0</v>
      </c>
      <c r="N5" s="147">
        <f>FIN_3_PnL!$B$16*SUM(N13:N16)/SUM($B$13:$Q$16)</f>
        <v>0</v>
      </c>
      <c r="O5" s="147">
        <f>FIN_3_PnL!$B$16*SUM(O13:O16)/SUM($B$13:$Q$16)</f>
        <v>0</v>
      </c>
      <c r="P5" s="147">
        <f>FIN_3_PnL!$B$16*SUM(P13:P16)/SUM($B$13:$Q$16)</f>
        <v>0</v>
      </c>
      <c r="Q5" s="147">
        <f>FIN_3_PnL!$B$16*SUM(Q13:Q16)/SUM($B$13:$Q$16)</f>
        <v>0</v>
      </c>
    </row>
    <row r="6" spans="1:17">
      <c r="A6" s="374" t="s">
        <v>860</v>
      </c>
      <c r="B6" s="147">
        <f>B5*FIN_0_Параметры!$B$10</f>
        <v>2786276666.0457778</v>
      </c>
      <c r="C6" s="147">
        <f>C5*FIN_0_Параметры!$B$10</f>
        <v>2494332291.364326</v>
      </c>
      <c r="D6" s="147">
        <f>D5*FIN_0_Параметры!$B$10</f>
        <v>2519973381.6382132</v>
      </c>
      <c r="E6" s="147">
        <f>E5*FIN_0_Параметры!$B$10</f>
        <v>2968692461.431241</v>
      </c>
      <c r="F6" s="147">
        <f>F5*FIN_0_Параметры!$B$10</f>
        <v>2871826120.3965554</v>
      </c>
      <c r="G6" s="147">
        <f>G5*FIN_0_Параметры!$B$10</f>
        <v>2638207297.9011378</v>
      </c>
      <c r="H6" s="147">
        <f>H5*FIN_0_Параметры!$B$10</f>
        <v>2574104572.2164197</v>
      </c>
      <c r="I6" s="147">
        <f>I5*FIN_0_Параметры!$B$10</f>
        <v>2576953582.2468514</v>
      </c>
      <c r="J6" s="147">
        <f>J5*FIN_0_Параметры!$B$10</f>
        <v>2667116388.8540816</v>
      </c>
      <c r="K6" s="147">
        <f>K5*FIN_0_Параметры!$B$10</f>
        <v>0</v>
      </c>
      <c r="L6" s="147">
        <f>L5*FIN_0_Параметры!$B$10</f>
        <v>0</v>
      </c>
      <c r="M6" s="147">
        <f>M5*FIN_0_Параметры!$B$10</f>
        <v>0</v>
      </c>
      <c r="N6" s="147">
        <f>N5*FIN_0_Параметры!$B$10</f>
        <v>0</v>
      </c>
      <c r="O6" s="147">
        <f>O5*FIN_0_Параметры!$B$10</f>
        <v>0</v>
      </c>
      <c r="P6" s="147">
        <f>P5*FIN_0_Параметры!$B$10</f>
        <v>0</v>
      </c>
      <c r="Q6" s="147">
        <f>Q5*FIN_0_Параметры!$B$10</f>
        <v>0</v>
      </c>
    </row>
    <row r="7" spans="1:17">
      <c r="A7" s="374" t="s">
        <v>851</v>
      </c>
      <c r="B7" s="147">
        <f>FIN_3_PnL!$B$26*SUM(B13:B16)/SUM($B$13:$Q$16)</f>
        <v>267874531.84703514</v>
      </c>
      <c r="C7" s="147">
        <f>FIN_3_PnL!$B$26*SUM(C13:C16)/SUM($B$13:$Q$16)</f>
        <v>239806801.2996034</v>
      </c>
      <c r="D7" s="147">
        <f>FIN_3_PnL!$B$26*SUM(D13:D16)/SUM($B$13:$Q$16)</f>
        <v>242271953.14072078</v>
      </c>
      <c r="E7" s="147">
        <f>FIN_3_PnL!$B$26*SUM(E13:E16)/SUM($B$13:$Q$16)</f>
        <v>285412110.36027479</v>
      </c>
      <c r="F7" s="147">
        <f>FIN_3_PnL!$B$26*SUM(F13:F16)/SUM($B$13:$Q$16)</f>
        <v>276099314.51605362</v>
      </c>
      <c r="G7" s="147">
        <f>FIN_3_PnL!$B$26*SUM(G13:G16)/SUM($B$13:$Q$16)</f>
        <v>253639042.18587309</v>
      </c>
      <c r="H7" s="147">
        <f>FIN_3_PnL!$B$26*SUM(H13:H16)/SUM($B$13:$Q$16)</f>
        <v>247476162.58307967</v>
      </c>
      <c r="I7" s="147">
        <f>FIN_3_PnL!$B$26*SUM(I13:I16)/SUM($B$13:$Q$16)</f>
        <v>247750068.34320384</v>
      </c>
      <c r="J7" s="147">
        <f>FIN_3_PnL!$B$26*SUM(J13:J16)/SUM($B$13:$Q$16)</f>
        <v>256418381.83276224</v>
      </c>
      <c r="K7" s="147">
        <f>FIN_3_PnL!$B$26*SUM(K13:K16)/SUM($B$13:$Q$16)</f>
        <v>0</v>
      </c>
      <c r="L7" s="147">
        <f>FIN_3_PnL!$B$26*SUM(L13:L16)/SUM($B$13:$Q$16)</f>
        <v>0</v>
      </c>
      <c r="M7" s="147">
        <f>FIN_3_PnL!$B$26*SUM(M13:M16)/SUM($B$13:$Q$16)</f>
        <v>0</v>
      </c>
      <c r="N7" s="147">
        <f>FIN_3_PnL!$B$26*SUM(N13:N16)/SUM($B$13:$Q$16)</f>
        <v>0</v>
      </c>
      <c r="O7" s="147">
        <f>FIN_3_PnL!$B$26*SUM(O13:O16)/SUM($B$13:$Q$16)</f>
        <v>0</v>
      </c>
      <c r="P7" s="147">
        <f>FIN_3_PnL!$B$26*SUM(P13:P16)/SUM($B$13:$Q$16)</f>
        <v>0</v>
      </c>
      <c r="Q7" s="147">
        <f>FIN_3_PnL!$B$26*SUM(Q13:Q16)/SUM($B$13:$Q$16)</f>
        <v>0</v>
      </c>
    </row>
    <row r="8" spans="1:17">
      <c r="A8" s="374" t="s">
        <v>861</v>
      </c>
      <c r="B8" s="147">
        <f>B21*FIN_0_Параметры!$B$10/(1+FIN_0_Параметры!$B$10)</f>
        <v>7229244828.6283808</v>
      </c>
      <c r="C8" s="147">
        <f>C21*FIN_0_Параметры!$B$10/(1+FIN_0_Параметры!$B$10)</f>
        <v>0</v>
      </c>
      <c r="D8" s="147">
        <f>D21*FIN_0_Параметры!$B$10/(1+FIN_0_Параметры!$B$10)</f>
        <v>0</v>
      </c>
      <c r="E8" s="147">
        <f>E21*FIN_0_Параметры!$B$10/(1+FIN_0_Параметры!$B$10)</f>
        <v>0</v>
      </c>
      <c r="F8" s="147">
        <f>F21*FIN_0_Параметры!$B$10/(1+FIN_0_Параметры!$B$10)</f>
        <v>0</v>
      </c>
      <c r="G8" s="147">
        <f>G21*FIN_0_Параметры!$B$10/(1+FIN_0_Параметры!$B$10)</f>
        <v>0</v>
      </c>
      <c r="H8" s="147">
        <f>H21*FIN_0_Параметры!$B$10/(1+FIN_0_Параметры!$B$10)</f>
        <v>0</v>
      </c>
      <c r="I8" s="147">
        <f>I21*FIN_0_Параметры!$B$10/(1+FIN_0_Параметры!$B$10)</f>
        <v>0</v>
      </c>
      <c r="J8" s="147">
        <f>J21*FIN_0_Параметры!$B$10/(1+FIN_0_Параметры!$B$10)</f>
        <v>0</v>
      </c>
      <c r="K8" s="147">
        <f>K21*FIN_0_Параметры!$B$10/(1+FIN_0_Параметры!$B$10)</f>
        <v>0</v>
      </c>
      <c r="L8" s="147">
        <f>L21*FIN_0_Параметры!$B$10/(1+FIN_0_Параметры!$B$10)</f>
        <v>0</v>
      </c>
      <c r="M8" s="147">
        <f>M21*FIN_0_Параметры!$B$10/(1+FIN_0_Параметры!$B$10)</f>
        <v>0</v>
      </c>
      <c r="N8" s="147">
        <f>N21*FIN_0_Параметры!$B$10/(1+FIN_0_Параметры!$B$10)</f>
        <v>0</v>
      </c>
      <c r="O8" s="147">
        <f>O21*FIN_0_Параметры!$B$10/(1+FIN_0_Параметры!$B$10)</f>
        <v>0</v>
      </c>
      <c r="P8" s="147">
        <f>P21*FIN_0_Параметры!$B$10/(1+FIN_0_Параметры!$B$10)</f>
        <v>0</v>
      </c>
      <c r="Q8" s="147">
        <f>Q21*FIN_0_Параметры!$B$10/(1+FIN_0_Параметры!$B$10)</f>
        <v>0</v>
      </c>
    </row>
    <row r="9" spans="1:17">
      <c r="A9" s="374" t="s">
        <v>862</v>
      </c>
      <c r="B9" s="147">
        <f>B23*FIN_0_Параметры!$B$10/(1+FIN_0_Параметры!$B$10)</f>
        <v>835882999.81373346</v>
      </c>
      <c r="C9" s="147">
        <f>C23*FIN_0_Параметры!$B$10/(1+FIN_0_Параметры!$B$10)</f>
        <v>748299687.40929782</v>
      </c>
      <c r="D9" s="147">
        <f>D23*FIN_0_Параметры!$B$10/(1+FIN_0_Параметры!$B$10)</f>
        <v>755992014.4914639</v>
      </c>
      <c r="E9" s="147">
        <f>E23*FIN_0_Параметры!$B$10/(1+FIN_0_Параметры!$B$10)</f>
        <v>890607738.42937231</v>
      </c>
      <c r="F9" s="147">
        <f>F23*FIN_0_Параметры!$B$10/(1+FIN_0_Параметры!$B$10)</f>
        <v>861547836.11896646</v>
      </c>
      <c r="G9" s="147">
        <f>G23*FIN_0_Параметры!$B$10/(1+FIN_0_Параметры!$B$10)</f>
        <v>791462189.37034142</v>
      </c>
      <c r="H9" s="147">
        <f>H23*FIN_0_Параметры!$B$10/(1+FIN_0_Параметры!$B$10)</f>
        <v>772231371.66492593</v>
      </c>
      <c r="I9" s="147">
        <f>I23*FIN_0_Параметры!$B$10/(1+FIN_0_Параметры!$B$10)</f>
        <v>773086074.67405546</v>
      </c>
      <c r="J9" s="147">
        <f>J23*FIN_0_Параметры!$B$10/(1+FIN_0_Параметры!$B$10)</f>
        <v>800134916.65622354</v>
      </c>
      <c r="K9" s="147">
        <f>K23*FIN_0_Параметры!$B$10/(1+FIN_0_Параметры!$B$10)</f>
        <v>0</v>
      </c>
      <c r="L9" s="147">
        <f>L23*FIN_0_Параметры!$B$10/(1+FIN_0_Параметры!$B$10)</f>
        <v>0</v>
      </c>
      <c r="M9" s="147">
        <f>M23*FIN_0_Параметры!$B$10/(1+FIN_0_Параметры!$B$10)</f>
        <v>0</v>
      </c>
      <c r="N9" s="147">
        <f>N23*FIN_0_Параметры!$B$10/(1+FIN_0_Параметры!$B$10)</f>
        <v>0</v>
      </c>
      <c r="O9" s="147">
        <f>O23*FIN_0_Параметры!$B$10/(1+FIN_0_Параметры!$B$10)</f>
        <v>0</v>
      </c>
      <c r="P9" s="147">
        <f>P23*FIN_0_Параметры!$B$10/(1+FIN_0_Параметры!$B$10)</f>
        <v>0</v>
      </c>
      <c r="Q9" s="147">
        <f>Q23*FIN_0_Параметры!$B$10/(1+FIN_0_Параметры!$B$10)</f>
        <v>0</v>
      </c>
    </row>
    <row r="10" spans="1:17">
      <c r="A10" s="374" t="s">
        <v>863</v>
      </c>
      <c r="B10" s="147">
        <f t="shared" ref="B10:Q10" si="1">MAX(0,B6+B8-B9-B7)</f>
        <v>8911763963.0133896</v>
      </c>
      <c r="C10" s="147">
        <f t="shared" si="1"/>
        <v>1506225802.6554246</v>
      </c>
      <c r="D10" s="147">
        <f t="shared" si="1"/>
        <v>1521709414.0060284</v>
      </c>
      <c r="E10" s="147">
        <f t="shared" si="1"/>
        <v>1792672612.6415939</v>
      </c>
      <c r="F10" s="147">
        <f t="shared" si="1"/>
        <v>1734178969.7615352</v>
      </c>
      <c r="G10" s="147">
        <f t="shared" si="1"/>
        <v>1593106066.3449235</v>
      </c>
      <c r="H10" s="147">
        <f t="shared" si="1"/>
        <v>1554397037.9684141</v>
      </c>
      <c r="I10" s="147">
        <f t="shared" si="1"/>
        <v>1556117439.2295921</v>
      </c>
      <c r="J10" s="147">
        <f t="shared" si="1"/>
        <v>1610563090.3650959</v>
      </c>
      <c r="K10" s="147">
        <f t="shared" si="1"/>
        <v>0</v>
      </c>
      <c r="L10" s="147">
        <f t="shared" si="1"/>
        <v>0</v>
      </c>
      <c r="M10" s="147">
        <f t="shared" si="1"/>
        <v>0</v>
      </c>
      <c r="N10" s="147">
        <f t="shared" si="1"/>
        <v>0</v>
      </c>
      <c r="O10" s="147">
        <f t="shared" si="1"/>
        <v>0</v>
      </c>
      <c r="P10" s="147">
        <f t="shared" si="1"/>
        <v>0</v>
      </c>
      <c r="Q10" s="147">
        <f t="shared" si="1"/>
        <v>0</v>
      </c>
    </row>
    <row r="11" spans="1:17">
      <c r="A11" s="374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</row>
    <row r="12" spans="1:17">
      <c r="A12" s="363" t="s">
        <v>864</v>
      </c>
      <c r="B12" s="363"/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63"/>
      <c r="Q12" s="363"/>
    </row>
    <row r="13" spans="1:17">
      <c r="A13" s="374" t="s">
        <v>865</v>
      </c>
      <c r="B13" s="147">
        <f>SUMIFS(FIN_1_Затраты!$L$2:$L$72,FIN_1_Затраты!$G$2:$G$72,"по графику")*IFERROR(SUMPRODUCT(((График!$F$13:$F$30&gt;=B$2)*(График!$E$13:$E$30&lt;=EOMONTH(B$2,0)))*(IF(График!$F$13:$F$30&lt;EOMONTH(B$2,0),График!$F$13:$F$30,EOMONTH(B$2,0))-IF(График!$E$13:$E$30&gt;B$2,График!$E$13:$E$30,B$2)+1))/SUMPRODUCT(График!$F$13:$F$30-График!$E$13:$E$30+1),0)</f>
        <v>0</v>
      </c>
      <c r="C13" s="147">
        <f>SUMIFS(FIN_1_Затраты!$L$2:$L$72,FIN_1_Затраты!$G$2:$G$72,"по графику")*IFERROR(SUMPRODUCT(((График!$F$13:$F$30&gt;=C$2)*(График!$E$13:$E$30&lt;=EOMONTH(C$2,0)))*(IF(График!$F$13:$F$30&lt;EOMONTH(C$2,0),График!$F$13:$F$30,EOMONTH(C$2,0))-IF(График!$E$13:$E$30&gt;C$2,График!$E$13:$E$30,C$2)+1))/SUMPRODUCT(График!$F$13:$F$30-График!$E$13:$E$30+1),0)</f>
        <v>0</v>
      </c>
      <c r="D13" s="147">
        <f>SUMIFS(FIN_1_Затраты!$L$2:$L$72,FIN_1_Затраты!$G$2:$G$72,"по графику")*IFERROR(SUMPRODUCT(((График!$F$13:$F$30&gt;=D$2)*(График!$E$13:$E$30&lt;=EOMONTH(D$2,0)))*(IF(График!$F$13:$F$30&lt;EOMONTH(D$2,0),График!$F$13:$F$30,EOMONTH(D$2,0))-IF(График!$E$13:$E$30&gt;D$2,График!$E$13:$E$30,D$2)+1))/SUMPRODUCT(График!$F$13:$F$30-График!$E$13:$E$30+1),0)</f>
        <v>99572760.329324037</v>
      </c>
      <c r="E13" s="147">
        <f>SUMIFS(FIN_1_Затраты!$L$2:$L$72,FIN_1_Затраты!$G$2:$G$72,"по графику")*IFERROR(SUMPRODUCT(((График!$F$13:$F$30&gt;=E$2)*(График!$E$13:$E$30&lt;=EOMONTH(E$2,0)))*(IF(График!$F$13:$F$30&lt;EOMONTH(E$2,0),График!$F$13:$F$30,EOMONTH(E$2,0))-IF(График!$E$13:$E$30&gt;E$2,График!$E$13:$E$30,E$2)+1))/SUMPRODUCT(График!$F$13:$F$30-График!$E$13:$E$30+1),0)</f>
        <v>1842096066.0924947</v>
      </c>
      <c r="F13" s="147">
        <f>SUMIFS(FIN_1_Затраты!$L$2:$L$72,FIN_1_Затраты!$G$2:$G$72,"по графику")*IFERROR(SUMPRODUCT(((График!$F$13:$F$30&gt;=F$2)*(График!$E$13:$E$30&lt;=EOMONTH(F$2,0)))*(IF(График!$F$13:$F$30&lt;EOMONTH(F$2,0),График!$F$13:$F$30,EOMONTH(F$2,0))-IF(График!$E$13:$E$30&gt;F$2,График!$E$13:$E$30,F$2)+1))/SUMPRODUCT(График!$F$13:$F$30-График!$E$13:$E$30+1),0)</f>
        <v>1465932304.8483818</v>
      </c>
      <c r="G13" s="147">
        <f>SUMIFS(FIN_1_Затраты!$L$2:$L$72,FIN_1_Затраты!$G$2:$G$72,"по графику")*IFERROR(SUMPRODUCT(((График!$F$13:$F$30&gt;=G$2)*(График!$E$13:$E$30&lt;=EOMONTH(G$2,0)))*(IF(График!$F$13:$F$30&lt;EOMONTH(G$2,0),График!$F$13:$F$30,EOMONTH(G$2,0))-IF(График!$E$13:$E$30&gt;G$2,График!$E$13:$E$30,G$2)+1))/SUMPRODUCT(График!$F$13:$F$30-График!$E$13:$E$30+1),0)</f>
        <v>558713821.84787381</v>
      </c>
      <c r="H13" s="147">
        <f>SUMIFS(FIN_1_Затраты!$L$2:$L$72,FIN_1_Затраты!$G$2:$G$72,"по графику")*IFERROR(SUMPRODUCT(((График!$F$13:$F$30&gt;=H$2)*(График!$E$13:$E$30&lt;=EOMONTH(H$2,0)))*(IF(График!$F$13:$F$30&lt;EOMONTH(H$2,0),График!$F$13:$F$30,EOMONTH(H$2,0))-IF(График!$E$13:$E$30&gt;H$2,График!$E$13:$E$30,H$2)+1))/SUMPRODUCT(График!$F$13:$F$30-График!$E$13:$E$30+1),0)</f>
        <v>309781921.02456373</v>
      </c>
      <c r="I13" s="147">
        <f>SUMIFS(FIN_1_Затраты!$L$2:$L$72,FIN_1_Затраты!$G$2:$G$72,"по графику")*IFERROR(SUMPRODUCT(((График!$F$13:$F$30&gt;=I$2)*(График!$E$13:$E$30&lt;=EOMONTH(I$2,0)))*(IF(График!$F$13:$F$30&lt;EOMONTH(I$2,0),График!$F$13:$F$30,EOMONTH(I$2,0))-IF(График!$E$13:$E$30&gt;I$2,График!$E$13:$E$30,I$2)+1))/SUMPRODUCT(График!$F$13:$F$30-График!$E$13:$E$30+1),0)</f>
        <v>320845561.06115526</v>
      </c>
      <c r="J13" s="147">
        <f>SUMIFS(FIN_1_Затраты!$L$2:$L$72,FIN_1_Затраты!$G$2:$G$72,"по графику")*IFERROR(SUMPRODUCT(((График!$F$13:$F$30&gt;=J$2)*(График!$E$13:$E$30&lt;=EOMONTH(J$2,0)))*(IF(График!$F$13:$F$30&lt;EOMONTH(J$2,0),График!$F$13:$F$30,EOMONTH(J$2,0))-IF(График!$E$13:$E$30&gt;J$2,График!$E$13:$E$30,J$2)+1))/SUMPRODUCT(График!$F$13:$F$30-График!$E$13:$E$30+1),0)</f>
        <v>82977300.274436697</v>
      </c>
      <c r="K13" s="147">
        <f>SUMIFS(FIN_1_Затраты!$L$2:$L$72,FIN_1_Затраты!$G$2:$G$72,"по графику")*IFERROR(SUMPRODUCT(((График!$F$13:$F$30&gt;=K$2)*(График!$E$13:$E$30&lt;=EOMONTH(K$2,0)))*(IF(График!$F$13:$F$30&lt;EOMONTH(K$2,0),График!$F$13:$F$30,EOMONTH(K$2,0))-IF(График!$E$13:$E$30&gt;K$2,График!$E$13:$E$30,K$2)+1))/SUMPRODUCT(График!$F$13:$F$30-График!$E$13:$E$30+1),0)</f>
        <v>0</v>
      </c>
      <c r="L13" s="147">
        <f>SUMIFS(FIN_1_Затраты!$L$2:$L$72,FIN_1_Затраты!$G$2:$G$72,"по графику")*IFERROR(SUMPRODUCT(((График!$F$13:$F$30&gt;=L$2)*(График!$E$13:$E$30&lt;=EOMONTH(L$2,0)))*(IF(График!$F$13:$F$30&lt;EOMONTH(L$2,0),График!$F$13:$F$30,EOMONTH(L$2,0))-IF(График!$E$13:$E$30&gt;L$2,График!$E$13:$E$30,L$2)+1))/SUMPRODUCT(График!$F$13:$F$30-График!$E$13:$E$30+1),0)</f>
        <v>0</v>
      </c>
      <c r="M13" s="147">
        <f>SUMIFS(FIN_1_Затраты!$L$2:$L$72,FIN_1_Затраты!$G$2:$G$72,"по графику")*IFERROR(SUMPRODUCT(((График!$F$13:$F$30&gt;=M$2)*(График!$E$13:$E$30&lt;=EOMONTH(M$2,0)))*(IF(График!$F$13:$F$30&lt;EOMONTH(M$2,0),График!$F$13:$F$30,EOMONTH(M$2,0))-IF(График!$E$13:$E$30&gt;M$2,График!$E$13:$E$30,M$2)+1))/SUMPRODUCT(График!$F$13:$F$30-График!$E$13:$E$30+1),0)</f>
        <v>0</v>
      </c>
      <c r="N13" s="147">
        <f>SUMIFS(FIN_1_Затраты!$L$2:$L$72,FIN_1_Затраты!$G$2:$G$72,"по графику")*IFERROR(SUMPRODUCT(((График!$F$13:$F$30&gt;=N$2)*(График!$E$13:$E$30&lt;=EOMONTH(N$2,0)))*(IF(График!$F$13:$F$30&lt;EOMONTH(N$2,0),График!$F$13:$F$30,EOMONTH(N$2,0))-IF(График!$E$13:$E$30&gt;N$2,График!$E$13:$E$30,N$2)+1))/SUMPRODUCT(График!$F$13:$F$30-График!$E$13:$E$30+1),0)</f>
        <v>0</v>
      </c>
      <c r="O13" s="147">
        <f>SUMIFS(FIN_1_Затраты!$L$2:$L$72,FIN_1_Затраты!$G$2:$G$72,"по графику")*IFERROR(SUMPRODUCT(((График!$F$13:$F$30&gt;=O$2)*(График!$E$13:$E$30&lt;=EOMONTH(O$2,0)))*(IF(График!$F$13:$F$30&lt;EOMONTH(O$2,0),График!$F$13:$F$30,EOMONTH(O$2,0))-IF(График!$E$13:$E$30&gt;O$2,График!$E$13:$E$30,O$2)+1))/SUMPRODUCT(График!$F$13:$F$30-График!$E$13:$E$30+1),0)</f>
        <v>0</v>
      </c>
      <c r="P13" s="147">
        <f>SUMIFS(FIN_1_Затраты!$L$2:$L$72,FIN_1_Затраты!$G$2:$G$72,"по графику")*IFERROR(SUMPRODUCT(((График!$F$13:$F$30&gt;=P$2)*(График!$E$13:$E$30&lt;=EOMONTH(P$2,0)))*(IF(График!$F$13:$F$30&lt;EOMONTH(P$2,0),График!$F$13:$F$30,EOMONTH(P$2,0))-IF(График!$E$13:$E$30&gt;P$2,График!$E$13:$E$30,P$2)+1))/SUMPRODUCT(График!$F$13:$F$30-График!$E$13:$E$30+1),0)</f>
        <v>0</v>
      </c>
      <c r="Q13" s="147">
        <f>SUMIFS(FIN_1_Затраты!$L$2:$L$72,FIN_1_Затраты!$G$2:$G$72,"по графику")*IFERROR(SUMPRODUCT(((График!$F$13:$F$30&gt;=Q$2)*(График!$E$13:$E$30&lt;=EOMONTH(Q$2,0)))*(IF(График!$F$13:$F$30&lt;EOMONTH(Q$2,0),График!$F$13:$F$30,EOMONTH(Q$2,0))-IF(График!$E$13:$E$30&gt;Q$2,График!$E$13:$E$30,Q$2)+1))/SUMPRODUCT(График!$F$13:$F$30-График!$E$13:$E$30+1),0)</f>
        <v>0</v>
      </c>
    </row>
    <row r="14" spans="1:17">
      <c r="A14" s="374" t="s">
        <v>866</v>
      </c>
      <c r="B14" s="147">
        <f>IF(B$2=DATE(YEAR(FIN_0_Параметры!$B$4),MONTH(FIN_0_Параметры!$B$4),1),SUMIFS(FIN_1_Затраты!$L$2:$L$72,FIN_1_Затраты!$G$2:$G$72,"однократно старт",FIN_1_Затраты!$D$2:$D$72,"&lt;&gt;Страхование/БГ"),0)</f>
        <v>1133715725</v>
      </c>
      <c r="C14" s="147">
        <f>IF(C$2=DATE(YEAR(FIN_0_Параметры!$B$4),MONTH(FIN_0_Параметры!$B$4),1),SUMIFS(FIN_1_Затраты!$L$2:$L$72,FIN_1_Затраты!$G$2:$G$72,"однократно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D14" s="147">
        <f>IF(D$2=DATE(YEAR(FIN_0_Параметры!$B$4),MONTH(FIN_0_Параметры!$B$4),1),SUMIFS(FIN_1_Затраты!$L$2:$L$72,FIN_1_Затраты!$G$2:$G$72,"однократно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E14" s="147">
        <f>IF(E$2=DATE(YEAR(FIN_0_Параметры!$B$4),MONTH(FIN_0_Параметры!$B$4),1),SUMIFS(FIN_1_Затраты!$L$2:$L$72,FIN_1_Затраты!$G$2:$G$72,"однократно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F14" s="147">
        <f>IF(F$2=DATE(YEAR(FIN_0_Параметры!$B$4),MONTH(FIN_0_Параметры!$B$4),1),SUMIFS(FIN_1_Затраты!$L$2:$L$72,FIN_1_Затраты!$G$2:$G$72,"однократно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G14" s="147">
        <f>IF(G$2=DATE(YEAR(FIN_0_Параметры!$B$4),MONTH(FIN_0_Параметры!$B$4),1),SUMIFS(FIN_1_Затраты!$L$2:$L$72,FIN_1_Затраты!$G$2:$G$72,"однократно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H14" s="147">
        <f>IF(H$2=DATE(YEAR(FIN_0_Параметры!$B$4),MONTH(FIN_0_Параметры!$B$4),1),SUMIFS(FIN_1_Затраты!$L$2:$L$72,FIN_1_Затраты!$G$2:$G$72,"однократно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I14" s="147">
        <f>IF(I$2=DATE(YEAR(FIN_0_Параметры!$B$4),MONTH(FIN_0_Параметры!$B$4),1),SUMIFS(FIN_1_Затраты!$L$2:$L$72,FIN_1_Затраты!$G$2:$G$72,"однократно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J14" s="147">
        <f>IF(J$2=DATE(YEAR(FIN_0_Параметры!$B$4),MONTH(FIN_0_Параметры!$B$4),1),SUMIFS(FIN_1_Затраты!$L$2:$L$72,FIN_1_Затраты!$G$2:$G$72,"однократно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K14" s="147">
        <f>IF(K$2=DATE(YEAR(FIN_0_Параметры!$B$4),MONTH(FIN_0_Параметры!$B$4),1),SUMIFS(FIN_1_Затраты!$L$2:$L$72,FIN_1_Затраты!$G$2:$G$72,"однократно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L14" s="147">
        <f>IF(L$2=DATE(YEAR(FIN_0_Параметры!$B$4),MONTH(FIN_0_Параметры!$B$4),1),SUMIFS(FIN_1_Затраты!$L$2:$L$72,FIN_1_Затраты!$G$2:$G$72,"однократно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M14" s="147">
        <f>IF(M$2=DATE(YEAR(FIN_0_Параметры!$B$4),MONTH(FIN_0_Параметры!$B$4),1),SUMIFS(FIN_1_Затраты!$L$2:$L$72,FIN_1_Затраты!$G$2:$G$72,"однократно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N14" s="147">
        <f>IF(N$2=DATE(YEAR(FIN_0_Параметры!$B$4),MONTH(FIN_0_Параметры!$B$4),1),SUMIFS(FIN_1_Затраты!$L$2:$L$72,FIN_1_Затраты!$G$2:$G$72,"однократно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O14" s="147">
        <f>IF(O$2=DATE(YEAR(FIN_0_Параметры!$B$4),MONTH(FIN_0_Параметры!$B$4),1),SUMIFS(FIN_1_Затраты!$L$2:$L$72,FIN_1_Затраты!$G$2:$G$72,"однократно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P14" s="147">
        <f>IF(P$2=DATE(YEAR(FIN_0_Параметры!$B$4),MONTH(FIN_0_Параметры!$B$4),1),SUMIFS(FIN_1_Затраты!$L$2:$L$72,FIN_1_Затраты!$G$2:$G$72,"однократно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  <c r="Q14" s="147">
        <f>IF(Q$2=DATE(YEAR(FIN_0_Параметры!$B$4),MONTH(FIN_0_Параметры!$B$4),1),SUMIFS(FIN_1_Затраты!$L$2:$L$72,FIN_1_Затраты!$G$2:$G$72,"однократно старт",FIN_1_Затраты!$D$2:$D$72,"&lt;&gt;Страхование/БГ"),0)</f>
        <v>0</v>
      </c>
    </row>
    <row r="15" spans="1:17">
      <c r="A15" s="374" t="s">
        <v>867</v>
      </c>
      <c r="B15" s="147">
        <f>SUMIFS(FIN_1_Затраты!$H$2:$H$72,FIN_1_Затраты!$G$2:$G$72,"ежемесячно")*MAX(0,MIN(EOMONTH(B$2,0),FIN_0_Параметры!$B$5)-MAX(B$2,FIN_0_Параметры!$B$4)+1)/DAY(EOMONTH(B$2,0))</f>
        <v>9686310089.6551723</v>
      </c>
      <c r="C15" s="147">
        <f>SUMIFS(FIN_1_Затраты!$H$2:$H$72,FIN_1_Затраты!$G$2:$G$72,"ежемесячно")*MAX(0,MIN(EOMONTH(C$2,0),FIN_0_Параметры!$B$5)-MAX(C$2,FIN_0_Параметры!$B$4)+1)/DAY(EOMONTH(C$2,0))</f>
        <v>9686310089.6551723</v>
      </c>
      <c r="D15" s="147">
        <f>SUMIFS(FIN_1_Затраты!$H$2:$H$72,FIN_1_Затраты!$G$2:$G$72,"ежемесячно")*MAX(0,MIN(EOMONTH(D$2,0),FIN_0_Параметры!$B$5)-MAX(D$2,FIN_0_Параметры!$B$4)+1)/DAY(EOMONTH(D$2,0))</f>
        <v>9686310089.6551723</v>
      </c>
      <c r="E15" s="147">
        <f>SUMIFS(FIN_1_Затраты!$H$2:$H$72,FIN_1_Затраты!$G$2:$G$72,"ежемесячно")*MAX(0,MIN(EOMONTH(E$2,0),FIN_0_Параметры!$B$5)-MAX(E$2,FIN_0_Параметры!$B$4)+1)/DAY(EOMONTH(E$2,0))</f>
        <v>9686310089.6551723</v>
      </c>
      <c r="F15" s="147">
        <f>SUMIFS(FIN_1_Затраты!$H$2:$H$72,FIN_1_Затраты!$G$2:$G$72,"ежемесячно")*MAX(0,MIN(EOMONTH(F$2,0),FIN_0_Параметры!$B$5)-MAX(F$2,FIN_0_Параметры!$B$4)+1)/DAY(EOMONTH(F$2,0))</f>
        <v>9686310089.6551723</v>
      </c>
      <c r="G15" s="147">
        <f>SUMIFS(FIN_1_Затраты!$H$2:$H$72,FIN_1_Затраты!$G$2:$G$72,"ежемесячно")*MAX(0,MIN(EOMONTH(G$2,0),FIN_0_Параметры!$B$5)-MAX(G$2,FIN_0_Параметры!$B$4)+1)/DAY(EOMONTH(G$2,0))</f>
        <v>9686310089.6551723</v>
      </c>
      <c r="H15" s="147">
        <f>SUMIFS(FIN_1_Затраты!$H$2:$H$72,FIN_1_Затраты!$G$2:$G$72,"ежемесячно")*MAX(0,MIN(EOMONTH(H$2,0),FIN_0_Параметры!$B$5)-MAX(H$2,FIN_0_Параметры!$B$4)+1)/DAY(EOMONTH(H$2,0))</f>
        <v>9686310089.6551723</v>
      </c>
      <c r="I15" s="147">
        <f>SUMIFS(FIN_1_Затраты!$H$2:$H$72,FIN_1_Затраты!$G$2:$G$72,"ежемесячно")*MAX(0,MIN(EOMONTH(I$2,0),FIN_0_Параметры!$B$5)-MAX(I$2,FIN_0_Параметры!$B$4)+1)/DAY(EOMONTH(I$2,0))</f>
        <v>9686310089.6551723</v>
      </c>
      <c r="J15" s="147">
        <f>SUMIFS(FIN_1_Затраты!$H$2:$H$72,FIN_1_Затраты!$G$2:$G$72,"ежемесячно")*MAX(0,MIN(EOMONTH(J$2,0),FIN_0_Параметры!$B$5)-MAX(J$2,FIN_0_Параметры!$B$4)+1)/DAY(EOMONTH(J$2,0))</f>
        <v>9686310089.6551723</v>
      </c>
      <c r="K15" s="147">
        <f>SUMIFS(FIN_1_Затраты!$H$2:$H$72,FIN_1_Затраты!$G$2:$G$72,"ежемесячно")*MAX(0,MIN(EOMONTH(K$2,0),FIN_0_Параметры!$B$5)-MAX(K$2,FIN_0_Параметры!$B$4)+1)/DAY(EOMONTH(K$2,0))</f>
        <v>0</v>
      </c>
      <c r="L15" s="147">
        <f>SUMIFS(FIN_1_Затраты!$H$2:$H$72,FIN_1_Затраты!$G$2:$G$72,"ежемесячно")*MAX(0,MIN(EOMONTH(L$2,0),FIN_0_Параметры!$B$5)-MAX(L$2,FIN_0_Параметры!$B$4)+1)/DAY(EOMONTH(L$2,0))</f>
        <v>0</v>
      </c>
      <c r="M15" s="147">
        <f>SUMIFS(FIN_1_Затраты!$H$2:$H$72,FIN_1_Затраты!$G$2:$G$72,"ежемесячно")*MAX(0,MIN(EOMONTH(M$2,0),FIN_0_Параметры!$B$5)-MAX(M$2,FIN_0_Параметры!$B$4)+1)/DAY(EOMONTH(M$2,0))</f>
        <v>0</v>
      </c>
      <c r="N15" s="147">
        <f>SUMIFS(FIN_1_Затраты!$H$2:$H$72,FIN_1_Затраты!$G$2:$G$72,"ежемесячно")*MAX(0,MIN(EOMONTH(N$2,0),FIN_0_Параметры!$B$5)-MAX(N$2,FIN_0_Параметры!$B$4)+1)/DAY(EOMONTH(N$2,0))</f>
        <v>0</v>
      </c>
      <c r="O15" s="147">
        <f>SUMIFS(FIN_1_Затраты!$H$2:$H$72,FIN_1_Затраты!$G$2:$G$72,"ежемесячно")*MAX(0,MIN(EOMONTH(O$2,0),FIN_0_Параметры!$B$5)-MAX(O$2,FIN_0_Параметры!$B$4)+1)/DAY(EOMONTH(O$2,0))</f>
        <v>0</v>
      </c>
      <c r="P15" s="147">
        <f>SUMIFS(FIN_1_Затраты!$H$2:$H$72,FIN_1_Затраты!$G$2:$G$72,"ежемесячно")*MAX(0,MIN(EOMONTH(P$2,0),FIN_0_Параметры!$B$5)-MAX(P$2,FIN_0_Параметры!$B$4)+1)/DAY(EOMONTH(P$2,0))</f>
        <v>0</v>
      </c>
      <c r="Q15" s="147">
        <f>SUMIFS(FIN_1_Затраты!$H$2:$H$72,FIN_1_Затраты!$G$2:$G$72,"ежемесячно")*MAX(0,MIN(EOMONTH(Q$2,0),FIN_0_Параметры!$B$5)-MAX(Q$2,FIN_0_Параметры!$B$4)+1)/DAY(EOMONTH(Q$2,0))</f>
        <v>0</v>
      </c>
    </row>
    <row r="16" spans="1:17">
      <c r="A16" s="374" t="s">
        <v>868</v>
      </c>
      <c r="B16" s="147">
        <f>IF(B$2=DATE(YEAR(FIN_0_Параметры!$B$5),MONTH(FIN_0_Параметры!$B$5),1),SUMIFS(FIN_1_Затраты!$L$2:$L$72,FIN_1_Затраты!$G$2:$G$72,"однократно финиш"),0)</f>
        <v>0</v>
      </c>
      <c r="C16" s="147">
        <f>IF(C$2=DATE(YEAR(FIN_0_Параметры!$B$5),MONTH(FIN_0_Параметры!$B$5),1),SUMIFS(FIN_1_Затраты!$L$2:$L$72,FIN_1_Затраты!$G$2:$G$72,"однократно финиш"),0)</f>
        <v>0</v>
      </c>
      <c r="D16" s="147">
        <f>IF(D$2=DATE(YEAR(FIN_0_Параметры!$B$5),MONTH(FIN_0_Параметры!$B$5),1),SUMIFS(FIN_1_Затраты!$L$2:$L$72,FIN_1_Затраты!$G$2:$G$72,"однократно финиш"),0)</f>
        <v>0</v>
      </c>
      <c r="E16" s="147">
        <f>IF(E$2=DATE(YEAR(FIN_0_Параметры!$B$5),MONTH(FIN_0_Параметры!$B$5),1),SUMIFS(FIN_1_Затраты!$L$2:$L$72,FIN_1_Затраты!$G$2:$G$72,"однократно финиш"),0)</f>
        <v>0</v>
      </c>
      <c r="F16" s="147">
        <f>IF(F$2=DATE(YEAR(FIN_0_Параметры!$B$5),MONTH(FIN_0_Параметры!$B$5),1),SUMIFS(FIN_1_Затраты!$L$2:$L$72,FIN_1_Затраты!$G$2:$G$72,"однократно финиш"),0)</f>
        <v>0</v>
      </c>
      <c r="G16" s="147">
        <f>IF(G$2=DATE(YEAR(FIN_0_Параметры!$B$5),MONTH(FIN_0_Параметры!$B$5),1),SUMIFS(FIN_1_Затраты!$L$2:$L$72,FIN_1_Затраты!$G$2:$G$72,"однократно финиш"),0)</f>
        <v>0</v>
      </c>
      <c r="H16" s="147">
        <f>IF(H$2=DATE(YEAR(FIN_0_Параметры!$B$5),MONTH(FIN_0_Параметры!$B$5),1),SUMIFS(FIN_1_Затраты!$L$2:$L$72,FIN_1_Затраты!$G$2:$G$72,"однократно финиш"),0)</f>
        <v>0</v>
      </c>
      <c r="I16" s="147">
        <f>IF(I$2=DATE(YEAR(FIN_0_Параметры!$B$5),MONTH(FIN_0_Параметры!$B$5),1),SUMIFS(FIN_1_Затраты!$L$2:$L$72,FIN_1_Затраты!$G$2:$G$72,"однократно финиш"),0)</f>
        <v>0</v>
      </c>
      <c r="J16" s="147">
        <f>IF(J$2=DATE(YEAR(FIN_0_Параметры!$B$5),MONTH(FIN_0_Параметры!$B$5),1),SUMIFS(FIN_1_Затраты!$L$2:$L$72,FIN_1_Затраты!$G$2:$G$72,"однократно финиш"),0)</f>
        <v>588000000</v>
      </c>
      <c r="K16" s="147">
        <f>IF(K$2=DATE(YEAR(FIN_0_Параметры!$B$5),MONTH(FIN_0_Параметры!$B$5),1),SUMIFS(FIN_1_Затраты!$L$2:$L$72,FIN_1_Затраты!$G$2:$G$72,"однократно финиш"),0)</f>
        <v>0</v>
      </c>
      <c r="L16" s="147">
        <f>IF(L$2=DATE(YEAR(FIN_0_Параметры!$B$5),MONTH(FIN_0_Параметры!$B$5),1),SUMIFS(FIN_1_Затраты!$L$2:$L$72,FIN_1_Затраты!$G$2:$G$72,"однократно финиш"),0)</f>
        <v>0</v>
      </c>
      <c r="M16" s="147">
        <f>IF(M$2=DATE(YEAR(FIN_0_Параметры!$B$5),MONTH(FIN_0_Параметры!$B$5),1),SUMIFS(FIN_1_Затраты!$L$2:$L$72,FIN_1_Затраты!$G$2:$G$72,"однократно финиш"),0)</f>
        <v>0</v>
      </c>
      <c r="N16" s="147">
        <f>IF(N$2=DATE(YEAR(FIN_0_Параметры!$B$5),MONTH(FIN_0_Параметры!$B$5),1),SUMIFS(FIN_1_Затраты!$L$2:$L$72,FIN_1_Затраты!$G$2:$G$72,"однократно финиш"),0)</f>
        <v>0</v>
      </c>
      <c r="O16" s="147">
        <f>IF(O$2=DATE(YEAR(FIN_0_Параметры!$B$5),MONTH(FIN_0_Параметры!$B$5),1),SUMIFS(FIN_1_Затраты!$L$2:$L$72,FIN_1_Затраты!$G$2:$G$72,"однократно финиш"),0)</f>
        <v>0</v>
      </c>
      <c r="P16" s="147">
        <f>IF(P$2=DATE(YEAR(FIN_0_Параметры!$B$5),MONTH(FIN_0_Параметры!$B$5),1),SUMIFS(FIN_1_Затраты!$L$2:$L$72,FIN_1_Затраты!$G$2:$G$72,"однократно финиш"),0)</f>
        <v>0</v>
      </c>
      <c r="Q16" s="147">
        <f>IF(Q$2=DATE(YEAR(FIN_0_Параметры!$B$5),MONTH(FIN_0_Параметры!$B$5),1),SUMIFS(FIN_1_Затраты!$L$2:$L$72,FIN_1_Затраты!$G$2:$G$72,"однократно финиш"),0)</f>
        <v>0</v>
      </c>
    </row>
    <row r="17" spans="1:17">
      <c r="A17" s="374" t="s">
        <v>833</v>
      </c>
      <c r="B17" s="147">
        <f>IF(B$2=DATE(YEAR(FIN_0_Параметры!$B$4),MONTH(FIN_0_Параметры!$B$4),1),SUMIFS(FIN_1_Затраты!$L$2:$L$72,FIN_1_Затраты!$D$2:$D$72,"Страхование/БГ"),0)</f>
        <v>1613231331.5232384</v>
      </c>
      <c r="C17" s="147">
        <f>IF(C$2=DATE(YEAR(FIN_0_Параметры!$B$4),MONTH(FIN_0_Параметры!$B$4),1),SUMIFS(FIN_1_Затраты!$L$2:$L$72,FIN_1_Затраты!$D$2:$D$72,"Страхование/БГ"),0)</f>
        <v>0</v>
      </c>
      <c r="D17" s="147">
        <f>IF(D$2=DATE(YEAR(FIN_0_Параметры!$B$4),MONTH(FIN_0_Параметры!$B$4),1),SUMIFS(FIN_1_Затраты!$L$2:$L$72,FIN_1_Затраты!$D$2:$D$72,"Страхование/БГ"),0)</f>
        <v>0</v>
      </c>
      <c r="E17" s="147">
        <f>IF(E$2=DATE(YEAR(FIN_0_Параметры!$B$4),MONTH(FIN_0_Параметры!$B$4),1),SUMIFS(FIN_1_Затраты!$L$2:$L$72,FIN_1_Затраты!$D$2:$D$72,"Страхование/БГ"),0)</f>
        <v>0</v>
      </c>
      <c r="F17" s="147">
        <f>IF(F$2=DATE(YEAR(FIN_0_Параметры!$B$4),MONTH(FIN_0_Параметры!$B$4),1),SUMIFS(FIN_1_Затраты!$L$2:$L$72,FIN_1_Затраты!$D$2:$D$72,"Страхование/БГ"),0)</f>
        <v>0</v>
      </c>
      <c r="G17" s="147">
        <f>IF(G$2=DATE(YEAR(FIN_0_Параметры!$B$4),MONTH(FIN_0_Параметры!$B$4),1),SUMIFS(FIN_1_Затраты!$L$2:$L$72,FIN_1_Затраты!$D$2:$D$72,"Страхование/БГ"),0)</f>
        <v>0</v>
      </c>
      <c r="H17" s="147">
        <f>IF(H$2=DATE(YEAR(FIN_0_Параметры!$B$4),MONTH(FIN_0_Параметры!$B$4),1),SUMIFS(FIN_1_Затраты!$L$2:$L$72,FIN_1_Затраты!$D$2:$D$72,"Страхование/БГ"),0)</f>
        <v>0</v>
      </c>
      <c r="I17" s="147">
        <f>IF(I$2=DATE(YEAR(FIN_0_Параметры!$B$4),MONTH(FIN_0_Параметры!$B$4),1),SUMIFS(FIN_1_Затраты!$L$2:$L$72,FIN_1_Затраты!$D$2:$D$72,"Страхование/БГ"),0)</f>
        <v>0</v>
      </c>
      <c r="J17" s="147">
        <f>IF(J$2=DATE(YEAR(FIN_0_Параметры!$B$4),MONTH(FIN_0_Параметры!$B$4),1),SUMIFS(FIN_1_Затраты!$L$2:$L$72,FIN_1_Затраты!$D$2:$D$72,"Страхование/БГ"),0)</f>
        <v>0</v>
      </c>
      <c r="K17" s="147">
        <f>IF(K$2=DATE(YEAR(FIN_0_Параметры!$B$4),MONTH(FIN_0_Параметры!$B$4),1),SUMIFS(FIN_1_Затраты!$L$2:$L$72,FIN_1_Затраты!$D$2:$D$72,"Страхование/БГ"),0)</f>
        <v>0</v>
      </c>
      <c r="L17" s="147">
        <f>IF(L$2=DATE(YEAR(FIN_0_Параметры!$B$4),MONTH(FIN_0_Параметры!$B$4),1),SUMIFS(FIN_1_Затраты!$L$2:$L$72,FIN_1_Затраты!$D$2:$D$72,"Страхование/БГ"),0)</f>
        <v>0</v>
      </c>
      <c r="M17" s="147">
        <f>IF(M$2=DATE(YEAR(FIN_0_Параметры!$B$4),MONTH(FIN_0_Параметры!$B$4),1),SUMIFS(FIN_1_Затраты!$L$2:$L$72,FIN_1_Затраты!$D$2:$D$72,"Страхование/БГ"),0)</f>
        <v>0</v>
      </c>
      <c r="N17" s="147">
        <f>IF(N$2=DATE(YEAR(FIN_0_Параметры!$B$4),MONTH(FIN_0_Параметры!$B$4),1),SUMIFS(FIN_1_Затраты!$L$2:$L$72,FIN_1_Затраты!$D$2:$D$72,"Страхование/БГ"),0)</f>
        <v>0</v>
      </c>
      <c r="O17" s="147">
        <f>IF(O$2=DATE(YEAR(FIN_0_Параметры!$B$4),MONTH(FIN_0_Параметры!$B$4),1),SUMIFS(FIN_1_Затраты!$L$2:$L$72,FIN_1_Затраты!$D$2:$D$72,"Страхование/БГ"),0)</f>
        <v>0</v>
      </c>
      <c r="P17" s="147">
        <f>IF(P$2=DATE(YEAR(FIN_0_Параметры!$B$4),MONTH(FIN_0_Параметры!$B$4),1),SUMIFS(FIN_1_Затраты!$L$2:$L$72,FIN_1_Затраты!$D$2:$D$72,"Страхование/БГ"),0)</f>
        <v>0</v>
      </c>
      <c r="Q17" s="147">
        <f>IF(Q$2=DATE(YEAR(FIN_0_Параметры!$B$4),MONTH(FIN_0_Параметры!$B$4),1),SUMIFS(FIN_1_Затраты!$L$2:$L$72,FIN_1_Затраты!$D$2:$D$72,"Страхование/БГ"),0)</f>
        <v>0</v>
      </c>
    </row>
    <row r="18" spans="1:17">
      <c r="A18" s="146" t="s">
        <v>869</v>
      </c>
      <c r="B18" s="375">
        <f t="shared" ref="B18:Q18" si="2">SUM(B13:B17)</f>
        <v>12433257146.178411</v>
      </c>
      <c r="C18" s="375">
        <f t="shared" si="2"/>
        <v>9686310089.6551723</v>
      </c>
      <c r="D18" s="375">
        <f t="shared" si="2"/>
        <v>9785882849.9844971</v>
      </c>
      <c r="E18" s="375">
        <f t="shared" si="2"/>
        <v>11528406155.747667</v>
      </c>
      <c r="F18" s="375">
        <f t="shared" si="2"/>
        <v>11152242394.503553</v>
      </c>
      <c r="G18" s="375">
        <f t="shared" si="2"/>
        <v>10245023911.503046</v>
      </c>
      <c r="H18" s="375">
        <f t="shared" si="2"/>
        <v>9996092010.6797352</v>
      </c>
      <c r="I18" s="375">
        <f t="shared" si="2"/>
        <v>10007155650.716328</v>
      </c>
      <c r="J18" s="375">
        <f t="shared" si="2"/>
        <v>10357287389.929609</v>
      </c>
      <c r="K18" s="375">
        <f t="shared" si="2"/>
        <v>0</v>
      </c>
      <c r="L18" s="375">
        <f t="shared" si="2"/>
        <v>0</v>
      </c>
      <c r="M18" s="375">
        <f t="shared" si="2"/>
        <v>0</v>
      </c>
      <c r="N18" s="375">
        <f t="shared" si="2"/>
        <v>0</v>
      </c>
      <c r="O18" s="375">
        <f t="shared" si="2"/>
        <v>0</v>
      </c>
      <c r="P18" s="375">
        <f t="shared" si="2"/>
        <v>0</v>
      </c>
      <c r="Q18" s="375">
        <f t="shared" si="2"/>
        <v>0</v>
      </c>
    </row>
    <row r="19" spans="1:17">
      <c r="A19" s="374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</row>
    <row r="20" spans="1:17">
      <c r="A20" s="363" t="s">
        <v>870</v>
      </c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</row>
    <row r="21" spans="1:17">
      <c r="A21" s="374" t="s">
        <v>871</v>
      </c>
      <c r="B21" s="147">
        <f>IF(B$2=DATE(YEAR(FIN_0_Параметры!$B$4),MONTH(FIN_0_Параметры!$B$4),1),FIN_3_PnL!$B$28*FIN_0_Параметры!$B$16,0)</f>
        <v>40089448595.121017</v>
      </c>
      <c r="C21" s="147">
        <f>IF(C$2=DATE(YEAR(FIN_0_Параметры!$B$4),MONTH(FIN_0_Параметры!$B$4),1),FIN_3_PnL!$B$28*FIN_0_Параметры!$B$16,0)</f>
        <v>0</v>
      </c>
      <c r="D21" s="147">
        <f>IF(D$2=DATE(YEAR(FIN_0_Параметры!$B$4),MONTH(FIN_0_Параметры!$B$4),1),FIN_3_PnL!$B$28*FIN_0_Параметры!$B$16,0)</f>
        <v>0</v>
      </c>
      <c r="E21" s="147">
        <f>IF(E$2=DATE(YEAR(FIN_0_Параметры!$B$4),MONTH(FIN_0_Параметры!$B$4),1),FIN_3_PnL!$B$28*FIN_0_Параметры!$B$16,0)</f>
        <v>0</v>
      </c>
      <c r="F21" s="147">
        <f>IF(F$2=DATE(YEAR(FIN_0_Параметры!$B$4),MONTH(FIN_0_Параметры!$B$4),1),FIN_3_PnL!$B$28*FIN_0_Параметры!$B$16,0)</f>
        <v>0</v>
      </c>
      <c r="G21" s="147">
        <f>IF(G$2=DATE(YEAR(FIN_0_Параметры!$B$4),MONTH(FIN_0_Параметры!$B$4),1),FIN_3_PnL!$B$28*FIN_0_Параметры!$B$16,0)</f>
        <v>0</v>
      </c>
      <c r="H21" s="147">
        <f>IF(H$2=DATE(YEAR(FIN_0_Параметры!$B$4),MONTH(FIN_0_Параметры!$B$4),1),FIN_3_PnL!$B$28*FIN_0_Параметры!$B$16,0)</f>
        <v>0</v>
      </c>
      <c r="I21" s="147">
        <f>IF(I$2=DATE(YEAR(FIN_0_Параметры!$B$4),MONTH(FIN_0_Параметры!$B$4),1),FIN_3_PnL!$B$28*FIN_0_Параметры!$B$16,0)</f>
        <v>0</v>
      </c>
      <c r="J21" s="147">
        <f>IF(J$2=DATE(YEAR(FIN_0_Параметры!$B$4),MONTH(FIN_0_Параметры!$B$4),1),FIN_3_PnL!$B$28*FIN_0_Параметры!$B$16,0)</f>
        <v>0</v>
      </c>
      <c r="K21" s="147">
        <f>IF(K$2=DATE(YEAR(FIN_0_Параметры!$B$4),MONTH(FIN_0_Параметры!$B$4),1),FIN_3_PnL!$B$28*FIN_0_Параметры!$B$16,0)</f>
        <v>0</v>
      </c>
      <c r="L21" s="147">
        <f>IF(L$2=DATE(YEAR(FIN_0_Параметры!$B$4),MONTH(FIN_0_Параметры!$B$4),1),FIN_3_PnL!$B$28*FIN_0_Параметры!$B$16,0)</f>
        <v>0</v>
      </c>
      <c r="M21" s="147">
        <f>IF(M$2=DATE(YEAR(FIN_0_Параметры!$B$4),MONTH(FIN_0_Параметры!$B$4),1),FIN_3_PnL!$B$28*FIN_0_Параметры!$B$16,0)</f>
        <v>0</v>
      </c>
      <c r="N21" s="147">
        <f>IF(N$2=DATE(YEAR(FIN_0_Параметры!$B$4),MONTH(FIN_0_Параметры!$B$4),1),FIN_3_PnL!$B$28*FIN_0_Параметры!$B$16,0)</f>
        <v>0</v>
      </c>
      <c r="O21" s="147">
        <f>IF(O$2=DATE(YEAR(FIN_0_Параметры!$B$4),MONTH(FIN_0_Параметры!$B$4),1),FIN_3_PnL!$B$28*FIN_0_Параметры!$B$16,0)</f>
        <v>0</v>
      </c>
      <c r="P21" s="147">
        <f>IF(P$2=DATE(YEAR(FIN_0_Параметры!$B$4),MONTH(FIN_0_Параметры!$B$4),1),FIN_3_PnL!$B$28*FIN_0_Параметры!$B$16,0)</f>
        <v>0</v>
      </c>
      <c r="Q21" s="147">
        <f>IF(Q$2=DATE(YEAR(FIN_0_Параметры!$B$4),MONTH(FIN_0_Параметры!$B$4),1),FIN_3_PnL!$B$28*FIN_0_Параметры!$B$16,0)</f>
        <v>0</v>
      </c>
    </row>
    <row r="22" spans="1:17">
      <c r="A22" s="374" t="s">
        <v>872</v>
      </c>
      <c r="B22" s="147">
        <f>B5*(1+FIN_0_Параметры!$B$10)</f>
        <v>15451170602.617496</v>
      </c>
      <c r="C22" s="147">
        <f>C5*(1+FIN_0_Параметры!$B$10)</f>
        <v>13832206343.020353</v>
      </c>
      <c r="D22" s="147">
        <f>D5*(1+FIN_0_Параметры!$B$10)</f>
        <v>13974397843.630091</v>
      </c>
      <c r="E22" s="147">
        <f>E5*(1+FIN_0_Параметры!$B$10)</f>
        <v>16462749104.300518</v>
      </c>
      <c r="F22" s="147">
        <f>F5*(1+FIN_0_Параметры!$B$10)</f>
        <v>15925581213.10817</v>
      </c>
      <c r="G22" s="147">
        <f>G5*(1+FIN_0_Параметры!$B$10)</f>
        <v>14630058651.997219</v>
      </c>
      <c r="H22" s="147">
        <f>H5*(1+FIN_0_Параметры!$B$10)</f>
        <v>14274579900.472872</v>
      </c>
      <c r="I22" s="147">
        <f>I5*(1+FIN_0_Параметры!$B$10)</f>
        <v>14290378956.096176</v>
      </c>
      <c r="J22" s="147">
        <f>J5*(1+FIN_0_Параметры!$B$10)</f>
        <v>14790372701.827181</v>
      </c>
      <c r="K22" s="147">
        <f>K5*(1+FIN_0_Параметры!$B$10)</f>
        <v>0</v>
      </c>
      <c r="L22" s="147">
        <f>L5*(1+FIN_0_Параметры!$B$10)</f>
        <v>0</v>
      </c>
      <c r="M22" s="147">
        <f>M5*(1+FIN_0_Параметры!$B$10)</f>
        <v>0</v>
      </c>
      <c r="N22" s="147">
        <f>N5*(1+FIN_0_Параметры!$B$10)</f>
        <v>0</v>
      </c>
      <c r="O22" s="147">
        <f>O5*(1+FIN_0_Параметры!$B$10)</f>
        <v>0</v>
      </c>
      <c r="P22" s="147">
        <f>P5*(1+FIN_0_Параметры!$B$10)</f>
        <v>0</v>
      </c>
      <c r="Q22" s="147">
        <f>Q5*(1+FIN_0_Параметры!$B$10)</f>
        <v>0</v>
      </c>
    </row>
    <row r="23" spans="1:17">
      <c r="A23" s="374" t="s">
        <v>873</v>
      </c>
      <c r="B23" s="147">
        <f>MIN(B22*FIN_0_Параметры!$B$20,MAX(0,FIN_3_PnL!$B$28*FIN_0_Параметры!$B$16-0))</f>
        <v>4635351180.7852488</v>
      </c>
      <c r="C23" s="147">
        <f>MIN(C22*FIN_0_Параметры!$B$20,MAX(0,FIN_3_PnL!$B$28*FIN_0_Параметры!$B$16-SUM($B$23:B$23)))</f>
        <v>4149661902.906106</v>
      </c>
      <c r="D23" s="147">
        <f>MIN(D22*FIN_0_Параметры!$B$20,MAX(0,FIN_3_PnL!$B$28*FIN_0_Параметры!$B$16-SUM($B$23:C$23)))</f>
        <v>4192319353.0890269</v>
      </c>
      <c r="E23" s="147">
        <f>MIN(E22*FIN_0_Параметры!$B$20,MAX(0,FIN_3_PnL!$B$28*FIN_0_Параметры!$B$16-SUM($B$23:D$23)))</f>
        <v>4938824731.2901554</v>
      </c>
      <c r="F23" s="147">
        <f>MIN(F22*FIN_0_Параметры!$B$20,MAX(0,FIN_3_PnL!$B$28*FIN_0_Параметры!$B$16-SUM($B$23:E$23)))</f>
        <v>4777674363.9324503</v>
      </c>
      <c r="G23" s="147">
        <f>MIN(G22*FIN_0_Параметры!$B$20,MAX(0,FIN_3_PnL!$B$28*FIN_0_Параметры!$B$16-SUM($B$23:F$23)))</f>
        <v>4389017595.5991659</v>
      </c>
      <c r="H23" s="147">
        <f>MIN(H22*FIN_0_Параметры!$B$20,MAX(0,FIN_3_PnL!$B$28*FIN_0_Параметры!$B$16-SUM($B$23:G$23)))</f>
        <v>4282373970.1418614</v>
      </c>
      <c r="I23" s="147">
        <f>MIN(I22*FIN_0_Параметры!$B$20,MAX(0,FIN_3_PnL!$B$28*FIN_0_Параметры!$B$16-SUM($B$23:H$23)))</f>
        <v>4287113686.8288527</v>
      </c>
      <c r="J23" s="147">
        <f>MIN(J22*FIN_0_Параметры!$B$20,MAX(0,FIN_3_PnL!$B$28*FIN_0_Параметры!$B$16-SUM($B$23:I$23)))</f>
        <v>4437111810.5481491</v>
      </c>
      <c r="K23" s="147">
        <f>MIN(K22*FIN_0_Параметры!$B$20,MAX(0,FIN_3_PnL!$B$28*FIN_0_Параметры!$B$16-SUM($B$23:J$23)))</f>
        <v>0</v>
      </c>
      <c r="L23" s="147">
        <f>MIN(L22*FIN_0_Параметры!$B$20,MAX(0,FIN_3_PnL!$B$28*FIN_0_Параметры!$B$16-SUM($B$23:K$23)))</f>
        <v>0</v>
      </c>
      <c r="M23" s="147">
        <f>MIN(M22*FIN_0_Параметры!$B$20,MAX(0,FIN_3_PnL!$B$28*FIN_0_Параметры!$B$16-SUM($B$23:L$23)))</f>
        <v>0</v>
      </c>
      <c r="N23" s="147">
        <f>MIN(N22*FIN_0_Параметры!$B$20,MAX(0,FIN_3_PnL!$B$28*FIN_0_Параметры!$B$16-SUM($B$23:M$23)))</f>
        <v>0</v>
      </c>
      <c r="O23" s="147">
        <f>MIN(O22*FIN_0_Параметры!$B$20,MAX(0,FIN_3_PnL!$B$28*FIN_0_Параметры!$B$16-SUM($B$23:N$23)))</f>
        <v>0</v>
      </c>
      <c r="P23" s="147">
        <f>MIN(P22*FIN_0_Параметры!$B$20,MAX(0,FIN_3_PnL!$B$28*FIN_0_Параметры!$B$16-SUM($B$23:O$23)))</f>
        <v>0</v>
      </c>
      <c r="Q23" s="147">
        <f>MIN(Q22*FIN_0_Параметры!$B$20,MAX(0,FIN_3_PnL!$B$28*FIN_0_Параметры!$B$16-SUM($B$23:P$23)))</f>
        <v>0</v>
      </c>
    </row>
    <row r="24" spans="1:17">
      <c r="A24" s="374" t="s">
        <v>874</v>
      </c>
      <c r="B24" s="147">
        <f>B22*FIN_0_Параметры!$B$19</f>
        <v>0</v>
      </c>
      <c r="C24" s="147">
        <f>C22*FIN_0_Параметры!$B$19</f>
        <v>0</v>
      </c>
      <c r="D24" s="147">
        <f>D22*FIN_0_Параметры!$B$19</f>
        <v>0</v>
      </c>
      <c r="E24" s="147">
        <f>E22*FIN_0_Параметры!$B$19</f>
        <v>0</v>
      </c>
      <c r="F24" s="147">
        <f>F22*FIN_0_Параметры!$B$19</f>
        <v>0</v>
      </c>
      <c r="G24" s="147">
        <f>G22*FIN_0_Параметры!$B$19</f>
        <v>0</v>
      </c>
      <c r="H24" s="147">
        <f>H22*FIN_0_Параметры!$B$19</f>
        <v>0</v>
      </c>
      <c r="I24" s="147">
        <f>I22*FIN_0_Параметры!$B$19</f>
        <v>0</v>
      </c>
      <c r="J24" s="147">
        <f>J22*FIN_0_Параметры!$B$19</f>
        <v>0</v>
      </c>
      <c r="K24" s="147">
        <f>K22*FIN_0_Параметры!$B$19</f>
        <v>0</v>
      </c>
      <c r="L24" s="147">
        <f>L22*FIN_0_Параметры!$B$19</f>
        <v>0</v>
      </c>
      <c r="M24" s="147">
        <f>M22*FIN_0_Параметры!$B$19</f>
        <v>0</v>
      </c>
      <c r="N24" s="147">
        <f>N22*FIN_0_Параметры!$B$19</f>
        <v>0</v>
      </c>
      <c r="O24" s="147">
        <f>O22*FIN_0_Параметры!$B$19</f>
        <v>0</v>
      </c>
      <c r="P24" s="147">
        <f>P22*FIN_0_Параметры!$B$19</f>
        <v>0</v>
      </c>
      <c r="Q24" s="147">
        <f>Q22*FIN_0_Параметры!$B$19</f>
        <v>0</v>
      </c>
    </row>
    <row r="25" spans="1:17">
      <c r="A25" s="374" t="s">
        <v>875</v>
      </c>
      <c r="B25" s="147">
        <f t="shared" ref="B25:Q25" si="3">B22-B23-B24</f>
        <v>10815819421.832249</v>
      </c>
      <c r="C25" s="147">
        <f t="shared" si="3"/>
        <v>9682544440.1142464</v>
      </c>
      <c r="D25" s="147">
        <f t="shared" si="3"/>
        <v>9782078490.5410633</v>
      </c>
      <c r="E25" s="147">
        <f t="shared" si="3"/>
        <v>11523924373.010363</v>
      </c>
      <c r="F25" s="147">
        <f t="shared" si="3"/>
        <v>11147906849.17572</v>
      </c>
      <c r="G25" s="147">
        <f t="shared" si="3"/>
        <v>10241041056.398052</v>
      </c>
      <c r="H25" s="147">
        <f t="shared" si="3"/>
        <v>9992205930.3310108</v>
      </c>
      <c r="I25" s="147">
        <f t="shared" si="3"/>
        <v>10003265269.267323</v>
      </c>
      <c r="J25" s="147">
        <f t="shared" si="3"/>
        <v>10353260891.279032</v>
      </c>
      <c r="K25" s="147">
        <f t="shared" si="3"/>
        <v>0</v>
      </c>
      <c r="L25" s="147">
        <f t="shared" si="3"/>
        <v>0</v>
      </c>
      <c r="M25" s="147">
        <f t="shared" si="3"/>
        <v>0</v>
      </c>
      <c r="N25" s="147">
        <f t="shared" si="3"/>
        <v>0</v>
      </c>
      <c r="O25" s="147">
        <f t="shared" si="3"/>
        <v>0</v>
      </c>
      <c r="P25" s="147">
        <f t="shared" si="3"/>
        <v>0</v>
      </c>
      <c r="Q25" s="147">
        <f t="shared" si="3"/>
        <v>0</v>
      </c>
    </row>
    <row r="26" spans="1:17">
      <c r="A26" s="374" t="s">
        <v>876</v>
      </c>
      <c r="B26" s="147">
        <f>IFERROR(INDEX($B$25:$Q$25,1,COLUMNS($B:B)-FIN_0_Параметры!$B$22),0)</f>
        <v>0</v>
      </c>
      <c r="C26" s="147">
        <f>IFERROR(INDEX($B$25:$Q$25,1,COLUMNS($B:C)-FIN_0_Параметры!$B$22),0)</f>
        <v>9682544440.1142464</v>
      </c>
      <c r="D26" s="147">
        <f>IFERROR(INDEX($B$25:$Q$25,1,COLUMNS($B:D)-FIN_0_Параметры!$B$22),0)</f>
        <v>10815819421.832249</v>
      </c>
      <c r="E26" s="147">
        <f>IFERROR(INDEX($B$25:$Q$25,1,COLUMNS($B:E)-FIN_0_Параметры!$B$22),0)</f>
        <v>9682544440.1142464</v>
      </c>
      <c r="F26" s="147">
        <f>IFERROR(INDEX($B$25:$Q$25,1,COLUMNS($B:F)-FIN_0_Параметры!$B$22),0)</f>
        <v>9782078490.5410633</v>
      </c>
      <c r="G26" s="147">
        <f>IFERROR(INDEX($B$25:$Q$25,1,COLUMNS($B:G)-FIN_0_Параметры!$B$22),0)</f>
        <v>11523924373.010363</v>
      </c>
      <c r="H26" s="147">
        <f>IFERROR(INDEX($B$25:$Q$25,1,COLUMNS($B:H)-FIN_0_Параметры!$B$22),0)</f>
        <v>11147906849.17572</v>
      </c>
      <c r="I26" s="147">
        <f>IFERROR(INDEX($B$25:$Q$25,1,COLUMNS($B:I)-FIN_0_Параметры!$B$22),0)</f>
        <v>10241041056.398052</v>
      </c>
      <c r="J26" s="147">
        <f>IFERROR(INDEX($B$25:$Q$25,1,COLUMNS($B:J)-FIN_0_Параметры!$B$22),0)</f>
        <v>9992205930.3310108</v>
      </c>
      <c r="K26" s="147">
        <f>IFERROR(INDEX($B$25:$Q$25,1,COLUMNS($B:K)-FIN_0_Параметры!$B$22),0)</f>
        <v>10003265269.267323</v>
      </c>
      <c r="L26" s="147">
        <f>IFERROR(INDEX($B$25:$Q$25,1,COLUMNS($B:L)-FIN_0_Параметры!$B$22),0)</f>
        <v>10353260891.279032</v>
      </c>
      <c r="M26" s="147">
        <f>IFERROR(INDEX($B$25:$Q$25,1,COLUMNS($B:M)-FIN_0_Параметры!$B$22),0)</f>
        <v>0</v>
      </c>
      <c r="N26" s="147">
        <f>IFERROR(INDEX($B$25:$Q$25,1,COLUMNS($B:N)-FIN_0_Параметры!$B$22),0)</f>
        <v>0</v>
      </c>
      <c r="O26" s="147">
        <f>IFERROR(INDEX($B$25:$Q$25,1,COLUMNS($B:O)-FIN_0_Параметры!$B$22),0)</f>
        <v>0</v>
      </c>
      <c r="P26" s="147">
        <f>IFERROR(INDEX($B$25:$Q$25,1,COLUMNS($B:P)-FIN_0_Параметры!$B$22),0)</f>
        <v>0</v>
      </c>
      <c r="Q26" s="147">
        <f>IFERROR(INDEX($B$25:$Q$25,1,COLUMNS($B:Q)-FIN_0_Параметры!$B$22),0)</f>
        <v>0</v>
      </c>
    </row>
    <row r="27" spans="1:17">
      <c r="A27" s="374" t="s">
        <v>877</v>
      </c>
      <c r="B27" s="147">
        <f>IF(B$2=EDATE(DATE(YEAR(FIN_0_Параметры!$B$5),MONTH(FIN_0_Параметры!$B$5),1),FIN_0_Параметры!$B$26),SUM($B$24:$Q$24),0)</f>
        <v>0</v>
      </c>
      <c r="C27" s="147">
        <f>IF(C$2=EDATE(DATE(YEAR(FIN_0_Параметры!$B$5),MONTH(FIN_0_Параметры!$B$5),1),FIN_0_Параметры!$B$26),SUM($B$24:$Q$24),0)</f>
        <v>0</v>
      </c>
      <c r="D27" s="147">
        <f>IF(D$2=EDATE(DATE(YEAR(FIN_0_Параметры!$B$5),MONTH(FIN_0_Параметры!$B$5),1),FIN_0_Параметры!$B$26),SUM($B$24:$Q$24),0)</f>
        <v>0</v>
      </c>
      <c r="E27" s="147">
        <f>IF(E$2=EDATE(DATE(YEAR(FIN_0_Параметры!$B$5),MONTH(FIN_0_Параметры!$B$5),1),FIN_0_Параметры!$B$26),SUM($B$24:$Q$24),0)</f>
        <v>0</v>
      </c>
      <c r="F27" s="147">
        <f>IF(F$2=EDATE(DATE(YEAR(FIN_0_Параметры!$B$5),MONTH(FIN_0_Параметры!$B$5),1),FIN_0_Параметры!$B$26),SUM($B$24:$Q$24),0)</f>
        <v>0</v>
      </c>
      <c r="G27" s="147">
        <f>IF(G$2=EDATE(DATE(YEAR(FIN_0_Параметры!$B$5),MONTH(FIN_0_Параметры!$B$5),1),FIN_0_Параметры!$B$26),SUM($B$24:$Q$24),0)</f>
        <v>0</v>
      </c>
      <c r="H27" s="147">
        <f>IF(H$2=EDATE(DATE(YEAR(FIN_0_Параметры!$B$5),MONTH(FIN_0_Параметры!$B$5),1),FIN_0_Параметры!$B$26),SUM($B$24:$Q$24),0)</f>
        <v>0</v>
      </c>
      <c r="I27" s="147">
        <f>IF(I$2=EDATE(DATE(YEAR(FIN_0_Параметры!$B$5),MONTH(FIN_0_Параметры!$B$5),1),FIN_0_Параметры!$B$26),SUM($B$24:$Q$24),0)</f>
        <v>0</v>
      </c>
      <c r="J27" s="147">
        <f>IF(J$2=EDATE(DATE(YEAR(FIN_0_Параметры!$B$5),MONTH(FIN_0_Параметры!$B$5),1),FIN_0_Параметры!$B$26),SUM($B$24:$Q$24),0)</f>
        <v>0</v>
      </c>
      <c r="K27" s="147">
        <f>IF(K$2=EDATE(DATE(YEAR(FIN_0_Параметры!$B$5),MONTH(FIN_0_Параметры!$B$5),1),FIN_0_Параметры!$B$26),SUM($B$24:$Q$24),0)</f>
        <v>0</v>
      </c>
      <c r="L27" s="147">
        <f>IF(L$2=EDATE(DATE(YEAR(FIN_0_Параметры!$B$5),MONTH(FIN_0_Параметры!$B$5),1),FIN_0_Параметры!$B$26),SUM($B$24:$Q$24),0)</f>
        <v>0</v>
      </c>
      <c r="M27" s="147">
        <f>IF(M$2=EDATE(DATE(YEAR(FIN_0_Параметры!$B$5),MONTH(FIN_0_Параметры!$B$5),1),FIN_0_Параметры!$B$26),SUM($B$24:$Q$24),0)</f>
        <v>0</v>
      </c>
      <c r="N27" s="147">
        <f>IF(N$2=EDATE(DATE(YEAR(FIN_0_Параметры!$B$5),MONTH(FIN_0_Параметры!$B$5),1),FIN_0_Параметры!$B$26),SUM($B$24:$Q$24),0)</f>
        <v>0</v>
      </c>
      <c r="O27" s="147">
        <f>IF(O$2=EDATE(DATE(YEAR(FIN_0_Параметры!$B$5),MONTH(FIN_0_Параметры!$B$5),1),FIN_0_Параметры!$B$26),SUM($B$24:$Q$24),0)</f>
        <v>0</v>
      </c>
      <c r="P27" s="147">
        <f>IF(P$2=EDATE(DATE(YEAR(FIN_0_Параметры!$B$5),MONTH(FIN_0_Параметры!$B$5),1),FIN_0_Параметры!$B$26),SUM($B$24:$Q$24),0)</f>
        <v>0</v>
      </c>
      <c r="Q27" s="147">
        <f>IF(Q$2=EDATE(DATE(YEAR(FIN_0_Параметры!$B$5),MONTH(FIN_0_Параметры!$B$5),1),FIN_0_Параметры!$B$26),SUM($B$24:$Q$24),0)</f>
        <v>0</v>
      </c>
    </row>
    <row r="28" spans="1:17">
      <c r="A28" s="146" t="s">
        <v>878</v>
      </c>
      <c r="B28" s="375">
        <f t="shared" ref="B28:Q28" si="4">SUM(B21,B26,B27)</f>
        <v>40089448595.121017</v>
      </c>
      <c r="C28" s="375">
        <f t="shared" si="4"/>
        <v>9682544440.1142464</v>
      </c>
      <c r="D28" s="375">
        <f t="shared" si="4"/>
        <v>10815819421.832249</v>
      </c>
      <c r="E28" s="375">
        <f t="shared" si="4"/>
        <v>9682544440.1142464</v>
      </c>
      <c r="F28" s="375">
        <f t="shared" si="4"/>
        <v>9782078490.5410633</v>
      </c>
      <c r="G28" s="375">
        <f t="shared" si="4"/>
        <v>11523924373.010363</v>
      </c>
      <c r="H28" s="375">
        <f t="shared" si="4"/>
        <v>11147906849.17572</v>
      </c>
      <c r="I28" s="375">
        <f t="shared" si="4"/>
        <v>10241041056.398052</v>
      </c>
      <c r="J28" s="375">
        <f t="shared" si="4"/>
        <v>9992205930.3310108</v>
      </c>
      <c r="K28" s="375">
        <f t="shared" si="4"/>
        <v>10003265269.267323</v>
      </c>
      <c r="L28" s="375">
        <f t="shared" si="4"/>
        <v>10353260891.279032</v>
      </c>
      <c r="M28" s="375">
        <f t="shared" si="4"/>
        <v>0</v>
      </c>
      <c r="N28" s="375">
        <f t="shared" si="4"/>
        <v>0</v>
      </c>
      <c r="O28" s="375">
        <f t="shared" si="4"/>
        <v>0</v>
      </c>
      <c r="P28" s="375">
        <f t="shared" si="4"/>
        <v>0</v>
      </c>
      <c r="Q28" s="375">
        <f t="shared" si="4"/>
        <v>0</v>
      </c>
    </row>
    <row r="29" spans="1:17">
      <c r="A29" s="374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</row>
    <row r="30" spans="1:17">
      <c r="A30" s="363" t="s">
        <v>879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</row>
    <row r="31" spans="1:17">
      <c r="A31" s="374" t="s">
        <v>880</v>
      </c>
      <c r="B31" s="147">
        <f>IFERROR(INDEX($B$18:$Q$18,1,COLUMNS($B:B)-FIN_0_Параметры!$B$23),0)</f>
        <v>12433257146.178411</v>
      </c>
      <c r="C31" s="147">
        <f>IFERROR(INDEX($B$18:$Q$18,1,COLUMNS($B:C)-FIN_0_Параметры!$B$23),0)</f>
        <v>9686310089.6551723</v>
      </c>
      <c r="D31" s="147">
        <f>IFERROR(INDEX($B$18:$Q$18,1,COLUMNS($B:D)-FIN_0_Параметры!$B$23),0)</f>
        <v>9785882849.9844971</v>
      </c>
      <c r="E31" s="147">
        <f>IFERROR(INDEX($B$18:$Q$18,1,COLUMNS($B:E)-FIN_0_Параметры!$B$23),0)</f>
        <v>11528406155.747667</v>
      </c>
      <c r="F31" s="147">
        <f>IFERROR(INDEX($B$18:$Q$18,1,COLUMNS($B:F)-FIN_0_Параметры!$B$23),0)</f>
        <v>11152242394.503553</v>
      </c>
      <c r="G31" s="147">
        <f>IFERROR(INDEX($B$18:$Q$18,1,COLUMNS($B:G)-FIN_0_Параметры!$B$23),0)</f>
        <v>10245023911.503046</v>
      </c>
      <c r="H31" s="147">
        <f>IFERROR(INDEX($B$18:$Q$18,1,COLUMNS($B:H)-FIN_0_Параметры!$B$23),0)</f>
        <v>9996092010.6797352</v>
      </c>
      <c r="I31" s="147">
        <f>IFERROR(INDEX($B$18:$Q$18,1,COLUMNS($B:I)-FIN_0_Параметры!$B$23),0)</f>
        <v>10007155650.716328</v>
      </c>
      <c r="J31" s="147">
        <f>IFERROR(INDEX($B$18:$Q$18,1,COLUMNS($B:J)-FIN_0_Параметры!$B$23),0)</f>
        <v>10357287389.929609</v>
      </c>
      <c r="K31" s="147">
        <f>IFERROR(INDEX($B$18:$Q$18,1,COLUMNS($B:K)-FIN_0_Параметры!$B$23),0)</f>
        <v>0</v>
      </c>
      <c r="L31" s="147">
        <f>IFERROR(INDEX($B$18:$Q$18,1,COLUMNS($B:L)-FIN_0_Параметры!$B$23),0)</f>
        <v>0</v>
      </c>
      <c r="M31" s="147">
        <f>IFERROR(INDEX($B$18:$Q$18,1,COLUMNS($B:M)-FIN_0_Параметры!$B$23),0)</f>
        <v>0</v>
      </c>
      <c r="N31" s="147">
        <f>IFERROR(INDEX($B$18:$Q$18,1,COLUMNS($B:N)-FIN_0_Параметры!$B$23),0)</f>
        <v>0</v>
      </c>
      <c r="O31" s="147">
        <f>IFERROR(INDEX($B$18:$Q$18,1,COLUMNS($B:O)-FIN_0_Параметры!$B$23),0)</f>
        <v>0</v>
      </c>
      <c r="P31" s="147">
        <f>IFERROR(INDEX($B$18:$Q$18,1,COLUMNS($B:P)-FIN_0_Параметры!$B$23),0)</f>
        <v>0</v>
      </c>
      <c r="Q31" s="147">
        <f>IFERROR(INDEX($B$18:$Q$18,1,COLUMNS($B:Q)-FIN_0_Параметры!$B$23),0)</f>
        <v>0</v>
      </c>
    </row>
    <row r="32" spans="1:17">
      <c r="A32" s="374" t="s">
        <v>881</v>
      </c>
      <c r="B32" s="147">
        <f>IFERROR(INDEX($B$10:$Q$10,1,COLUMNS($B:B)-FIN_0_Параметры!$B$24),0)</f>
        <v>8911763963.0133896</v>
      </c>
      <c r="C32" s="147">
        <f>IFERROR(INDEX($B$10:$Q$10,1,COLUMNS($B:C)-FIN_0_Параметры!$B$24),0)</f>
        <v>8911763963.0133896</v>
      </c>
      <c r="D32" s="147">
        <f>IFERROR(INDEX($B$10:$Q$10,1,COLUMNS($B:D)-FIN_0_Параметры!$B$24),0)</f>
        <v>1506225802.6554246</v>
      </c>
      <c r="E32" s="147">
        <f>IFERROR(INDEX($B$10:$Q$10,1,COLUMNS($B:E)-FIN_0_Параметры!$B$24),0)</f>
        <v>1521709414.0060284</v>
      </c>
      <c r="F32" s="147">
        <f>IFERROR(INDEX($B$10:$Q$10,1,COLUMNS($B:F)-FIN_0_Параметры!$B$24),0)</f>
        <v>1792672612.6415939</v>
      </c>
      <c r="G32" s="147">
        <f>IFERROR(INDEX($B$10:$Q$10,1,COLUMNS($B:G)-FIN_0_Параметры!$B$24),0)</f>
        <v>1734178969.7615352</v>
      </c>
      <c r="H32" s="147">
        <f>IFERROR(INDEX($B$10:$Q$10,1,COLUMNS($B:H)-FIN_0_Параметры!$B$24),0)</f>
        <v>1593106066.3449235</v>
      </c>
      <c r="I32" s="147">
        <f>IFERROR(INDEX($B$10:$Q$10,1,COLUMNS($B:I)-FIN_0_Параметры!$B$24),0)</f>
        <v>1554397037.9684141</v>
      </c>
      <c r="J32" s="147">
        <f>IFERROR(INDEX($B$10:$Q$10,1,COLUMNS($B:J)-FIN_0_Параметры!$B$24),0)</f>
        <v>1556117439.2295921</v>
      </c>
      <c r="K32" s="147">
        <f>IFERROR(INDEX($B$10:$Q$10,1,COLUMNS($B:K)-FIN_0_Параметры!$B$24),0)</f>
        <v>1610563090.3650959</v>
      </c>
      <c r="L32" s="147">
        <f>IFERROR(INDEX($B$10:$Q$10,1,COLUMNS($B:L)-FIN_0_Параметры!$B$24),0)</f>
        <v>0</v>
      </c>
      <c r="M32" s="147">
        <f>IFERROR(INDEX($B$10:$Q$10,1,COLUMNS($B:M)-FIN_0_Параметры!$B$24),0)</f>
        <v>0</v>
      </c>
      <c r="N32" s="147">
        <f>IFERROR(INDEX($B$10:$Q$10,1,COLUMNS($B:N)-FIN_0_Параметры!$B$24),0)</f>
        <v>0</v>
      </c>
      <c r="O32" s="147">
        <f>IFERROR(INDEX($B$10:$Q$10,1,COLUMNS($B:O)-FIN_0_Параметры!$B$24),0)</f>
        <v>0</v>
      </c>
      <c r="P32" s="147">
        <f>IFERROR(INDEX($B$10:$Q$10,1,COLUMNS($B:P)-FIN_0_Параметры!$B$24),0)</f>
        <v>0</v>
      </c>
      <c r="Q32" s="147">
        <f>IFERROR(INDEX($B$10:$Q$10,1,COLUMNS($B:Q)-FIN_0_Параметры!$B$24),0)</f>
        <v>0</v>
      </c>
    </row>
    <row r="33" spans="1:17">
      <c r="A33" s="374" t="s">
        <v>882</v>
      </c>
      <c r="B33" s="147">
        <f>IFERROR(INDEX($B$40:$Q$40,1,COLUMNS($B:B)-FIN_0_Параметры!$B$25),0)</f>
        <v>464379444.34096336</v>
      </c>
      <c r="C33" s="147">
        <f>IFERROR(INDEX($B$40:$Q$40,1,COLUMNS($B:C)-FIN_0_Параметры!$B$25),0)</f>
        <v>464379444.34096336</v>
      </c>
      <c r="D33" s="147">
        <f>IFERROR(INDEX($B$40:$Q$40,1,COLUMNS($B:D)-FIN_0_Параметры!$B$25),0)</f>
        <v>415722048.56072128</v>
      </c>
      <c r="E33" s="147">
        <f>IFERROR(INDEX($B$40:$Q$40,1,COLUMNS($B:E)-FIN_0_Параметры!$B$25),0)</f>
        <v>419995563.6063692</v>
      </c>
      <c r="F33" s="147">
        <f>IFERROR(INDEX($B$40:$Q$40,1,COLUMNS($B:F)-FIN_0_Параметры!$B$25),0)</f>
        <v>494782076.90520722</v>
      </c>
      <c r="G33" s="147">
        <f>IFERROR(INDEX($B$40:$Q$40,1,COLUMNS($B:G)-FIN_0_Параметры!$B$25),0)</f>
        <v>478637686.73275959</v>
      </c>
      <c r="H33" s="147">
        <f>IFERROR(INDEX($B$40:$Q$40,1,COLUMNS($B:H)-FIN_0_Параметры!$B$25),0)</f>
        <v>439701216.31685662</v>
      </c>
      <c r="I33" s="147">
        <f>IFERROR(INDEX($B$40:$Q$40,1,COLUMNS($B:I)-FIN_0_Параметры!$B$25),0)</f>
        <v>429017428.70273691</v>
      </c>
      <c r="J33" s="147">
        <f>IFERROR(INDEX($B$40:$Q$40,1,COLUMNS($B:J)-FIN_0_Параметры!$B$25),0)</f>
        <v>429492263.70780891</v>
      </c>
      <c r="K33" s="147">
        <f>IFERROR(INDEX($B$40:$Q$40,1,COLUMNS($B:K)-FIN_0_Параметры!$B$25),0)</f>
        <v>444519398.14234728</v>
      </c>
      <c r="L33" s="147">
        <f>IFERROR(INDEX($B$40:$Q$40,1,COLUMNS($B:L)-FIN_0_Параметры!$B$25),0)</f>
        <v>0</v>
      </c>
      <c r="M33" s="147">
        <f>IFERROR(INDEX($B$40:$Q$40,1,COLUMNS($B:M)-FIN_0_Параметры!$B$25),0)</f>
        <v>0</v>
      </c>
      <c r="N33" s="147">
        <f>IFERROR(INDEX($B$40:$Q$40,1,COLUMNS($B:N)-FIN_0_Параметры!$B$25),0)</f>
        <v>0</v>
      </c>
      <c r="O33" s="147">
        <f>IFERROR(INDEX($B$40:$Q$40,1,COLUMNS($B:O)-FIN_0_Параметры!$B$25),0)</f>
        <v>0</v>
      </c>
      <c r="P33" s="147">
        <f>IFERROR(INDEX($B$40:$Q$40,1,COLUMNS($B:P)-FIN_0_Параметры!$B$25),0)</f>
        <v>0</v>
      </c>
      <c r="Q33" s="147">
        <f>IFERROR(INDEX($B$40:$Q$40,1,COLUMNS($B:Q)-FIN_0_Параметры!$B$25),0)</f>
        <v>0</v>
      </c>
    </row>
    <row r="34" spans="1:17">
      <c r="A34" s="146" t="s">
        <v>883</v>
      </c>
      <c r="B34" s="375">
        <f t="shared" ref="B34:Q34" si="5">SUM(B31:B33)</f>
        <v>21809400553.532768</v>
      </c>
      <c r="C34" s="375">
        <f t="shared" si="5"/>
        <v>19062453497.009529</v>
      </c>
      <c r="D34" s="375">
        <f t="shared" si="5"/>
        <v>11707830701.200642</v>
      </c>
      <c r="E34" s="375">
        <f t="shared" si="5"/>
        <v>13470111133.360065</v>
      </c>
      <c r="F34" s="375">
        <f t="shared" si="5"/>
        <v>13439697084.050354</v>
      </c>
      <c r="G34" s="375">
        <f t="shared" si="5"/>
        <v>12457840567.997341</v>
      </c>
      <c r="H34" s="375">
        <f t="shared" si="5"/>
        <v>12028899293.341515</v>
      </c>
      <c r="I34" s="375">
        <f t="shared" si="5"/>
        <v>11990570117.38748</v>
      </c>
      <c r="J34" s="375">
        <f t="shared" si="5"/>
        <v>12342897092.86701</v>
      </c>
      <c r="K34" s="375">
        <f t="shared" si="5"/>
        <v>2055082488.5074432</v>
      </c>
      <c r="L34" s="375">
        <f t="shared" si="5"/>
        <v>0</v>
      </c>
      <c r="M34" s="375">
        <f t="shared" si="5"/>
        <v>0</v>
      </c>
      <c r="N34" s="375">
        <f t="shared" si="5"/>
        <v>0</v>
      </c>
      <c r="O34" s="375">
        <f t="shared" si="5"/>
        <v>0</v>
      </c>
      <c r="P34" s="375">
        <f t="shared" si="5"/>
        <v>0</v>
      </c>
      <c r="Q34" s="375">
        <f t="shared" si="5"/>
        <v>0</v>
      </c>
    </row>
    <row r="35" spans="1:17">
      <c r="A35" s="374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</row>
    <row r="36" spans="1:17">
      <c r="A36" s="363" t="s">
        <v>884</v>
      </c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  <row r="37" spans="1:17">
      <c r="A37" s="376" t="s">
        <v>885</v>
      </c>
      <c r="B37" s="377">
        <f t="shared" ref="B37:Q37" si="6">B28-B34</f>
        <v>18280048041.588249</v>
      </c>
      <c r="C37" s="377">
        <f t="shared" si="6"/>
        <v>-9379909056.8952827</v>
      </c>
      <c r="D37" s="377">
        <f t="shared" si="6"/>
        <v>-892011279.36839294</v>
      </c>
      <c r="E37" s="377">
        <f t="shared" si="6"/>
        <v>-3787566693.2458191</v>
      </c>
      <c r="F37" s="377">
        <f t="shared" si="6"/>
        <v>-3657618593.5092907</v>
      </c>
      <c r="G37" s="377">
        <f t="shared" si="6"/>
        <v>-933916194.98697853</v>
      </c>
      <c r="H37" s="377">
        <f t="shared" si="6"/>
        <v>-880992444.16579437</v>
      </c>
      <c r="I37" s="377">
        <f t="shared" si="6"/>
        <v>-1749529060.9894276</v>
      </c>
      <c r="J37" s="377">
        <f t="shared" si="6"/>
        <v>-2350691162.5359993</v>
      </c>
      <c r="K37" s="377">
        <f t="shared" si="6"/>
        <v>7948182780.7598791</v>
      </c>
      <c r="L37" s="377">
        <f t="shared" si="6"/>
        <v>10353260891.279032</v>
      </c>
      <c r="M37" s="377">
        <f t="shared" si="6"/>
        <v>0</v>
      </c>
      <c r="N37" s="377">
        <f t="shared" si="6"/>
        <v>0</v>
      </c>
      <c r="O37" s="377">
        <f t="shared" si="6"/>
        <v>0</v>
      </c>
      <c r="P37" s="377">
        <f t="shared" si="6"/>
        <v>0</v>
      </c>
      <c r="Q37" s="377">
        <f t="shared" si="6"/>
        <v>0</v>
      </c>
    </row>
    <row r="38" spans="1:17">
      <c r="A38" s="378" t="s">
        <v>886</v>
      </c>
      <c r="B38" s="379">
        <f>B37</f>
        <v>18280048041.588249</v>
      </c>
      <c r="C38" s="379">
        <f t="shared" ref="C38:Q38" si="7">B38+C37</f>
        <v>8900138984.6929665</v>
      </c>
      <c r="D38" s="379">
        <f t="shared" si="7"/>
        <v>8008127705.3245735</v>
      </c>
      <c r="E38" s="379">
        <f t="shared" si="7"/>
        <v>4220561012.0787544</v>
      </c>
      <c r="F38" s="379">
        <f t="shared" si="7"/>
        <v>562942418.56946373</v>
      </c>
      <c r="G38" s="379">
        <f t="shared" si="7"/>
        <v>-370973776.4175148</v>
      </c>
      <c r="H38" s="379">
        <f t="shared" si="7"/>
        <v>-1251966220.5833092</v>
      </c>
      <c r="I38" s="379">
        <f t="shared" si="7"/>
        <v>-3001495281.5727367</v>
      </c>
      <c r="J38" s="379">
        <f t="shared" si="7"/>
        <v>-5352186444.108736</v>
      </c>
      <c r="K38" s="379">
        <f t="shared" si="7"/>
        <v>2595996336.6511431</v>
      </c>
      <c r="L38" s="379">
        <f t="shared" si="7"/>
        <v>12949257227.930176</v>
      </c>
      <c r="M38" s="379">
        <f t="shared" si="7"/>
        <v>12949257227.930176</v>
      </c>
      <c r="N38" s="379">
        <f t="shared" si="7"/>
        <v>12949257227.930176</v>
      </c>
      <c r="O38" s="379">
        <f t="shared" si="7"/>
        <v>12949257227.930176</v>
      </c>
      <c r="P38" s="379">
        <f t="shared" si="7"/>
        <v>12949257227.930176</v>
      </c>
      <c r="Q38" s="379">
        <f t="shared" si="7"/>
        <v>12949257227.930176</v>
      </c>
    </row>
    <row r="39" spans="1:17">
      <c r="A39" s="378" t="s">
        <v>887</v>
      </c>
      <c r="B39" s="379">
        <f>MIN($B$38:B$38)</f>
        <v>18280048041.588249</v>
      </c>
      <c r="C39" s="379">
        <f>MIN($B$38:C$38)</f>
        <v>8900138984.6929665</v>
      </c>
      <c r="D39" s="379">
        <f>MIN($B$38:D$38)</f>
        <v>8008127705.3245735</v>
      </c>
      <c r="E39" s="379">
        <f>MIN($B$38:E$38)</f>
        <v>4220561012.0787544</v>
      </c>
      <c r="F39" s="379">
        <f>MIN($B$38:F$38)</f>
        <v>562942418.56946373</v>
      </c>
      <c r="G39" s="379">
        <f>MIN($B$38:G$38)</f>
        <v>-370973776.4175148</v>
      </c>
      <c r="H39" s="379">
        <f>MIN($B$38:H$38)</f>
        <v>-1251966220.5833092</v>
      </c>
      <c r="I39" s="379">
        <f>MIN($B$38:I$38)</f>
        <v>-3001495281.5727367</v>
      </c>
      <c r="J39" s="379">
        <f>MIN($B$38:J$38)</f>
        <v>-5352186444.108736</v>
      </c>
      <c r="K39" s="379">
        <f>MIN($B$38:K$38)</f>
        <v>-5352186444.108736</v>
      </c>
      <c r="L39" s="379">
        <f>MIN($B$38:L$38)</f>
        <v>-5352186444.108736</v>
      </c>
      <c r="M39" s="379">
        <f>MIN($B$38:M$38)</f>
        <v>-5352186444.108736</v>
      </c>
      <c r="N39" s="379">
        <f>MIN($B$38:N$38)</f>
        <v>-5352186444.108736</v>
      </c>
      <c r="O39" s="379">
        <f>MIN($B$38:O$38)</f>
        <v>-5352186444.108736</v>
      </c>
      <c r="P39" s="379">
        <f>MIN($B$38:P$38)</f>
        <v>-5352186444.108736</v>
      </c>
      <c r="Q39" s="379">
        <f>MIN($B$38:Q$38)</f>
        <v>-5352186444.108736</v>
      </c>
    </row>
    <row r="40" spans="1:17" hidden="1">
      <c r="A40" s="374"/>
      <c r="B40" s="147">
        <f>FIN_3_PnL!$B$21*IFERROR(B5/SUM($B$5:$Q$5),0)</f>
        <v>464379444.34096336</v>
      </c>
      <c r="C40" s="147">
        <f>FIN_3_PnL!$B$21*IFERROR(C5/SUM($B$5:$Q$5),0)</f>
        <v>415722048.56072128</v>
      </c>
      <c r="D40" s="147">
        <f>FIN_3_PnL!$B$21*IFERROR(D5/SUM($B$5:$Q$5),0)</f>
        <v>419995563.6063692</v>
      </c>
      <c r="E40" s="147">
        <f>FIN_3_PnL!$B$21*IFERROR(E5/SUM($B$5:$Q$5),0)</f>
        <v>494782076.90520722</v>
      </c>
      <c r="F40" s="147">
        <f>FIN_3_PnL!$B$21*IFERROR(F5/SUM($B$5:$Q$5),0)</f>
        <v>478637686.73275959</v>
      </c>
      <c r="G40" s="147">
        <f>FIN_3_PnL!$B$21*IFERROR(G5/SUM($B$5:$Q$5),0)</f>
        <v>439701216.31685662</v>
      </c>
      <c r="H40" s="147">
        <f>FIN_3_PnL!$B$21*IFERROR(H5/SUM($B$5:$Q$5),0)</f>
        <v>429017428.70273691</v>
      </c>
      <c r="I40" s="147">
        <f>FIN_3_PnL!$B$21*IFERROR(I5/SUM($B$5:$Q$5),0)</f>
        <v>429492263.70780891</v>
      </c>
      <c r="J40" s="147">
        <f>FIN_3_PnL!$B$21*IFERROR(J5/SUM($B$5:$Q$5),0)</f>
        <v>444519398.14234728</v>
      </c>
      <c r="K40" s="147">
        <f>FIN_3_PnL!$B$21*IFERROR(K5/SUM($B$5:$Q$5),0)</f>
        <v>0</v>
      </c>
      <c r="L40" s="147">
        <f>FIN_3_PnL!$B$21*IFERROR(L5/SUM($B$5:$Q$5),0)</f>
        <v>0</v>
      </c>
      <c r="M40" s="147">
        <f>FIN_3_PnL!$B$21*IFERROR(M5/SUM($B$5:$Q$5),0)</f>
        <v>0</v>
      </c>
      <c r="N40" s="147">
        <f>FIN_3_PnL!$B$21*IFERROR(N5/SUM($B$5:$Q$5),0)</f>
        <v>0</v>
      </c>
      <c r="O40" s="147">
        <f>FIN_3_PnL!$B$21*IFERROR(O5/SUM($B$5:$Q$5),0)</f>
        <v>0</v>
      </c>
      <c r="P40" s="147">
        <f>FIN_3_PnL!$B$21*IFERROR(P5/SUM($B$5:$Q$5),0)</f>
        <v>0</v>
      </c>
      <c r="Q40" s="147">
        <f>FIN_3_PnL!$B$21*IFERROR(Q5/SUM($B$5:$Q$5),0)</f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1"/>
  <sheetViews>
    <sheetView showGridLines="0" workbookViewId="0">
      <pane xSplit="1" ySplit="3" topLeftCell="B4" activePane="bottomRight" state="frozen"/>
      <selection activeCell="A15" sqref="A15"/>
      <selection pane="topRight" activeCell="A15" sqref="A15"/>
      <selection pane="bottomLeft" activeCell="A15" sqref="A15"/>
      <selection pane="bottomRight" activeCell="A15" sqref="A15"/>
    </sheetView>
  </sheetViews>
  <sheetFormatPr defaultRowHeight="15"/>
  <cols>
    <col min="1" max="1" width="42" customWidth="1"/>
    <col min="2" max="17" width="13" customWidth="1"/>
  </cols>
  <sheetData>
    <row r="1" spans="1:17" ht="30">
      <c r="A1" s="363" t="s">
        <v>888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>
      <c r="A3" s="363" t="s">
        <v>857</v>
      </c>
      <c r="B3" s="380">
        <f>FIN_4_CashFlow!B$2</f>
        <v>46204</v>
      </c>
      <c r="C3" s="380">
        <f>FIN_4_CashFlow!C$2</f>
        <v>46235</v>
      </c>
      <c r="D3" s="380">
        <f>FIN_4_CashFlow!D$2</f>
        <v>46266</v>
      </c>
      <c r="E3" s="380">
        <f>FIN_4_CashFlow!E$2</f>
        <v>46296</v>
      </c>
      <c r="F3" s="380">
        <f>FIN_4_CashFlow!F$2</f>
        <v>46327</v>
      </c>
      <c r="G3" s="380">
        <f>FIN_4_CashFlow!G$2</f>
        <v>46357</v>
      </c>
      <c r="H3" s="380">
        <f>FIN_4_CashFlow!H$2</f>
        <v>46388</v>
      </c>
      <c r="I3" s="380">
        <f>FIN_4_CashFlow!I$2</f>
        <v>46419</v>
      </c>
      <c r="J3" s="380">
        <f>FIN_4_CashFlow!J$2</f>
        <v>46447</v>
      </c>
      <c r="K3" s="380">
        <f>FIN_4_CashFlow!K$2</f>
        <v>46478</v>
      </c>
      <c r="L3" s="380">
        <f>FIN_4_CashFlow!L$2</f>
        <v>46508</v>
      </c>
      <c r="M3" s="380">
        <f>FIN_4_CashFlow!M$2</f>
        <v>46539</v>
      </c>
      <c r="N3" s="380">
        <f>FIN_4_CashFlow!N$2</f>
        <v>46569</v>
      </c>
      <c r="O3" s="380">
        <f>FIN_4_CashFlow!O$2</f>
        <v>46600</v>
      </c>
      <c r="P3" s="380">
        <f>FIN_4_CashFlow!P$2</f>
        <v>46631</v>
      </c>
      <c r="Q3" s="380">
        <f>FIN_4_CashFlow!Q$2</f>
        <v>46661</v>
      </c>
    </row>
    <row r="4" spans="1:17">
      <c r="A4" s="144" t="s">
        <v>859</v>
      </c>
      <c r="B4" s="147">
        <f>FIN_4_CashFlow!B$5</f>
        <v>12664893936.571718</v>
      </c>
      <c r="C4" s="147">
        <f>FIN_4_CashFlow!C$5</f>
        <v>11337874051.656027</v>
      </c>
      <c r="D4" s="147">
        <f>FIN_4_CashFlow!D$5</f>
        <v>11454424461.991879</v>
      </c>
      <c r="E4" s="147">
        <f>FIN_4_CashFlow!E$5</f>
        <v>13494056642.869278</v>
      </c>
      <c r="F4" s="147">
        <f>FIN_4_CashFlow!F$5</f>
        <v>13053755092.711615</v>
      </c>
      <c r="G4" s="147">
        <f>FIN_4_CashFlow!G$5</f>
        <v>11991851354.096081</v>
      </c>
      <c r="H4" s="147">
        <f>FIN_4_CashFlow!H$5</f>
        <v>11700475328.256453</v>
      </c>
      <c r="I4" s="147">
        <f>FIN_4_CashFlow!I$5</f>
        <v>11713425373.849325</v>
      </c>
      <c r="J4" s="147">
        <f>FIN_4_CashFlow!J$5</f>
        <v>12123256312.973099</v>
      </c>
      <c r="K4" s="147">
        <f>FIN_4_CashFlow!K$5</f>
        <v>0</v>
      </c>
      <c r="L4" s="147">
        <f>FIN_4_CashFlow!L$5</f>
        <v>0</v>
      </c>
      <c r="M4" s="147">
        <f>FIN_4_CashFlow!M$5</f>
        <v>0</v>
      </c>
      <c r="N4" s="147">
        <f>FIN_4_CashFlow!N$5</f>
        <v>0</v>
      </c>
      <c r="O4" s="147">
        <f>FIN_4_CashFlow!O$5</f>
        <v>0</v>
      </c>
      <c r="P4" s="147">
        <f>FIN_4_CashFlow!P$5</f>
        <v>0</v>
      </c>
      <c r="Q4" s="147">
        <f>FIN_4_CashFlow!Q$5</f>
        <v>0</v>
      </c>
    </row>
    <row r="5" spans="1:17">
      <c r="A5" s="144" t="s">
        <v>865</v>
      </c>
      <c r="B5" s="147">
        <f>FIN_4_CashFlow!B$13</f>
        <v>0</v>
      </c>
      <c r="C5" s="147">
        <f>FIN_4_CashFlow!C$13</f>
        <v>0</v>
      </c>
      <c r="D5" s="147">
        <f>FIN_4_CashFlow!D$13</f>
        <v>99572760.329324037</v>
      </c>
      <c r="E5" s="147">
        <f>FIN_4_CashFlow!E$13</f>
        <v>1842096066.0924947</v>
      </c>
      <c r="F5" s="147">
        <f>FIN_4_CashFlow!F$13</f>
        <v>1465932304.8483818</v>
      </c>
      <c r="G5" s="147">
        <f>FIN_4_CashFlow!G$13</f>
        <v>558713821.84787381</v>
      </c>
      <c r="H5" s="147">
        <f>FIN_4_CashFlow!H$13</f>
        <v>309781921.02456373</v>
      </c>
      <c r="I5" s="147">
        <f>FIN_4_CashFlow!I$13</f>
        <v>320845561.06115526</v>
      </c>
      <c r="J5" s="147">
        <f>FIN_4_CashFlow!J$13</f>
        <v>82977300.274436697</v>
      </c>
      <c r="K5" s="147">
        <f>FIN_4_CashFlow!K$13</f>
        <v>0</v>
      </c>
      <c r="L5" s="147">
        <f>FIN_4_CashFlow!L$13</f>
        <v>0</v>
      </c>
      <c r="M5" s="147">
        <f>FIN_4_CashFlow!M$13</f>
        <v>0</v>
      </c>
      <c r="N5" s="147">
        <f>FIN_4_CashFlow!N$13</f>
        <v>0</v>
      </c>
      <c r="O5" s="147">
        <f>FIN_4_CashFlow!O$13</f>
        <v>0</v>
      </c>
      <c r="P5" s="147">
        <f>FIN_4_CashFlow!P$13</f>
        <v>0</v>
      </c>
      <c r="Q5" s="147">
        <f>FIN_4_CashFlow!Q$13</f>
        <v>0</v>
      </c>
    </row>
    <row r="6" spans="1:17">
      <c r="A6" s="144" t="s">
        <v>866</v>
      </c>
      <c r="B6" s="147">
        <f>FIN_4_CashFlow!B$14</f>
        <v>1133715725</v>
      </c>
      <c r="C6" s="147">
        <f>FIN_4_CashFlow!C$14</f>
        <v>0</v>
      </c>
      <c r="D6" s="147">
        <f>FIN_4_CashFlow!D$14</f>
        <v>0</v>
      </c>
      <c r="E6" s="147">
        <f>FIN_4_CashFlow!E$14</f>
        <v>0</v>
      </c>
      <c r="F6" s="147">
        <f>FIN_4_CashFlow!F$14</f>
        <v>0</v>
      </c>
      <c r="G6" s="147">
        <f>FIN_4_CashFlow!G$14</f>
        <v>0</v>
      </c>
      <c r="H6" s="147">
        <f>FIN_4_CashFlow!H$14</f>
        <v>0</v>
      </c>
      <c r="I6" s="147">
        <f>FIN_4_CashFlow!I$14</f>
        <v>0</v>
      </c>
      <c r="J6" s="147">
        <f>FIN_4_CashFlow!J$14</f>
        <v>0</v>
      </c>
      <c r="K6" s="147">
        <f>FIN_4_CashFlow!K$14</f>
        <v>0</v>
      </c>
      <c r="L6" s="147">
        <f>FIN_4_CashFlow!L$14</f>
        <v>0</v>
      </c>
      <c r="M6" s="147">
        <f>FIN_4_CashFlow!M$14</f>
        <v>0</v>
      </c>
      <c r="N6" s="147">
        <f>FIN_4_CashFlow!N$14</f>
        <v>0</v>
      </c>
      <c r="O6" s="147">
        <f>FIN_4_CashFlow!O$14</f>
        <v>0</v>
      </c>
      <c r="P6" s="147">
        <f>FIN_4_CashFlow!P$14</f>
        <v>0</v>
      </c>
      <c r="Q6" s="147">
        <f>FIN_4_CashFlow!Q$14</f>
        <v>0</v>
      </c>
    </row>
    <row r="7" spans="1:17">
      <c r="A7" s="144" t="s">
        <v>867</v>
      </c>
      <c r="B7" s="147">
        <f>FIN_4_CashFlow!B$15</f>
        <v>9686310089.6551723</v>
      </c>
      <c r="C7" s="147">
        <f>FIN_4_CashFlow!C$15</f>
        <v>9686310089.6551723</v>
      </c>
      <c r="D7" s="147">
        <f>FIN_4_CashFlow!D$15</f>
        <v>9686310089.6551723</v>
      </c>
      <c r="E7" s="147">
        <f>FIN_4_CashFlow!E$15</f>
        <v>9686310089.6551723</v>
      </c>
      <c r="F7" s="147">
        <f>FIN_4_CashFlow!F$15</f>
        <v>9686310089.6551723</v>
      </c>
      <c r="G7" s="147">
        <f>FIN_4_CashFlow!G$15</f>
        <v>9686310089.6551723</v>
      </c>
      <c r="H7" s="147">
        <f>FIN_4_CashFlow!H$15</f>
        <v>9686310089.6551723</v>
      </c>
      <c r="I7" s="147">
        <f>FIN_4_CashFlow!I$15</f>
        <v>9686310089.6551723</v>
      </c>
      <c r="J7" s="147">
        <f>FIN_4_CashFlow!J$15</f>
        <v>9686310089.6551723</v>
      </c>
      <c r="K7" s="147">
        <f>FIN_4_CashFlow!K$15</f>
        <v>0</v>
      </c>
      <c r="L7" s="147">
        <f>FIN_4_CashFlow!L$15</f>
        <v>0</v>
      </c>
      <c r="M7" s="147">
        <f>FIN_4_CashFlow!M$15</f>
        <v>0</v>
      </c>
      <c r="N7" s="147">
        <f>FIN_4_CashFlow!N$15</f>
        <v>0</v>
      </c>
      <c r="O7" s="147">
        <f>FIN_4_CashFlow!O$15</f>
        <v>0</v>
      </c>
      <c r="P7" s="147">
        <f>FIN_4_CashFlow!P$15</f>
        <v>0</v>
      </c>
      <c r="Q7" s="147">
        <f>FIN_4_CashFlow!Q$15</f>
        <v>0</v>
      </c>
    </row>
    <row r="8" spans="1:17">
      <c r="A8" s="144" t="s">
        <v>868</v>
      </c>
      <c r="B8" s="147">
        <f>FIN_4_CashFlow!B$16</f>
        <v>0</v>
      </c>
      <c r="C8" s="147">
        <f>FIN_4_CashFlow!C$16</f>
        <v>0</v>
      </c>
      <c r="D8" s="147">
        <f>FIN_4_CashFlow!D$16</f>
        <v>0</v>
      </c>
      <c r="E8" s="147">
        <f>FIN_4_CashFlow!E$16</f>
        <v>0</v>
      </c>
      <c r="F8" s="147">
        <f>FIN_4_CashFlow!F$16</f>
        <v>0</v>
      </c>
      <c r="G8" s="147">
        <f>FIN_4_CashFlow!G$16</f>
        <v>0</v>
      </c>
      <c r="H8" s="147">
        <f>FIN_4_CashFlow!H$16</f>
        <v>0</v>
      </c>
      <c r="I8" s="147">
        <f>FIN_4_CashFlow!I$16</f>
        <v>0</v>
      </c>
      <c r="J8" s="147">
        <f>FIN_4_CashFlow!J$16</f>
        <v>588000000</v>
      </c>
      <c r="K8" s="147">
        <f>FIN_4_CashFlow!K$16</f>
        <v>0</v>
      </c>
      <c r="L8" s="147">
        <f>FIN_4_CashFlow!L$16</f>
        <v>0</v>
      </c>
      <c r="M8" s="147">
        <f>FIN_4_CashFlow!M$16</f>
        <v>0</v>
      </c>
      <c r="N8" s="147">
        <f>FIN_4_CashFlow!N$16</f>
        <v>0</v>
      </c>
      <c r="O8" s="147">
        <f>FIN_4_CashFlow!O$16</f>
        <v>0</v>
      </c>
      <c r="P8" s="147">
        <f>FIN_4_CashFlow!P$16</f>
        <v>0</v>
      </c>
      <c r="Q8" s="147">
        <f>FIN_4_CashFlow!Q$16</f>
        <v>0</v>
      </c>
    </row>
    <row r="9" spans="1:17">
      <c r="A9" s="144" t="s">
        <v>833</v>
      </c>
      <c r="B9" s="147">
        <f>FIN_4_CashFlow!B$17</f>
        <v>1613231331.5232384</v>
      </c>
      <c r="C9" s="147">
        <f>FIN_4_CashFlow!C$17</f>
        <v>0</v>
      </c>
      <c r="D9" s="147">
        <f>FIN_4_CashFlow!D$17</f>
        <v>0</v>
      </c>
      <c r="E9" s="147">
        <f>FIN_4_CashFlow!E$17</f>
        <v>0</v>
      </c>
      <c r="F9" s="147">
        <f>FIN_4_CashFlow!F$17</f>
        <v>0</v>
      </c>
      <c r="G9" s="147">
        <f>FIN_4_CashFlow!G$17</f>
        <v>0</v>
      </c>
      <c r="H9" s="147">
        <f>FIN_4_CashFlow!H$17</f>
        <v>0</v>
      </c>
      <c r="I9" s="147">
        <f>FIN_4_CashFlow!I$17</f>
        <v>0</v>
      </c>
      <c r="J9" s="147">
        <f>FIN_4_CashFlow!J$17</f>
        <v>0</v>
      </c>
      <c r="K9" s="147">
        <f>FIN_4_CashFlow!K$17</f>
        <v>0</v>
      </c>
      <c r="L9" s="147">
        <f>FIN_4_CashFlow!L$17</f>
        <v>0</v>
      </c>
      <c r="M9" s="147">
        <f>FIN_4_CashFlow!M$17</f>
        <v>0</v>
      </c>
      <c r="N9" s="147">
        <f>FIN_4_CashFlow!N$17</f>
        <v>0</v>
      </c>
      <c r="O9" s="147">
        <f>FIN_4_CashFlow!O$17</f>
        <v>0</v>
      </c>
      <c r="P9" s="147">
        <f>FIN_4_CashFlow!P$17</f>
        <v>0</v>
      </c>
      <c r="Q9" s="147">
        <f>FIN_4_CashFlow!Q$17</f>
        <v>0</v>
      </c>
    </row>
    <row r="10" spans="1:17">
      <c r="A10" s="144" t="s">
        <v>869</v>
      </c>
      <c r="B10" s="147">
        <f>FIN_4_CashFlow!B$18</f>
        <v>12433257146.178411</v>
      </c>
      <c r="C10" s="147">
        <f>FIN_4_CashFlow!C$18</f>
        <v>9686310089.6551723</v>
      </c>
      <c r="D10" s="147">
        <f>FIN_4_CashFlow!D$18</f>
        <v>9785882849.9844971</v>
      </c>
      <c r="E10" s="147">
        <f>FIN_4_CashFlow!E$18</f>
        <v>11528406155.747667</v>
      </c>
      <c r="F10" s="147">
        <f>FIN_4_CashFlow!F$18</f>
        <v>11152242394.503553</v>
      </c>
      <c r="G10" s="147">
        <f>FIN_4_CashFlow!G$18</f>
        <v>10245023911.503046</v>
      </c>
      <c r="H10" s="147">
        <f>FIN_4_CashFlow!H$18</f>
        <v>9996092010.6797352</v>
      </c>
      <c r="I10" s="147">
        <f>FIN_4_CashFlow!I$18</f>
        <v>10007155650.716328</v>
      </c>
      <c r="J10" s="147">
        <f>FIN_4_CashFlow!J$18</f>
        <v>10357287389.929609</v>
      </c>
      <c r="K10" s="147">
        <f>FIN_4_CashFlow!K$18</f>
        <v>0</v>
      </c>
      <c r="L10" s="147">
        <f>FIN_4_CashFlow!L$18</f>
        <v>0</v>
      </c>
      <c r="M10" s="147">
        <f>FIN_4_CashFlow!M$18</f>
        <v>0</v>
      </c>
      <c r="N10" s="147">
        <f>FIN_4_CashFlow!N$18</f>
        <v>0</v>
      </c>
      <c r="O10" s="147">
        <f>FIN_4_CashFlow!O$18</f>
        <v>0</v>
      </c>
      <c r="P10" s="147">
        <f>FIN_4_CashFlow!P$18</f>
        <v>0</v>
      </c>
      <c r="Q10" s="147">
        <f>FIN_4_CashFlow!Q$18</f>
        <v>0</v>
      </c>
    </row>
    <row r="11" spans="1:17">
      <c r="A11" s="144" t="s">
        <v>889</v>
      </c>
      <c r="B11" s="148">
        <f t="shared" ref="B11:Q11" si="0">IFERROR(B4/SUM($B$4:$Q$4),0)</f>
        <v>0.11562521668979459</v>
      </c>
      <c r="C11" s="148">
        <f t="shared" si="0"/>
        <v>0.10351007679888941</v>
      </c>
      <c r="D11" s="148">
        <f t="shared" si="0"/>
        <v>0.10457413359382654</v>
      </c>
      <c r="E11" s="148">
        <f t="shared" si="0"/>
        <v>0.12319512750522646</v>
      </c>
      <c r="F11" s="148">
        <f t="shared" si="0"/>
        <v>0.11917535739101948</v>
      </c>
      <c r="G11" s="148">
        <f t="shared" si="0"/>
        <v>0.10948061770381445</v>
      </c>
      <c r="H11" s="148">
        <f t="shared" si="0"/>
        <v>0.1068204757164716</v>
      </c>
      <c r="I11" s="148">
        <f t="shared" si="0"/>
        <v>0.1069387042492424</v>
      </c>
      <c r="J11" s="148">
        <f t="shared" si="0"/>
        <v>0.11068029035171517</v>
      </c>
      <c r="K11" s="148">
        <f t="shared" si="0"/>
        <v>0</v>
      </c>
      <c r="L11" s="148">
        <f t="shared" si="0"/>
        <v>0</v>
      </c>
      <c r="M11" s="148">
        <f t="shared" si="0"/>
        <v>0</v>
      </c>
      <c r="N11" s="148">
        <f t="shared" si="0"/>
        <v>0</v>
      </c>
      <c r="O11" s="148">
        <f t="shared" si="0"/>
        <v>0</v>
      </c>
      <c r="P11" s="148">
        <f t="shared" si="0"/>
        <v>0</v>
      </c>
      <c r="Q11" s="148">
        <f t="shared" si="0"/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2"/>
  <sheetViews>
    <sheetView showGridLines="0" workbookViewId="0">
      <pane ySplit="3" topLeftCell="A4" activePane="bottomLeft" state="frozen"/>
      <selection activeCell="A15" sqref="A15"/>
      <selection pane="bottomLeft" activeCell="A15" sqref="A15"/>
    </sheetView>
  </sheetViews>
  <sheetFormatPr defaultRowHeight="15"/>
  <cols>
    <col min="1" max="1" width="6" customWidth="1"/>
    <col min="2" max="2" width="18" customWidth="1"/>
    <col min="3" max="3" width="34" customWidth="1"/>
    <col min="4" max="4" width="48" customWidth="1"/>
    <col min="5" max="5" width="56" customWidth="1"/>
    <col min="6" max="6" width="24" customWidth="1"/>
  </cols>
  <sheetData>
    <row r="1" spans="1:6" ht="18.75">
      <c r="A1" s="381" t="s">
        <v>890</v>
      </c>
    </row>
    <row r="3" spans="1:6">
      <c r="A3" s="382" t="s">
        <v>613</v>
      </c>
      <c r="B3" s="382" t="s">
        <v>891</v>
      </c>
      <c r="C3" s="382" t="s">
        <v>892</v>
      </c>
      <c r="D3" s="382" t="s">
        <v>893</v>
      </c>
      <c r="E3" s="382" t="s">
        <v>894</v>
      </c>
      <c r="F3" s="382" t="s">
        <v>895</v>
      </c>
    </row>
    <row r="4" spans="1:6" ht="30">
      <c r="A4" s="144">
        <v>1</v>
      </c>
      <c r="B4" s="144" t="s">
        <v>896</v>
      </c>
      <c r="C4" s="144" t="s">
        <v>897</v>
      </c>
      <c r="D4" s="144" t="s">
        <v>898</v>
      </c>
      <c r="E4" s="144" t="s">
        <v>899</v>
      </c>
      <c r="F4" s="166" t="str">
        <f>FIN_0_Параметры!$B$46</f>
        <v>OK</v>
      </c>
    </row>
    <row r="5" spans="1:6" ht="30">
      <c r="A5" s="144">
        <v>2</v>
      </c>
      <c r="B5" s="144" t="s">
        <v>900</v>
      </c>
      <c r="C5" s="144" t="s">
        <v>901</v>
      </c>
      <c r="D5" s="144" t="s">
        <v>902</v>
      </c>
      <c r="E5" s="144" t="s">
        <v>903</v>
      </c>
      <c r="F5" s="166">
        <f>FIN_0_Параметры!$B$19</f>
        <v>0</v>
      </c>
    </row>
    <row r="6" spans="1:6" ht="30">
      <c r="A6" s="144">
        <v>3</v>
      </c>
      <c r="B6" s="144" t="s">
        <v>900</v>
      </c>
      <c r="C6" s="144" t="s">
        <v>904</v>
      </c>
      <c r="D6" s="144" t="s">
        <v>905</v>
      </c>
      <c r="E6" s="144" t="s">
        <v>906</v>
      </c>
      <c r="F6" s="166">
        <f>FIN_0_Параметры!$B$22</f>
        <v>2</v>
      </c>
    </row>
    <row r="7" spans="1:6" ht="30">
      <c r="A7" s="144">
        <v>4</v>
      </c>
      <c r="B7" s="144" t="s">
        <v>795</v>
      </c>
      <c r="C7" s="144" t="s">
        <v>466</v>
      </c>
      <c r="D7" s="144" t="s">
        <v>907</v>
      </c>
      <c r="E7" s="144" t="s">
        <v>908</v>
      </c>
      <c r="F7" s="166">
        <f>FIN_0_Параметры!$B$39</f>
        <v>1.517241379310345</v>
      </c>
    </row>
    <row r="8" spans="1:6" ht="45">
      <c r="A8" s="144">
        <v>5</v>
      </c>
      <c r="B8" s="144" t="s">
        <v>795</v>
      </c>
      <c r="C8" s="144" t="s">
        <v>481</v>
      </c>
      <c r="D8" s="144" t="s">
        <v>909</v>
      </c>
      <c r="E8" s="144" t="s">
        <v>910</v>
      </c>
      <c r="F8" s="166">
        <f>FIN_0_Параметры!$B$41</f>
        <v>1600000</v>
      </c>
    </row>
    <row r="9" spans="1:6" ht="30">
      <c r="A9" s="144">
        <v>6</v>
      </c>
      <c r="B9" s="144" t="s">
        <v>22</v>
      </c>
      <c r="C9" s="144" t="s">
        <v>27</v>
      </c>
      <c r="D9" s="144" t="s">
        <v>911</v>
      </c>
      <c r="E9" s="144" t="s">
        <v>912</v>
      </c>
      <c r="F9" s="166">
        <f>FIN_3_PnL!$B$26</f>
        <v>2316748366.1086063</v>
      </c>
    </row>
    <row r="10" spans="1:6" ht="30">
      <c r="A10" s="144">
        <v>7</v>
      </c>
      <c r="B10" s="144" t="s">
        <v>913</v>
      </c>
      <c r="C10" s="144" t="s">
        <v>914</v>
      </c>
      <c r="D10" s="144" t="s">
        <v>915</v>
      </c>
      <c r="E10" s="144" t="s">
        <v>916</v>
      </c>
      <c r="F10" s="166">
        <f>FIN_3_PnL!$B$27</f>
        <v>21780734395.985992</v>
      </c>
    </row>
    <row r="11" spans="1:6" ht="30">
      <c r="A11" s="144">
        <v>8</v>
      </c>
      <c r="B11" s="144" t="s">
        <v>917</v>
      </c>
      <c r="C11" s="144" t="s">
        <v>918</v>
      </c>
      <c r="D11" s="144" t="s">
        <v>919</v>
      </c>
      <c r="E11" s="144" t="s">
        <v>920</v>
      </c>
      <c r="F11" s="166">
        <f>График!$F$33</f>
        <v>46477</v>
      </c>
    </row>
    <row r="12" spans="1:6" ht="30">
      <c r="A12" s="144">
        <v>9</v>
      </c>
      <c r="B12" s="144" t="s">
        <v>921</v>
      </c>
      <c r="C12" s="144" t="s">
        <v>922</v>
      </c>
      <c r="D12" s="144" t="s">
        <v>923</v>
      </c>
      <c r="E12" s="144" t="s">
        <v>924</v>
      </c>
      <c r="F12" s="166">
        <f>FIN_1_Затраты!H69</f>
        <v>2675411438.312305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3"/>
  <sheetViews>
    <sheetView showGridLines="0" workbookViewId="0">
      <selection activeCell="A15" sqref="A15"/>
    </sheetView>
  </sheetViews>
  <sheetFormatPr defaultRowHeight="15"/>
  <cols>
    <col min="1" max="1" width="96" customWidth="1"/>
    <col min="2" max="2" width="33.7109375" bestFit="1" customWidth="1"/>
    <col min="3" max="4" width="10.140625" bestFit="1" customWidth="1"/>
  </cols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7" spans="1:1">
      <c r="A7" t="s">
        <v>275</v>
      </c>
    </row>
    <row r="8" spans="1:1">
      <c r="A8" t="s">
        <v>276</v>
      </c>
    </row>
    <row r="47" spans="5:5">
      <c r="E47" s="62"/>
    </row>
    <row r="48" spans="5:5" ht="42.75" customHeight="1">
      <c r="E48" s="57" t="s">
        <v>277</v>
      </c>
    </row>
    <row r="49" spans="5:5">
      <c r="E49" s="64"/>
    </row>
    <row r="50" spans="5:5">
      <c r="E50" s="52"/>
    </row>
    <row r="51" spans="5:5">
      <c r="E51" s="52">
        <f>'разовые расходы'!B45*'разовые расходы'!C45</f>
        <v>156800</v>
      </c>
    </row>
    <row r="52" spans="5:5">
      <c r="E52" s="52">
        <f>'разовые расходы'!B46*'разовые расходы'!C46</f>
        <v>54000</v>
      </c>
    </row>
    <row r="53" spans="5:5">
      <c r="E53" s="52">
        <f>'разовые расходы'!B47*'разовые расходы'!C47</f>
        <v>27000</v>
      </c>
    </row>
    <row r="54" spans="5:5">
      <c r="E54" s="52">
        <f>'разовые расходы'!B48*'разовые расходы'!C48</f>
        <v>80000</v>
      </c>
    </row>
    <row r="55" spans="5:5">
      <c r="E55" s="52">
        <f>'разовые расходы'!B49*'разовые расходы'!C49</f>
        <v>30000</v>
      </c>
    </row>
    <row r="56" spans="5:5">
      <c r="E56" s="52">
        <f>'разовые расходы'!B50*'разовые расходы'!C50</f>
        <v>72000</v>
      </c>
    </row>
    <row r="57" spans="5:5">
      <c r="E57" s="52"/>
    </row>
    <row r="58" spans="5:5">
      <c r="E58" s="52">
        <f>'разовые расходы'!B52*'разовые расходы'!C52</f>
        <v>41600</v>
      </c>
    </row>
    <row r="59" spans="5:5">
      <c r="E59" s="52">
        <f>'разовые расходы'!B53*'разовые расходы'!C53</f>
        <v>12000</v>
      </c>
    </row>
    <row r="60" spans="5:5">
      <c r="E60" s="52">
        <f>'разовые расходы'!B54*'разовые расходы'!C54</f>
        <v>3200</v>
      </c>
    </row>
    <row r="61" spans="5:5">
      <c r="E61" s="52">
        <f>'разовые расходы'!B55*'разовые расходы'!C55</f>
        <v>85000</v>
      </c>
    </row>
    <row r="62" spans="5:5">
      <c r="E62" s="52">
        <f>'разовые расходы'!B56*'разовые расходы'!C56</f>
        <v>10000</v>
      </c>
    </row>
    <row r="63" spans="5:5">
      <c r="E63" s="68">
        <f>SUM(E51:E62)/1000</f>
        <v>571.6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workbookViewId="0">
      <pane ySplit="2" topLeftCell="A3" activePane="bottomLeft" state="frozen"/>
      <selection activeCell="A15" sqref="A15"/>
      <selection pane="bottomLeft" activeCell="A15" sqref="A15"/>
    </sheetView>
  </sheetViews>
  <sheetFormatPr defaultRowHeight="15"/>
  <cols>
    <col min="1" max="1" width="36" customWidth="1"/>
    <col min="2" max="2" width="24" customWidth="1"/>
    <col min="3" max="3" width="12" customWidth="1"/>
    <col min="4" max="4" width="3" customWidth="1"/>
    <col min="5" max="5" width="26" customWidth="1"/>
    <col min="6" max="6" width="76" customWidth="1"/>
  </cols>
  <sheetData>
    <row r="1" spans="1:6" ht="42">
      <c r="A1" s="140" t="s">
        <v>0</v>
      </c>
      <c r="B1" s="141"/>
      <c r="C1" s="141"/>
      <c r="D1" s="141"/>
      <c r="E1" s="141"/>
      <c r="F1" s="141"/>
    </row>
    <row r="2" spans="1:6">
      <c r="A2" s="141"/>
      <c r="B2" s="141"/>
      <c r="C2" s="141"/>
      <c r="D2" s="141"/>
      <c r="E2" s="141"/>
      <c r="F2" s="141"/>
    </row>
    <row r="3" spans="1:6" ht="30">
      <c r="A3" s="142" t="s">
        <v>1</v>
      </c>
      <c r="B3" s="143">
        <f>FIN_0_Параметры!$B$4</f>
        <v>46204</v>
      </c>
      <c r="C3" s="144" t="s">
        <v>2</v>
      </c>
      <c r="D3" s="141"/>
      <c r="E3" s="145" t="s">
        <v>3</v>
      </c>
      <c r="F3" s="141"/>
    </row>
    <row r="4" spans="1:6">
      <c r="A4" s="142" t="s">
        <v>4</v>
      </c>
      <c r="B4" s="143">
        <f>FIN_0_Параметры!$B$5</f>
        <v>46477</v>
      </c>
      <c r="C4" s="144" t="s">
        <v>2</v>
      </c>
      <c r="D4" s="141"/>
      <c r="E4" s="146" t="s">
        <v>5</v>
      </c>
      <c r="F4" s="144" t="s">
        <v>6</v>
      </c>
    </row>
    <row r="5" spans="1:6">
      <c r="A5" s="142" t="s">
        <v>7</v>
      </c>
      <c r="B5" s="147">
        <f>FIN_0_Параметры!$B$6</f>
        <v>274</v>
      </c>
      <c r="C5" s="144" t="s">
        <v>8</v>
      </c>
      <c r="D5" s="141"/>
      <c r="E5" s="146" t="s">
        <v>9</v>
      </c>
      <c r="F5" s="144" t="s">
        <v>10</v>
      </c>
    </row>
    <row r="6" spans="1:6">
      <c r="A6" s="142" t="s">
        <v>11</v>
      </c>
      <c r="B6" s="144" t="str">
        <f>FIN_0_Параметры!$B$46</f>
        <v>OK</v>
      </c>
      <c r="C6" s="144"/>
      <c r="D6" s="141"/>
      <c r="E6" s="146" t="s">
        <v>12</v>
      </c>
      <c r="F6" s="144" t="s">
        <v>13</v>
      </c>
    </row>
    <row r="7" spans="1:6" ht="30">
      <c r="A7" s="142" t="s">
        <v>14</v>
      </c>
      <c r="B7" s="147">
        <f>FIN_3_PnL!$B$16</f>
        <v>109534012554.97546</v>
      </c>
      <c r="C7" s="144" t="s">
        <v>15</v>
      </c>
      <c r="D7" s="141"/>
      <c r="E7" s="146" t="s">
        <v>16</v>
      </c>
      <c r="F7" s="144" t="s">
        <v>17</v>
      </c>
    </row>
    <row r="8" spans="1:6" ht="30">
      <c r="A8" s="142" t="s">
        <v>18</v>
      </c>
      <c r="B8" s="147">
        <f>FIN_3_PnL!$B$28</f>
        <v>133631495317.07007</v>
      </c>
      <c r="C8" s="144" t="s">
        <v>15</v>
      </c>
      <c r="D8" s="141"/>
      <c r="E8" s="146" t="s">
        <v>19</v>
      </c>
      <c r="F8" s="144" t="s">
        <v>20</v>
      </c>
    </row>
    <row r="9" spans="1:6" ht="30">
      <c r="A9" s="142" t="s">
        <v>21</v>
      </c>
      <c r="B9" s="147">
        <f>FIN_3_PnL!$B$22</f>
        <v>12048741381.04731</v>
      </c>
      <c r="C9" s="144" t="s">
        <v>15</v>
      </c>
      <c r="D9" s="141"/>
      <c r="E9" s="146" t="s">
        <v>22</v>
      </c>
      <c r="F9" s="144" t="s">
        <v>23</v>
      </c>
    </row>
    <row r="10" spans="1:6">
      <c r="A10" s="142" t="s">
        <v>24</v>
      </c>
      <c r="B10" s="148">
        <f>FIN_3_PnL!$B$23</f>
        <v>0.11000000000000008</v>
      </c>
      <c r="C10" s="144" t="s">
        <v>25</v>
      </c>
      <c r="D10" s="141"/>
      <c r="E10" s="141"/>
      <c r="F10" s="141"/>
    </row>
    <row r="11" spans="1:6">
      <c r="A11" s="142" t="s">
        <v>26</v>
      </c>
      <c r="B11" s="147">
        <f>FIN_3_PnL!$B$25</f>
        <v>24097482762.094601</v>
      </c>
      <c r="C11" s="144" t="s">
        <v>15</v>
      </c>
      <c r="D11" s="141"/>
      <c r="E11" s="141"/>
      <c r="F11" s="141"/>
    </row>
    <row r="12" spans="1:6">
      <c r="A12" s="142" t="s">
        <v>27</v>
      </c>
      <c r="B12" s="147">
        <f>FIN_3_PnL!$B$26</f>
        <v>2316748366.1086063</v>
      </c>
      <c r="C12" s="144" t="s">
        <v>15</v>
      </c>
      <c r="D12" s="141"/>
      <c r="E12" s="145" t="s">
        <v>28</v>
      </c>
      <c r="F12" s="141"/>
    </row>
    <row r="13" spans="1:6">
      <c r="A13" s="142" t="s">
        <v>29</v>
      </c>
      <c r="B13" s="147">
        <f>FIN_3_PnL!$B$27</f>
        <v>21780734395.985992</v>
      </c>
      <c r="C13" s="144" t="s">
        <v>15</v>
      </c>
      <c r="D13" s="141"/>
      <c r="E13" s="144" t="s">
        <v>30</v>
      </c>
      <c r="F13" s="147">
        <f>SUMIFS(FIN_1_Затраты!$L$2:$L$72,FIN_1_Затраты!$D$2:$D$72,"Прямые")</f>
        <v>258113292.02241802</v>
      </c>
    </row>
    <row r="14" spans="1:6">
      <c r="A14" s="142" t="s">
        <v>31</v>
      </c>
      <c r="B14" s="147">
        <f>MIN(FIN_4_CashFlow!$B$38:$Q$38)</f>
        <v>-5352186444.108736</v>
      </c>
      <c r="C14" s="144" t="s">
        <v>15</v>
      </c>
      <c r="D14" s="141"/>
      <c r="E14" s="144" t="s">
        <v>32</v>
      </c>
      <c r="F14" s="147">
        <f>SUMIFS(FIN_1_Затраты!$L$2:$L$72,FIN_1_Затраты!$D$2:$D$72,"Однократно")</f>
        <v>1721715725</v>
      </c>
    </row>
    <row r="15" spans="1:6">
      <c r="A15" s="141"/>
      <c r="B15" s="141"/>
      <c r="C15" s="141"/>
      <c r="D15" s="141"/>
      <c r="E15" s="144" t="s">
        <v>33</v>
      </c>
      <c r="F15" s="147">
        <f>SUMIFS(FIN_1_Затраты!$L$2:$L$72,FIN_1_Затраты!$D$2:$D$72,"ФОТ")</f>
        <v>50597748.353749208</v>
      </c>
    </row>
    <row r="16" spans="1:6">
      <c r="A16" s="141"/>
      <c r="B16" s="141"/>
      <c r="C16" s="141"/>
      <c r="D16" s="141"/>
      <c r="E16" s="144" t="s">
        <v>34</v>
      </c>
      <c r="F16" s="147">
        <f>SUMIFS(FIN_1_Затраты!$L$2:$L$72,FIN_1_Затраты!$D$2:$D$72,"Операционные")</f>
        <v>87149954511.700668</v>
      </c>
    </row>
    <row r="17" spans="1:6">
      <c r="A17" s="141"/>
      <c r="B17" s="141"/>
      <c r="C17" s="141"/>
      <c r="D17" s="141"/>
      <c r="E17" s="144" t="s">
        <v>35</v>
      </c>
      <c r="F17" s="147">
        <f>SUMIFS(FIN_1_Затраты!$L$2:$L$72,FIN_1_Затраты!$D$2:$D$72,"Резерв")</f>
        <v>2675411438.312305</v>
      </c>
    </row>
    <row r="18" spans="1:6">
      <c r="A18" s="145" t="s">
        <v>36</v>
      </c>
      <c r="B18" s="141"/>
      <c r="C18" s="141"/>
      <c r="D18" s="141"/>
      <c r="E18" s="141"/>
      <c r="F18" s="141"/>
    </row>
    <row r="19" spans="1:6">
      <c r="A19" s="414" t="s">
        <v>37</v>
      </c>
      <c r="B19" s="414"/>
      <c r="C19" s="414"/>
      <c r="D19" s="141"/>
      <c r="E19" s="141"/>
      <c r="F19" s="141"/>
    </row>
    <row r="20" spans="1:6">
      <c r="A20" s="414"/>
      <c r="B20" s="414"/>
      <c r="C20" s="414"/>
      <c r="D20" s="141"/>
      <c r="E20" s="141"/>
      <c r="F20" s="141"/>
    </row>
    <row r="21" spans="1:6">
      <c r="A21" s="414"/>
      <c r="B21" s="414"/>
      <c r="C21" s="414"/>
      <c r="D21" s="141"/>
      <c r="E21" s="141"/>
      <c r="F21" s="141"/>
    </row>
    <row r="22" spans="1:6">
      <c r="A22" s="414"/>
      <c r="B22" s="414"/>
      <c r="C22" s="414"/>
      <c r="D22" s="141"/>
      <c r="E22" s="141"/>
      <c r="F22" s="141"/>
    </row>
    <row r="23" spans="1:6">
      <c r="A23" s="414"/>
      <c r="B23" s="414"/>
      <c r="C23" s="414"/>
      <c r="D23" s="141"/>
      <c r="E23" s="141"/>
      <c r="F23" s="141"/>
    </row>
    <row r="24" spans="1:6">
      <c r="A24" s="141"/>
      <c r="B24" s="141"/>
      <c r="C24" s="141"/>
      <c r="D24" s="141"/>
      <c r="E24" s="141"/>
      <c r="F24" s="141"/>
    </row>
    <row r="44" spans="1:16" hidden="1">
      <c r="A44" s="149">
        <f>FIN_4_CashFlow!B$2</f>
        <v>46204</v>
      </c>
      <c r="B44" s="149">
        <f>FIN_4_CashFlow!C$2</f>
        <v>46235</v>
      </c>
      <c r="C44" s="149">
        <f>FIN_4_CashFlow!D$2</f>
        <v>46266</v>
      </c>
      <c r="D44" s="149">
        <f>FIN_4_CashFlow!E$2</f>
        <v>46296</v>
      </c>
      <c r="E44" s="149">
        <f>FIN_4_CashFlow!F$2</f>
        <v>46327</v>
      </c>
      <c r="F44" s="149">
        <f>FIN_4_CashFlow!G$2</f>
        <v>46357</v>
      </c>
      <c r="G44" s="149">
        <f>FIN_4_CashFlow!H$2</f>
        <v>46388</v>
      </c>
      <c r="H44" s="149">
        <f>FIN_4_CashFlow!I$2</f>
        <v>46419</v>
      </c>
      <c r="I44" s="149">
        <f>FIN_4_CashFlow!J$2</f>
        <v>46447</v>
      </c>
      <c r="J44" s="149">
        <f>FIN_4_CashFlow!K$2</f>
        <v>46478</v>
      </c>
      <c r="K44" s="149">
        <f>FIN_4_CashFlow!L$2</f>
        <v>46508</v>
      </c>
      <c r="L44" s="149">
        <f>FIN_4_CashFlow!M$2</f>
        <v>46539</v>
      </c>
      <c r="M44" s="149">
        <f>FIN_4_CashFlow!N$2</f>
        <v>46569</v>
      </c>
      <c r="N44" s="149">
        <f>FIN_4_CashFlow!O$2</f>
        <v>46600</v>
      </c>
      <c r="O44" s="149">
        <f>FIN_4_CashFlow!P$2</f>
        <v>46631</v>
      </c>
      <c r="P44" s="149">
        <f>FIN_4_CashFlow!Q$2</f>
        <v>46661</v>
      </c>
    </row>
    <row r="45" spans="1:16" hidden="1">
      <c r="A45" s="150">
        <f>FIN_4_CashFlow!B$5</f>
        <v>12664893936.571718</v>
      </c>
      <c r="B45" s="150">
        <f>FIN_4_CashFlow!C$5</f>
        <v>11337874051.656027</v>
      </c>
      <c r="C45" s="150">
        <f>FIN_4_CashFlow!D$5</f>
        <v>11454424461.991879</v>
      </c>
      <c r="D45" s="150">
        <f>FIN_4_CashFlow!E$5</f>
        <v>13494056642.869278</v>
      </c>
      <c r="E45" s="150">
        <f>FIN_4_CashFlow!F$5</f>
        <v>13053755092.711615</v>
      </c>
      <c r="F45" s="150">
        <f>FIN_4_CashFlow!G$5</f>
        <v>11991851354.096081</v>
      </c>
      <c r="G45" s="150">
        <f>FIN_4_CashFlow!H$5</f>
        <v>11700475328.256453</v>
      </c>
      <c r="H45" s="150">
        <f>FIN_4_CashFlow!I$5</f>
        <v>11713425373.849325</v>
      </c>
      <c r="I45" s="150">
        <f>FIN_4_CashFlow!J$5</f>
        <v>12123256312.973099</v>
      </c>
      <c r="J45" s="150">
        <f>FIN_4_CashFlow!K$5</f>
        <v>0</v>
      </c>
      <c r="K45" s="150">
        <f>FIN_4_CashFlow!L$5</f>
        <v>0</v>
      </c>
      <c r="L45" s="150">
        <f>FIN_4_CashFlow!M$5</f>
        <v>0</v>
      </c>
      <c r="M45" s="150">
        <f>FIN_4_CashFlow!N$5</f>
        <v>0</v>
      </c>
      <c r="N45" s="150">
        <f>FIN_4_CashFlow!O$5</f>
        <v>0</v>
      </c>
      <c r="O45" s="150">
        <f>FIN_4_CashFlow!P$5</f>
        <v>0</v>
      </c>
      <c r="P45" s="150">
        <f>FIN_4_CashFlow!Q$5</f>
        <v>0</v>
      </c>
    </row>
    <row r="46" spans="1:16" hidden="1">
      <c r="A46" s="150">
        <f>FIN_4_CashFlow!B$18</f>
        <v>12433257146.178411</v>
      </c>
      <c r="B46" s="150">
        <f>FIN_4_CashFlow!C$18</f>
        <v>9686310089.6551723</v>
      </c>
      <c r="C46" s="150">
        <f>FIN_4_CashFlow!D$18</f>
        <v>9785882849.9844971</v>
      </c>
      <c r="D46" s="150">
        <f>FIN_4_CashFlow!E$18</f>
        <v>11528406155.747667</v>
      </c>
      <c r="E46" s="150">
        <f>FIN_4_CashFlow!F$18</f>
        <v>11152242394.503553</v>
      </c>
      <c r="F46" s="150">
        <f>FIN_4_CashFlow!G$18</f>
        <v>10245023911.503046</v>
      </c>
      <c r="G46" s="150">
        <f>FIN_4_CashFlow!H$18</f>
        <v>9996092010.6797352</v>
      </c>
      <c r="H46" s="150">
        <f>FIN_4_CashFlow!I$18</f>
        <v>10007155650.716328</v>
      </c>
      <c r="I46" s="150">
        <f>FIN_4_CashFlow!J$18</f>
        <v>10357287389.929609</v>
      </c>
      <c r="J46" s="150">
        <f>FIN_4_CashFlow!K$18</f>
        <v>0</v>
      </c>
      <c r="K46" s="150">
        <f>FIN_4_CashFlow!L$18</f>
        <v>0</v>
      </c>
      <c r="L46" s="150">
        <f>FIN_4_CashFlow!M$18</f>
        <v>0</v>
      </c>
      <c r="M46" s="150">
        <f>FIN_4_CashFlow!N$18</f>
        <v>0</v>
      </c>
      <c r="N46" s="150">
        <f>FIN_4_CashFlow!O$18</f>
        <v>0</v>
      </c>
      <c r="O46" s="150">
        <f>FIN_4_CashFlow!P$18</f>
        <v>0</v>
      </c>
      <c r="P46" s="150">
        <f>FIN_4_CashFlow!Q$18</f>
        <v>0</v>
      </c>
    </row>
  </sheetData>
  <mergeCells count="1">
    <mergeCell ref="A19:C23"/>
  </mergeCells>
  <pageMargins left="0.75" right="0.75" top="1" bottom="1" header="0.5" footer="0.5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B5893-2AB6-4F49-950D-3948D45FA9DF}">
  <sheetPr>
    <tabColor rgb="FF00B050"/>
  </sheetPr>
  <dimension ref="A1:D19"/>
  <sheetViews>
    <sheetView workbookViewId="0">
      <selection activeCell="C24" sqref="C24"/>
    </sheetView>
  </sheetViews>
  <sheetFormatPr defaultRowHeight="15"/>
  <cols>
    <col min="1" max="1" width="6.7109375" customWidth="1"/>
    <col min="2" max="2" width="72.42578125" customWidth="1"/>
    <col min="3" max="3" width="23.140625" bestFit="1" customWidth="1"/>
    <col min="4" max="4" width="25.5703125" bestFit="1" customWidth="1"/>
  </cols>
  <sheetData>
    <row r="1" spans="1:4" s="429" customFormat="1">
      <c r="B1" s="453" t="s">
        <v>971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30">
        <v>1</v>
      </c>
      <c r="B4" s="2" t="s">
        <v>937</v>
      </c>
      <c r="C4" s="439">
        <f>D4*(1+FIN_0_Параметры!$B$10)</f>
        <v>16200000</v>
      </c>
      <c r="D4" s="431">
        <f>'себестоимость прямая'!E7</f>
        <v>13278688.524590164</v>
      </c>
    </row>
    <row r="5" spans="1:4">
      <c r="A5" s="430">
        <v>2</v>
      </c>
      <c r="B5" s="2" t="s">
        <v>938</v>
      </c>
      <c r="C5" s="439">
        <f>D5*(1+FIN_0_Параметры!$B$10)</f>
        <v>3271918</v>
      </c>
      <c r="D5" s="431">
        <f>'себестоимость прямая'!E9</f>
        <v>2681900</v>
      </c>
    </row>
    <row r="6" spans="1:4">
      <c r="A6" s="430">
        <v>3</v>
      </c>
      <c r="B6" s="2" t="s">
        <v>939</v>
      </c>
      <c r="C6" s="439">
        <f>D6*(1+FIN_0_Параметры!$B$10)</f>
        <v>19020654</v>
      </c>
      <c r="D6" s="431">
        <f>SUM('себестоимость прямая'!E11:E12)</f>
        <v>15590700</v>
      </c>
    </row>
    <row r="7" spans="1:4">
      <c r="A7" s="430">
        <v>4</v>
      </c>
      <c r="B7" s="2" t="s">
        <v>940</v>
      </c>
      <c r="C7" s="439">
        <f>D7*(1+FIN_0_Параметры!$B$10)</f>
        <v>2319000.4</v>
      </c>
      <c r="D7" s="431">
        <f>SUM('себестоимость прямая'!E14:E17)</f>
        <v>1900820</v>
      </c>
    </row>
    <row r="8" spans="1:4">
      <c r="A8" s="430">
        <v>5</v>
      </c>
      <c r="B8" s="2" t="s">
        <v>941</v>
      </c>
      <c r="C8" s="439">
        <f>D8*(1+FIN_0_Параметры!$B$10)</f>
        <v>18341870.399999999</v>
      </c>
      <c r="D8" s="431">
        <f>SUM('себестоимость прямая'!E20:E23)</f>
        <v>15034320</v>
      </c>
    </row>
    <row r="9" spans="1:4">
      <c r="A9" s="430">
        <v>6</v>
      </c>
      <c r="B9" s="2" t="s">
        <v>942</v>
      </c>
      <c r="C9" s="439">
        <f>D9*(1+FIN_0_Параметры!$B$10)</f>
        <v>32028123.199999999</v>
      </c>
      <c r="D9" s="431">
        <f>SUM('себестоимость прямая'!E25:E32)</f>
        <v>26252560</v>
      </c>
    </row>
    <row r="10" spans="1:4">
      <c r="A10" s="430">
        <v>7</v>
      </c>
      <c r="B10" s="2" t="s">
        <v>943</v>
      </c>
      <c r="C10" s="439">
        <f>D10*(1+FIN_0_Параметры!$B$10)</f>
        <v>122536.8</v>
      </c>
      <c r="D10" s="431">
        <f>'себестоимость прямая'!E34</f>
        <v>100440</v>
      </c>
    </row>
    <row r="11" spans="1:4">
      <c r="A11" s="430">
        <v>8</v>
      </c>
      <c r="B11" s="2" t="s">
        <v>944</v>
      </c>
      <c r="C11" s="439">
        <f>D11*(1+FIN_0_Параметры!$B$10)</f>
        <v>100948136.92903998</v>
      </c>
      <c r="D11" s="431">
        <f>SUM('себестоимость прямая'!E36:E44)</f>
        <v>82744374.53199999</v>
      </c>
    </row>
    <row r="12" spans="1:4">
      <c r="A12" s="430">
        <v>9</v>
      </c>
      <c r="B12" s="2" t="s">
        <v>945</v>
      </c>
      <c r="C12" s="439">
        <f>D12*(1+FIN_0_Параметры!$B$10)</f>
        <v>2690441.6</v>
      </c>
      <c r="D12" s="431">
        <f>SUM('себестоимость прямая'!E46:E47)</f>
        <v>2205280</v>
      </c>
    </row>
    <row r="13" spans="1:4">
      <c r="A13" s="430">
        <v>10</v>
      </c>
      <c r="B13" s="2" t="s">
        <v>946</v>
      </c>
      <c r="C13" s="439">
        <f>D13*(1+FIN_0_Параметры!$B$10)</f>
        <v>870011.28</v>
      </c>
      <c r="D13" s="431">
        <f>SUM('себестоимость прямая'!E49:E51)</f>
        <v>713124</v>
      </c>
    </row>
    <row r="14" spans="1:4">
      <c r="A14" s="430">
        <v>11</v>
      </c>
      <c r="B14" s="2" t="s">
        <v>947</v>
      </c>
      <c r="C14" s="439">
        <f>D14*(1+FIN_0_Параметры!$B$10)</f>
        <v>632987.24</v>
      </c>
      <c r="D14" s="431">
        <f>SUM('себестоимость прямая'!E53:E55)</f>
        <v>518842</v>
      </c>
    </row>
    <row r="15" spans="1:4">
      <c r="A15" s="430">
        <v>12</v>
      </c>
      <c r="B15" s="2" t="s">
        <v>948</v>
      </c>
      <c r="C15" s="439">
        <f>D15*(1+FIN_0_Параметры!$B$10)</f>
        <v>5106432</v>
      </c>
      <c r="D15" s="431">
        <f>SUM('себестоимость прямая'!E58:E59)</f>
        <v>4185600</v>
      </c>
    </row>
    <row r="16" spans="1:4">
      <c r="A16" s="430">
        <v>13</v>
      </c>
      <c r="B16" s="2" t="s">
        <v>949</v>
      </c>
      <c r="C16" s="439">
        <f>D16*(1+FIN_0_Параметры!$B$10)</f>
        <v>8256960</v>
      </c>
      <c r="D16" s="431">
        <f>'себестоимость прямая'!E61</f>
        <v>6768000</v>
      </c>
    </row>
    <row r="17" spans="1:4">
      <c r="A17" s="430">
        <v>14</v>
      </c>
      <c r="B17" s="2" t="s">
        <v>950</v>
      </c>
      <c r="C17" s="439">
        <f>D17*(1+FIN_0_Параметры!$B$10)</f>
        <v>517067.72</v>
      </c>
      <c r="D17" s="431">
        <f>'себестоимость прямая'!E63</f>
        <v>423826</v>
      </c>
    </row>
    <row r="18" spans="1:4">
      <c r="A18" s="430">
        <v>15</v>
      </c>
      <c r="B18" s="2" t="s">
        <v>951</v>
      </c>
      <c r="C18" s="439">
        <f>D18*(1+FIN_0_Параметры!$B$10)</f>
        <v>409920</v>
      </c>
      <c r="D18" s="431">
        <f>'себестоимость прямая'!E65</f>
        <v>336000</v>
      </c>
    </row>
    <row r="19" spans="1:4">
      <c r="A19" s="432"/>
      <c r="B19" s="402" t="s">
        <v>1021</v>
      </c>
      <c r="C19" s="408">
        <f>SUM(C4:C18)</f>
        <v>210736059.56903997</v>
      </c>
      <c r="D19" s="408">
        <f>SUM(D4:D18)</f>
        <v>172734475.05659014</v>
      </c>
    </row>
  </sheetData>
  <hyperlinks>
    <hyperlink ref="B1" location="FIN_PnL_Финальный!A9" tooltip="Перейти к статье «Оплата субподряда» в P&amp;L" display="Оплата субподряда" xr:uid="{9F50BC78-FA30-4C28-82D2-8DD697B5E7EB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9"/>
  <sheetViews>
    <sheetView showGridLines="0" zoomScale="85" zoomScaleNormal="85" workbookViewId="0">
      <pane xSplit="1" ySplit="55" topLeftCell="B56" activePane="bottomRight" state="frozen"/>
      <selection activeCell="A15" sqref="A15"/>
      <selection pane="topRight" activeCell="A15" sqref="A15"/>
      <selection pane="bottomLeft" activeCell="A15" sqref="A15"/>
      <selection pane="bottomRight" activeCell="A15" sqref="A15"/>
    </sheetView>
  </sheetViews>
  <sheetFormatPr defaultRowHeight="15"/>
  <cols>
    <col min="1" max="1" width="10.140625" bestFit="1" customWidth="1"/>
    <col min="2" max="2" width="45.85546875" customWidth="1"/>
    <col min="3" max="3" width="8" customWidth="1"/>
    <col min="4" max="4" width="10.42578125" bestFit="1" customWidth="1"/>
    <col min="5" max="5" width="16.140625" customWidth="1"/>
    <col min="6" max="6" width="16.28515625" bestFit="1" customWidth="1"/>
    <col min="7" max="7" width="17" customWidth="1"/>
    <col min="8" max="8" width="15.28515625" bestFit="1" customWidth="1"/>
    <col min="9" max="10" width="15" customWidth="1"/>
    <col min="11" max="11" width="60.140625" customWidth="1"/>
    <col min="12" max="12" width="62.42578125" bestFit="1" customWidth="1"/>
  </cols>
  <sheetData>
    <row r="1" spans="1:12" ht="28.5" customHeight="1">
      <c r="A1" s="1"/>
      <c r="B1" s="141" t="s">
        <v>161</v>
      </c>
      <c r="D1" s="3"/>
    </row>
    <row r="2" spans="1:12">
      <c r="A2" s="1"/>
      <c r="D2" s="3"/>
    </row>
    <row r="3" spans="1:12">
      <c r="A3" s="422" t="s">
        <v>162</v>
      </c>
      <c r="B3" s="422" t="s">
        <v>163</v>
      </c>
      <c r="C3" s="422" t="s">
        <v>164</v>
      </c>
      <c r="D3" s="424" t="s">
        <v>165</v>
      </c>
      <c r="E3" s="422" t="s">
        <v>166</v>
      </c>
      <c r="F3" s="421"/>
      <c r="G3" s="422" t="s">
        <v>167</v>
      </c>
      <c r="H3" s="422" t="s">
        <v>168</v>
      </c>
      <c r="I3" s="421"/>
      <c r="J3" s="422" t="s">
        <v>169</v>
      </c>
      <c r="K3" s="422" t="s">
        <v>170</v>
      </c>
      <c r="L3" s="422" t="s">
        <v>171</v>
      </c>
    </row>
    <row r="4" spans="1:12">
      <c r="A4" s="423"/>
      <c r="B4" s="423"/>
      <c r="C4" s="423"/>
      <c r="D4" s="423"/>
      <c r="E4" s="171" t="s">
        <v>172</v>
      </c>
      <c r="F4" s="171" t="s">
        <v>173</v>
      </c>
      <c r="G4" s="423"/>
      <c r="H4" s="171" t="s">
        <v>172</v>
      </c>
      <c r="I4" s="171" t="s">
        <v>173</v>
      </c>
      <c r="J4" s="423"/>
      <c r="K4" s="423"/>
      <c r="L4" s="423"/>
    </row>
    <row r="5" spans="1:12">
      <c r="A5" s="4"/>
      <c r="B5" s="419"/>
      <c r="C5" s="420"/>
      <c r="D5" s="421"/>
      <c r="E5" s="6"/>
      <c r="F5" s="6"/>
      <c r="G5" s="5"/>
      <c r="H5" s="6"/>
      <c r="I5" s="6"/>
      <c r="J5" s="5"/>
      <c r="K5" s="5"/>
    </row>
    <row r="6" spans="1:12">
      <c r="A6" s="7"/>
      <c r="B6" s="172" t="s">
        <v>174</v>
      </c>
      <c r="C6" s="8"/>
      <c r="D6" s="8"/>
      <c r="E6" s="9"/>
      <c r="F6" s="9"/>
      <c r="G6" s="10"/>
      <c r="H6" s="10"/>
      <c r="I6" s="11"/>
      <c r="J6" s="11"/>
      <c r="K6" s="8"/>
    </row>
    <row r="7" spans="1:12">
      <c r="A7" s="12"/>
      <c r="B7" s="173" t="s">
        <v>175</v>
      </c>
      <c r="C7" s="174" t="s">
        <v>176</v>
      </c>
      <c r="D7" s="174">
        <v>1</v>
      </c>
      <c r="E7" s="175">
        <f>D7*H7</f>
        <v>13278688.524590164</v>
      </c>
      <c r="F7" s="175">
        <f>D7*I7</f>
        <v>0</v>
      </c>
      <c r="G7" s="176">
        <f>E7+F7</f>
        <v>13278688.524590164</v>
      </c>
      <c r="H7" s="176">
        <f>16200000/1.22</f>
        <v>13278688.524590164</v>
      </c>
      <c r="I7" s="14"/>
      <c r="J7" s="176">
        <f>H7+I7</f>
        <v>13278688.524590164</v>
      </c>
      <c r="K7" s="13"/>
    </row>
    <row r="8" spans="1:12" ht="15.4" customHeight="1">
      <c r="A8" s="15"/>
      <c r="B8" s="177" t="s">
        <v>177</v>
      </c>
      <c r="C8" s="16"/>
      <c r="D8" s="17"/>
      <c r="E8" s="18"/>
      <c r="F8" s="18"/>
      <c r="G8" s="19"/>
      <c r="H8" s="18"/>
      <c r="I8" s="18"/>
      <c r="J8" s="19"/>
      <c r="K8" s="19"/>
    </row>
    <row r="9" spans="1:12" s="21" customFormat="1" ht="27" customHeight="1">
      <c r="A9" s="178" t="s">
        <v>178</v>
      </c>
      <c r="B9" s="173" t="s">
        <v>179</v>
      </c>
      <c r="C9" s="174" t="s">
        <v>176</v>
      </c>
      <c r="D9" s="174">
        <v>1</v>
      </c>
      <c r="E9" s="179">
        <f>D9*H9</f>
        <v>2681900</v>
      </c>
      <c r="F9" s="179">
        <f>D9*I9</f>
        <v>7068774</v>
      </c>
      <c r="G9" s="179">
        <f>E9+F9</f>
        <v>9750674</v>
      </c>
      <c r="H9" s="180">
        <v>2681900</v>
      </c>
      <c r="I9" s="181">
        <v>7068774</v>
      </c>
      <c r="J9" s="176">
        <f>H9+I9</f>
        <v>9750674</v>
      </c>
      <c r="K9" s="182" t="s">
        <v>180</v>
      </c>
    </row>
    <row r="10" spans="1:12">
      <c r="A10" s="12"/>
      <c r="B10" s="173" t="s">
        <v>181</v>
      </c>
      <c r="C10" s="13"/>
      <c r="D10" s="13"/>
      <c r="E10" s="22"/>
      <c r="F10" s="22"/>
      <c r="G10" s="20"/>
      <c r="H10" s="20"/>
      <c r="I10" s="14"/>
      <c r="J10" s="14"/>
      <c r="K10" s="13"/>
    </row>
    <row r="11" spans="1:12" ht="41.65" customHeight="1">
      <c r="A11" s="23"/>
      <c r="B11" s="31" t="s">
        <v>182</v>
      </c>
      <c r="C11" s="24" t="s">
        <v>183</v>
      </c>
      <c r="D11" s="183">
        <v>1700</v>
      </c>
      <c r="E11" s="184">
        <f>D11*H11</f>
        <v>14450000</v>
      </c>
      <c r="F11" s="184">
        <f>D11*I11</f>
        <v>6699700</v>
      </c>
      <c r="G11" s="185">
        <f>E11+F11</f>
        <v>21149700</v>
      </c>
      <c r="H11" s="186">
        <v>8500</v>
      </c>
      <c r="I11" s="184">
        <f>3595+346</f>
        <v>3941</v>
      </c>
      <c r="J11" s="187">
        <f>H11+I11</f>
        <v>12441</v>
      </c>
      <c r="K11" s="26" t="s">
        <v>184</v>
      </c>
      <c r="L11" s="141" t="s">
        <v>185</v>
      </c>
    </row>
    <row r="12" spans="1:12" ht="27.75" customHeight="1">
      <c r="A12" s="23"/>
      <c r="B12" s="31" t="s">
        <v>186</v>
      </c>
      <c r="C12" s="24" t="s">
        <v>183</v>
      </c>
      <c r="D12" s="188">
        <v>170</v>
      </c>
      <c r="E12" s="184">
        <f>D12*H12</f>
        <v>1140700</v>
      </c>
      <c r="F12" s="184">
        <f>D12*I12</f>
        <v>62696</v>
      </c>
      <c r="G12" s="185">
        <f>E12+F12</f>
        <v>1203396</v>
      </c>
      <c r="H12" s="186">
        <v>6710</v>
      </c>
      <c r="I12" s="189">
        <v>368.8</v>
      </c>
      <c r="J12" s="184">
        <f>I12+H12</f>
        <v>7078.8</v>
      </c>
      <c r="K12" s="26" t="s">
        <v>187</v>
      </c>
      <c r="L12" s="141" t="s">
        <v>188</v>
      </c>
    </row>
    <row r="13" spans="1:12">
      <c r="A13" s="12"/>
      <c r="B13" s="173" t="s">
        <v>189</v>
      </c>
      <c r="C13" s="13"/>
      <c r="D13" s="13"/>
      <c r="E13" s="22"/>
      <c r="F13" s="22"/>
      <c r="G13" s="20"/>
      <c r="H13" s="20"/>
      <c r="I13" s="14"/>
      <c r="J13" s="14"/>
      <c r="K13" s="13"/>
    </row>
    <row r="14" spans="1:12" ht="41.65" customHeight="1">
      <c r="A14" s="23"/>
      <c r="B14" s="26" t="s">
        <v>190</v>
      </c>
      <c r="C14" s="27" t="s">
        <v>191</v>
      </c>
      <c r="D14" s="183">
        <v>1074</v>
      </c>
      <c r="E14" s="184">
        <f>D14*H14</f>
        <v>1664700</v>
      </c>
      <c r="F14" s="184">
        <f>D14*I14</f>
        <v>381807</v>
      </c>
      <c r="G14" s="190">
        <f>E14+F14</f>
        <v>2046507</v>
      </c>
      <c r="H14" s="191">
        <v>1550</v>
      </c>
      <c r="I14" s="189">
        <v>355.5</v>
      </c>
      <c r="J14" s="187">
        <f>H14+I14</f>
        <v>1905.5</v>
      </c>
      <c r="K14" s="26" t="s">
        <v>192</v>
      </c>
      <c r="L14" s="141" t="s">
        <v>193</v>
      </c>
    </row>
    <row r="15" spans="1:12" ht="15.4" customHeight="1">
      <c r="A15" s="23"/>
      <c r="B15" s="192" t="s">
        <v>194</v>
      </c>
      <c r="C15" s="193" t="s">
        <v>195</v>
      </c>
      <c r="D15" s="193">
        <v>40</v>
      </c>
      <c r="E15" s="184">
        <f>D15*H15</f>
        <v>40800</v>
      </c>
      <c r="F15" s="184">
        <f>D15*I15</f>
        <v>0</v>
      </c>
      <c r="G15" s="190">
        <f>E15+F15</f>
        <v>40800</v>
      </c>
      <c r="H15" s="191">
        <v>1020</v>
      </c>
      <c r="I15" s="25"/>
      <c r="J15" s="187">
        <f>H15+I15</f>
        <v>1020</v>
      </c>
      <c r="K15" s="194" t="s">
        <v>196</v>
      </c>
    </row>
    <row r="16" spans="1:12" ht="30.75" customHeight="1">
      <c r="A16" s="23"/>
      <c r="B16" s="192" t="s">
        <v>197</v>
      </c>
      <c r="C16" s="193" t="s">
        <v>195</v>
      </c>
      <c r="D16" s="193">
        <v>40</v>
      </c>
      <c r="E16" s="184">
        <f>D16*H16</f>
        <v>87320</v>
      </c>
      <c r="F16" s="184">
        <f>D16*I16</f>
        <v>0</v>
      </c>
      <c r="G16" s="190">
        <f>E16+F16</f>
        <v>87320</v>
      </c>
      <c r="H16" s="191">
        <v>2183</v>
      </c>
      <c r="I16" s="25"/>
      <c r="J16" s="187">
        <f>H16+I16</f>
        <v>2183</v>
      </c>
      <c r="K16" s="29"/>
    </row>
    <row r="17" spans="1:11" ht="15.75" customHeight="1">
      <c r="A17" s="23"/>
      <c r="B17" s="192" t="s">
        <v>198</v>
      </c>
      <c r="C17" s="193" t="s">
        <v>195</v>
      </c>
      <c r="D17" s="193">
        <v>40</v>
      </c>
      <c r="E17" s="184">
        <f>D17*H17</f>
        <v>108000</v>
      </c>
      <c r="F17" s="184">
        <f>D17*I17</f>
        <v>0</v>
      </c>
      <c r="G17" s="190">
        <f>E17+F17</f>
        <v>108000</v>
      </c>
      <c r="H17" s="191">
        <v>2700</v>
      </c>
      <c r="I17" s="25"/>
      <c r="J17" s="187">
        <f>H17+I17</f>
        <v>2700</v>
      </c>
      <c r="K17" s="29"/>
    </row>
    <row r="18" spans="1:11">
      <c r="A18" s="7"/>
      <c r="B18" s="172" t="s">
        <v>199</v>
      </c>
      <c r="C18" s="8"/>
      <c r="D18" s="8"/>
      <c r="E18" s="9"/>
      <c r="F18" s="9"/>
      <c r="G18" s="10"/>
      <c r="H18" s="10"/>
      <c r="I18" s="11"/>
      <c r="J18" s="11"/>
      <c r="K18" s="8"/>
    </row>
    <row r="19" spans="1:11" ht="27" customHeight="1">
      <c r="A19" s="12"/>
      <c r="B19" s="173" t="s">
        <v>200</v>
      </c>
      <c r="C19" s="13"/>
      <c r="D19" s="13"/>
      <c r="E19" s="22"/>
      <c r="F19" s="22"/>
      <c r="G19" s="20"/>
      <c r="H19" s="20"/>
      <c r="I19" s="14"/>
      <c r="J19" s="14"/>
      <c r="K19" s="13"/>
    </row>
    <row r="20" spans="1:11" ht="27.75" customHeight="1">
      <c r="A20" s="23"/>
      <c r="B20" s="31" t="s">
        <v>201</v>
      </c>
      <c r="C20" s="24" t="s">
        <v>183</v>
      </c>
      <c r="D20" s="30">
        <v>8073</v>
      </c>
      <c r="E20" s="184">
        <f>D20*H20</f>
        <v>5247450</v>
      </c>
      <c r="F20" s="184">
        <f>D20*I20</f>
        <v>0</v>
      </c>
      <c r="G20" s="195">
        <f>F20+E20</f>
        <v>5247450</v>
      </c>
      <c r="H20" s="191">
        <v>650</v>
      </c>
      <c r="I20" s="189">
        <v>0</v>
      </c>
      <c r="J20" s="184">
        <f>I20+H20</f>
        <v>650</v>
      </c>
      <c r="K20" s="31"/>
    </row>
    <row r="21" spans="1:11" ht="27.75" customHeight="1">
      <c r="A21" s="23"/>
      <c r="B21" s="31" t="s">
        <v>202</v>
      </c>
      <c r="C21" s="24" t="s">
        <v>183</v>
      </c>
      <c r="D21" s="30">
        <v>8073</v>
      </c>
      <c r="E21" s="184">
        <f>D21*H21</f>
        <v>5247450</v>
      </c>
      <c r="F21" s="184">
        <f>D21*I21</f>
        <v>0</v>
      </c>
      <c r="G21" s="195">
        <f>F21+E21</f>
        <v>5247450</v>
      </c>
      <c r="H21" s="191">
        <v>650</v>
      </c>
      <c r="I21" s="189">
        <v>0</v>
      </c>
      <c r="J21" s="184">
        <f>I21+H21</f>
        <v>650</v>
      </c>
      <c r="K21" s="31"/>
    </row>
    <row r="22" spans="1:11" ht="27.75" customHeight="1">
      <c r="A22" s="23"/>
      <c r="B22" s="31" t="s">
        <v>203</v>
      </c>
      <c r="C22" s="24" t="s">
        <v>183</v>
      </c>
      <c r="D22" s="30">
        <v>8073</v>
      </c>
      <c r="E22" s="184">
        <f>D22*H22</f>
        <v>4359420</v>
      </c>
      <c r="F22" s="184">
        <f>D22*I22</f>
        <v>0</v>
      </c>
      <c r="G22" s="195">
        <f>F22+E22</f>
        <v>4359420</v>
      </c>
      <c r="H22" s="191">
        <v>540</v>
      </c>
      <c r="I22" s="189">
        <v>0</v>
      </c>
      <c r="J22" s="184">
        <f>I22+H22</f>
        <v>540</v>
      </c>
      <c r="K22" s="31"/>
    </row>
    <row r="23" spans="1:11">
      <c r="A23" s="23"/>
      <c r="B23" s="31" t="s">
        <v>204</v>
      </c>
      <c r="C23" s="24" t="s">
        <v>205</v>
      </c>
      <c r="D23" s="32">
        <v>45</v>
      </c>
      <c r="E23" s="184">
        <f>D23*H23</f>
        <v>180000</v>
      </c>
      <c r="F23" s="184">
        <f>D23*I23</f>
        <v>0</v>
      </c>
      <c r="G23" s="195">
        <f>F23+E23</f>
        <v>180000</v>
      </c>
      <c r="H23" s="191">
        <v>4000</v>
      </c>
      <c r="I23" s="189">
        <v>0</v>
      </c>
      <c r="J23" s="184">
        <f>I23+H23</f>
        <v>4000</v>
      </c>
      <c r="K23" s="31" t="s">
        <v>206</v>
      </c>
    </row>
    <row r="24" spans="1:11" ht="27" customHeight="1">
      <c r="A24" s="12"/>
      <c r="B24" s="173" t="s">
        <v>207</v>
      </c>
      <c r="C24" s="13"/>
      <c r="D24" s="13"/>
      <c r="E24" s="22"/>
      <c r="F24" s="22"/>
      <c r="G24" s="20"/>
      <c r="H24" s="20"/>
      <c r="I24" s="14"/>
      <c r="J24" s="14"/>
      <c r="K24" s="13"/>
    </row>
    <row r="25" spans="1:11" ht="27.75" customHeight="1">
      <c r="A25" s="23"/>
      <c r="B25" s="31" t="s">
        <v>208</v>
      </c>
      <c r="C25" s="24" t="s">
        <v>183</v>
      </c>
      <c r="D25" s="30">
        <v>8072</v>
      </c>
      <c r="E25" s="184">
        <f t="shared" ref="E25:E32" si="0">D25*H25</f>
        <v>6054000</v>
      </c>
      <c r="F25" s="184">
        <f t="shared" ref="F25:F32" si="1">D25*I25</f>
        <v>0</v>
      </c>
      <c r="G25" s="195">
        <f t="shared" ref="G25:G32" si="2">F25+E25</f>
        <v>6054000</v>
      </c>
      <c r="H25" s="191">
        <v>750</v>
      </c>
      <c r="I25" s="189">
        <v>0</v>
      </c>
      <c r="J25" s="184">
        <f t="shared" ref="J25:J30" si="3">I25+H25</f>
        <v>750</v>
      </c>
      <c r="K25" s="31"/>
    </row>
    <row r="26" spans="1:11" ht="27.75" customHeight="1">
      <c r="A26" s="23"/>
      <c r="B26" s="31" t="s">
        <v>209</v>
      </c>
      <c r="C26" s="24" t="s">
        <v>183</v>
      </c>
      <c r="D26" s="30">
        <v>8072</v>
      </c>
      <c r="E26" s="184">
        <f t="shared" si="0"/>
        <v>6457600</v>
      </c>
      <c r="F26" s="184">
        <f t="shared" si="1"/>
        <v>0</v>
      </c>
      <c r="G26" s="195">
        <f t="shared" si="2"/>
        <v>6457600</v>
      </c>
      <c r="H26" s="191">
        <v>800</v>
      </c>
      <c r="I26" s="189">
        <v>0</v>
      </c>
      <c r="J26" s="184">
        <f t="shared" si="3"/>
        <v>800</v>
      </c>
      <c r="K26" s="31"/>
    </row>
    <row r="27" spans="1:11" ht="27.75" customHeight="1">
      <c r="A27" s="23"/>
      <c r="B27" s="31" t="s">
        <v>210</v>
      </c>
      <c r="C27" s="24" t="s">
        <v>183</v>
      </c>
      <c r="D27" s="30">
        <v>8072</v>
      </c>
      <c r="E27" s="184">
        <f t="shared" si="0"/>
        <v>3228800</v>
      </c>
      <c r="F27" s="184">
        <f t="shared" si="1"/>
        <v>0</v>
      </c>
      <c r="G27" s="195">
        <f t="shared" si="2"/>
        <v>3228800</v>
      </c>
      <c r="H27" s="191">
        <v>400</v>
      </c>
      <c r="I27" s="189">
        <v>0</v>
      </c>
      <c r="J27" s="184">
        <f t="shared" si="3"/>
        <v>400</v>
      </c>
      <c r="K27" s="31"/>
    </row>
    <row r="28" spans="1:11" ht="27.75" customHeight="1">
      <c r="A28" s="23"/>
      <c r="B28" s="31" t="s">
        <v>211</v>
      </c>
      <c r="C28" s="24" t="s">
        <v>183</v>
      </c>
      <c r="D28" s="30">
        <v>8072</v>
      </c>
      <c r="E28" s="184">
        <f t="shared" si="0"/>
        <v>1452960</v>
      </c>
      <c r="F28" s="184">
        <f t="shared" si="1"/>
        <v>0</v>
      </c>
      <c r="G28" s="195">
        <f t="shared" si="2"/>
        <v>1452960</v>
      </c>
      <c r="H28" s="191">
        <v>180</v>
      </c>
      <c r="I28" s="189">
        <v>0</v>
      </c>
      <c r="J28" s="184">
        <f t="shared" si="3"/>
        <v>180</v>
      </c>
      <c r="K28" s="31"/>
    </row>
    <row r="29" spans="1:11" ht="27.75" customHeight="1">
      <c r="A29" s="23"/>
      <c r="B29" s="31" t="s">
        <v>212</v>
      </c>
      <c r="C29" s="24" t="s">
        <v>183</v>
      </c>
      <c r="D29" s="30">
        <v>8072</v>
      </c>
      <c r="E29" s="184">
        <f t="shared" si="0"/>
        <v>2663760</v>
      </c>
      <c r="F29" s="184">
        <f t="shared" si="1"/>
        <v>0</v>
      </c>
      <c r="G29" s="195">
        <f t="shared" si="2"/>
        <v>2663760</v>
      </c>
      <c r="H29" s="191">
        <v>330</v>
      </c>
      <c r="I29" s="189">
        <v>0</v>
      </c>
      <c r="J29" s="184">
        <f t="shared" si="3"/>
        <v>330</v>
      </c>
      <c r="K29" s="31"/>
    </row>
    <row r="30" spans="1:11" ht="27.75" customHeight="1">
      <c r="A30" s="23"/>
      <c r="B30" s="31" t="s">
        <v>213</v>
      </c>
      <c r="C30" s="24" t="s">
        <v>183</v>
      </c>
      <c r="D30" s="30">
        <v>8072</v>
      </c>
      <c r="E30" s="184">
        <f t="shared" si="0"/>
        <v>5246800</v>
      </c>
      <c r="F30" s="184">
        <f t="shared" si="1"/>
        <v>0</v>
      </c>
      <c r="G30" s="195">
        <f t="shared" si="2"/>
        <v>5246800</v>
      </c>
      <c r="H30" s="191">
        <v>650</v>
      </c>
      <c r="I30" s="189">
        <v>0</v>
      </c>
      <c r="J30" s="184">
        <f t="shared" si="3"/>
        <v>650</v>
      </c>
      <c r="K30" s="31"/>
    </row>
    <row r="31" spans="1:11" ht="27.75" customHeight="1">
      <c r="A31" s="23"/>
      <c r="B31" s="31" t="s">
        <v>214</v>
      </c>
      <c r="C31" s="24" t="s">
        <v>183</v>
      </c>
      <c r="D31" s="30">
        <v>8072</v>
      </c>
      <c r="E31" s="184">
        <f t="shared" si="0"/>
        <v>968640</v>
      </c>
      <c r="F31" s="184">
        <f t="shared" si="1"/>
        <v>0</v>
      </c>
      <c r="G31" s="195">
        <f t="shared" si="2"/>
        <v>968640</v>
      </c>
      <c r="H31" s="191">
        <v>120</v>
      </c>
      <c r="I31" s="25"/>
      <c r="J31" s="25"/>
      <c r="K31" s="31"/>
    </row>
    <row r="32" spans="1:11">
      <c r="A32" s="23"/>
      <c r="B32" s="31" t="s">
        <v>204</v>
      </c>
      <c r="C32" s="24" t="s">
        <v>205</v>
      </c>
      <c r="D32" s="32">
        <v>45</v>
      </c>
      <c r="E32" s="184">
        <f t="shared" si="0"/>
        <v>180000</v>
      </c>
      <c r="F32" s="184">
        <f t="shared" si="1"/>
        <v>0</v>
      </c>
      <c r="G32" s="195">
        <f t="shared" si="2"/>
        <v>180000</v>
      </c>
      <c r="H32" s="191">
        <v>4000</v>
      </c>
      <c r="I32" s="189">
        <v>0</v>
      </c>
      <c r="J32" s="184">
        <f>I32+H32</f>
        <v>4000</v>
      </c>
      <c r="K32" s="31" t="s">
        <v>206</v>
      </c>
    </row>
    <row r="33" spans="1:12" ht="27.6" customHeight="1">
      <c r="A33" s="12"/>
      <c r="B33" s="173" t="s">
        <v>215</v>
      </c>
      <c r="C33" s="13"/>
      <c r="D33" s="13"/>
      <c r="E33" s="22"/>
      <c r="F33" s="22"/>
      <c r="G33" s="20"/>
      <c r="H33" s="20"/>
      <c r="I33" s="14"/>
      <c r="J33" s="14"/>
      <c r="K33" s="13"/>
    </row>
    <row r="34" spans="1:12" ht="27.75" customHeight="1">
      <c r="A34" s="23"/>
      <c r="B34" s="31" t="s">
        <v>216</v>
      </c>
      <c r="C34" s="24" t="s">
        <v>183</v>
      </c>
      <c r="D34" s="30">
        <v>223.2</v>
      </c>
      <c r="E34" s="184">
        <f>D34*H34</f>
        <v>100440</v>
      </c>
      <c r="F34" s="184">
        <f>D34*I34</f>
        <v>0</v>
      </c>
      <c r="G34" s="195">
        <f>F34+E34</f>
        <v>100440</v>
      </c>
      <c r="H34" s="191">
        <v>450</v>
      </c>
      <c r="I34" s="189">
        <v>0</v>
      </c>
      <c r="J34" s="184">
        <f>I34+H34</f>
        <v>450</v>
      </c>
      <c r="K34" s="31"/>
    </row>
    <row r="35" spans="1:12">
      <c r="A35" s="12"/>
      <c r="B35" s="173" t="s">
        <v>217</v>
      </c>
      <c r="C35" s="13"/>
      <c r="D35" s="13"/>
      <c r="E35" s="22"/>
      <c r="F35" s="22"/>
      <c r="G35" s="20"/>
      <c r="H35" s="20"/>
      <c r="I35" s="14"/>
      <c r="J35" s="14"/>
      <c r="K35" s="13"/>
    </row>
    <row r="36" spans="1:12" ht="57" customHeight="1">
      <c r="A36" s="23"/>
      <c r="B36" s="31" t="s">
        <v>218</v>
      </c>
      <c r="C36" s="24" t="s">
        <v>183</v>
      </c>
      <c r="D36" s="33">
        <v>16145</v>
      </c>
      <c r="E36" s="184">
        <f t="shared" ref="E36:E44" si="4">D36*H36</f>
        <v>5812200</v>
      </c>
      <c r="F36" s="184">
        <f t="shared" ref="F36:F44" si="5">D36*I36</f>
        <v>2026197.5</v>
      </c>
      <c r="G36" s="195">
        <f t="shared" ref="G36:G44" si="6">F36+E36</f>
        <v>7838397.5</v>
      </c>
      <c r="H36" s="191">
        <v>360</v>
      </c>
      <c r="I36" s="189">
        <v>125.5</v>
      </c>
      <c r="J36" s="184">
        <f t="shared" ref="J36:J44" si="7">I36+H36</f>
        <v>485.5</v>
      </c>
      <c r="K36" s="31" t="s">
        <v>219</v>
      </c>
      <c r="L36" s="141" t="s">
        <v>220</v>
      </c>
    </row>
    <row r="37" spans="1:12" ht="27.75" customHeight="1">
      <c r="A37" s="23"/>
      <c r="B37" s="31" t="s">
        <v>221</v>
      </c>
      <c r="C37" s="24" t="s">
        <v>183</v>
      </c>
      <c r="D37" s="33">
        <v>16145</v>
      </c>
      <c r="E37" s="184">
        <f t="shared" si="4"/>
        <v>1210875</v>
      </c>
      <c r="F37" s="184">
        <f t="shared" si="5"/>
        <v>962228.76639344264</v>
      </c>
      <c r="G37" s="195">
        <f t="shared" si="6"/>
        <v>2173103.7663934426</v>
      </c>
      <c r="H37" s="191">
        <v>75</v>
      </c>
      <c r="I37" s="189">
        <v>59.599180327868851</v>
      </c>
      <c r="J37" s="184">
        <f t="shared" si="7"/>
        <v>134.59918032786885</v>
      </c>
      <c r="K37" s="31" t="s">
        <v>222</v>
      </c>
      <c r="L37" s="196" t="s">
        <v>223</v>
      </c>
    </row>
    <row r="38" spans="1:12" ht="27.75" customHeight="1">
      <c r="A38" s="23"/>
      <c r="B38" s="31" t="s">
        <v>224</v>
      </c>
      <c r="C38" s="24" t="s">
        <v>183</v>
      </c>
      <c r="D38" s="33">
        <v>16145</v>
      </c>
      <c r="E38" s="184">
        <f t="shared" si="4"/>
        <v>4305387.1500000004</v>
      </c>
      <c r="F38" s="184">
        <f t="shared" si="5"/>
        <v>4342336.7028688509</v>
      </c>
      <c r="G38" s="195">
        <f t="shared" si="6"/>
        <v>8647723.8528688513</v>
      </c>
      <c r="H38" s="191">
        <v>266.67</v>
      </c>
      <c r="I38" s="189">
        <v>268.95860655737698</v>
      </c>
      <c r="J38" s="184">
        <f t="shared" si="7"/>
        <v>535.628606557377</v>
      </c>
      <c r="K38" s="31" t="s">
        <v>225</v>
      </c>
    </row>
    <row r="39" spans="1:12" ht="27.75" customHeight="1">
      <c r="A39" s="23"/>
      <c r="B39" s="31" t="s">
        <v>226</v>
      </c>
      <c r="C39" s="24" t="s">
        <v>183</v>
      </c>
      <c r="D39" s="33">
        <v>19619.900000000001</v>
      </c>
      <c r="E39" s="184">
        <f t="shared" si="4"/>
        <v>18225513.706999999</v>
      </c>
      <c r="F39" s="184">
        <f t="shared" si="5"/>
        <v>10808956.711475411</v>
      </c>
      <c r="G39" s="195">
        <f t="shared" si="6"/>
        <v>29034470.418475412</v>
      </c>
      <c r="H39" s="191">
        <v>928.93</v>
      </c>
      <c r="I39" s="189">
        <v>550.91803278688531</v>
      </c>
      <c r="J39" s="184">
        <f t="shared" si="7"/>
        <v>1479.8480327868851</v>
      </c>
      <c r="K39" s="31" t="s">
        <v>227</v>
      </c>
    </row>
    <row r="40" spans="1:12">
      <c r="A40" s="23"/>
      <c r="B40" s="31" t="s">
        <v>228</v>
      </c>
      <c r="C40" s="24" t="s">
        <v>183</v>
      </c>
      <c r="D40" s="33">
        <v>19619.900000000001</v>
      </c>
      <c r="E40" s="184">
        <f t="shared" si="4"/>
        <v>3531582.0000000005</v>
      </c>
      <c r="F40" s="184">
        <f t="shared" si="5"/>
        <v>2026317.5409836078</v>
      </c>
      <c r="G40" s="195">
        <f t="shared" si="6"/>
        <v>5557899.540983608</v>
      </c>
      <c r="H40" s="191">
        <v>180</v>
      </c>
      <c r="I40" s="184">
        <f>57.3770491803279*1.8</f>
        <v>103.27868852459022</v>
      </c>
      <c r="J40" s="184">
        <f t="shared" si="7"/>
        <v>283.27868852459022</v>
      </c>
      <c r="K40" s="31" t="s">
        <v>229</v>
      </c>
    </row>
    <row r="41" spans="1:12">
      <c r="A41" s="23"/>
      <c r="B41" s="31" t="s">
        <v>230</v>
      </c>
      <c r="C41" s="24" t="s">
        <v>183</v>
      </c>
      <c r="D41" s="33">
        <v>19479.599999999999</v>
      </c>
      <c r="E41" s="184">
        <f t="shared" si="4"/>
        <v>16856282.267999999</v>
      </c>
      <c r="F41" s="184">
        <f t="shared" si="5"/>
        <v>13028978.360655738</v>
      </c>
      <c r="G41" s="195">
        <f t="shared" si="6"/>
        <v>29885260.628655739</v>
      </c>
      <c r="H41" s="191">
        <v>865.33</v>
      </c>
      <c r="I41" s="189">
        <v>668.85245901639348</v>
      </c>
      <c r="J41" s="184">
        <f t="shared" si="7"/>
        <v>1534.1824590163935</v>
      </c>
      <c r="K41" s="31" t="s">
        <v>231</v>
      </c>
    </row>
    <row r="42" spans="1:12" ht="27.75" customHeight="1">
      <c r="A42" s="23"/>
      <c r="B42" s="31" t="s">
        <v>226</v>
      </c>
      <c r="C42" s="24" t="s">
        <v>183</v>
      </c>
      <c r="D42" s="33">
        <v>19619.900000000001</v>
      </c>
      <c r="E42" s="184">
        <f t="shared" si="4"/>
        <v>18225513.706999999</v>
      </c>
      <c r="F42" s="184">
        <f t="shared" si="5"/>
        <v>10808956.711475411</v>
      </c>
      <c r="G42" s="195">
        <f t="shared" si="6"/>
        <v>29034470.418475412</v>
      </c>
      <c r="H42" s="191">
        <v>928.93</v>
      </c>
      <c r="I42" s="189">
        <v>550.91803278688531</v>
      </c>
      <c r="J42" s="184">
        <f t="shared" si="7"/>
        <v>1479.8480327868851</v>
      </c>
      <c r="K42" s="31" t="s">
        <v>227</v>
      </c>
    </row>
    <row r="43" spans="1:12" ht="27.75" customHeight="1">
      <c r="A43" s="23"/>
      <c r="B43" s="31" t="s">
        <v>232</v>
      </c>
      <c r="C43" s="24" t="s">
        <v>183</v>
      </c>
      <c r="D43" s="30">
        <v>19787.330000000002</v>
      </c>
      <c r="E43" s="184">
        <f t="shared" si="4"/>
        <v>7321312.1000000006</v>
      </c>
      <c r="F43" s="184">
        <f t="shared" si="5"/>
        <v>4742641.851610655</v>
      </c>
      <c r="G43" s="195">
        <f t="shared" si="6"/>
        <v>12063953.951610655</v>
      </c>
      <c r="H43" s="191">
        <v>370</v>
      </c>
      <c r="I43" s="189">
        <v>239.68073770491799</v>
      </c>
      <c r="J43" s="184">
        <f t="shared" si="7"/>
        <v>609.68073770491799</v>
      </c>
      <c r="K43" s="31" t="s">
        <v>233</v>
      </c>
    </row>
    <row r="44" spans="1:12" ht="27.75" customHeight="1">
      <c r="A44" s="23"/>
      <c r="B44" s="31" t="s">
        <v>234</v>
      </c>
      <c r="C44" s="24" t="s">
        <v>183</v>
      </c>
      <c r="D44" s="30">
        <v>19093.97</v>
      </c>
      <c r="E44" s="184">
        <f t="shared" si="4"/>
        <v>7255708.6000000006</v>
      </c>
      <c r="F44" s="184">
        <f t="shared" si="5"/>
        <v>7073556.8214385249</v>
      </c>
      <c r="G44" s="195">
        <f t="shared" si="6"/>
        <v>14329265.421438526</v>
      </c>
      <c r="H44" s="191">
        <v>380</v>
      </c>
      <c r="I44" s="189">
        <v>370.46024590163933</v>
      </c>
      <c r="J44" s="184">
        <f t="shared" si="7"/>
        <v>750.46024590163938</v>
      </c>
      <c r="K44" s="31" t="s">
        <v>235</v>
      </c>
    </row>
    <row r="45" spans="1:12">
      <c r="A45" s="12"/>
      <c r="B45" s="173" t="s">
        <v>236</v>
      </c>
      <c r="C45" s="13"/>
      <c r="D45" s="13"/>
      <c r="E45" s="22"/>
      <c r="F45" s="22"/>
      <c r="G45" s="20"/>
      <c r="H45" s="20"/>
      <c r="I45" s="14"/>
      <c r="J45" s="14"/>
      <c r="K45" s="13"/>
    </row>
    <row r="46" spans="1:12" ht="85.5" customHeight="1">
      <c r="A46" s="23"/>
      <c r="B46" s="31" t="s">
        <v>237</v>
      </c>
      <c r="C46" s="24" t="s">
        <v>183</v>
      </c>
      <c r="D46" s="32">
        <v>2864</v>
      </c>
      <c r="E46" s="184">
        <f>D46*H46</f>
        <v>1575200</v>
      </c>
      <c r="F46" s="184">
        <f>D46*I46</f>
        <v>1850144</v>
      </c>
      <c r="G46" s="195">
        <f>F46+E46</f>
        <v>3425344</v>
      </c>
      <c r="H46" s="191">
        <v>550</v>
      </c>
      <c r="I46" s="189">
        <v>646</v>
      </c>
      <c r="J46" s="184">
        <f>I46+H46</f>
        <v>1196</v>
      </c>
      <c r="K46" s="31" t="s">
        <v>238</v>
      </c>
      <c r="L46" s="196" t="s">
        <v>239</v>
      </c>
    </row>
    <row r="47" spans="1:12" ht="27.75" customHeight="1">
      <c r="A47" s="23"/>
      <c r="B47" s="31" t="s">
        <v>240</v>
      </c>
      <c r="C47" s="24" t="s">
        <v>183</v>
      </c>
      <c r="D47" s="32">
        <v>2864</v>
      </c>
      <c r="E47" s="184">
        <f>D47*H47</f>
        <v>630080</v>
      </c>
      <c r="F47" s="184">
        <f>D47*I47</f>
        <v>320768</v>
      </c>
      <c r="G47" s="195">
        <f>F47+E47</f>
        <v>950848</v>
      </c>
      <c r="H47" s="191">
        <v>220</v>
      </c>
      <c r="I47" s="189">
        <v>112</v>
      </c>
      <c r="J47" s="184">
        <f>I47+H47</f>
        <v>332</v>
      </c>
      <c r="K47" s="31" t="s">
        <v>241</v>
      </c>
    </row>
    <row r="48" spans="1:12">
      <c r="A48" s="12"/>
      <c r="B48" s="173" t="s">
        <v>242</v>
      </c>
      <c r="C48" s="13"/>
      <c r="D48" s="13"/>
      <c r="E48" s="22"/>
      <c r="F48" s="22"/>
      <c r="G48" s="20"/>
      <c r="H48" s="20"/>
      <c r="I48" s="14"/>
      <c r="J48" s="14"/>
      <c r="K48" s="13"/>
    </row>
    <row r="49" spans="1:12" ht="27.75" customHeight="1">
      <c r="A49" s="23"/>
      <c r="B49" s="31" t="s">
        <v>218</v>
      </c>
      <c r="C49" s="24" t="s">
        <v>183</v>
      </c>
      <c r="D49" s="32">
        <v>223.2</v>
      </c>
      <c r="E49" s="184">
        <f>D49*H49</f>
        <v>106020</v>
      </c>
      <c r="F49" s="184">
        <f>D49*I49</f>
        <v>28011.599999999999</v>
      </c>
      <c r="G49" s="195">
        <f>F49+E49</f>
        <v>134031.6</v>
      </c>
      <c r="H49" s="191">
        <v>475</v>
      </c>
      <c r="I49" s="189">
        <v>125.5</v>
      </c>
      <c r="J49" s="184">
        <f>I49+H49</f>
        <v>600.5</v>
      </c>
      <c r="K49" s="31" t="s">
        <v>219</v>
      </c>
    </row>
    <row r="50" spans="1:12" ht="69.400000000000006" customHeight="1">
      <c r="A50" s="23"/>
      <c r="B50" s="31" t="s">
        <v>243</v>
      </c>
      <c r="C50" s="24" t="s">
        <v>183</v>
      </c>
      <c r="D50" s="32">
        <v>223.2</v>
      </c>
      <c r="E50" s="184">
        <f>D50*H50</f>
        <v>361584</v>
      </c>
      <c r="F50" s="184">
        <f>D50*I50</f>
        <v>1036317.6</v>
      </c>
      <c r="G50" s="195">
        <f>F50+E50</f>
        <v>1397901.6</v>
      </c>
      <c r="H50" s="191">
        <v>1620</v>
      </c>
      <c r="I50" s="189">
        <v>4643</v>
      </c>
      <c r="J50" s="184">
        <f>I50+H50</f>
        <v>6263</v>
      </c>
      <c r="K50" s="31" t="s">
        <v>244</v>
      </c>
    </row>
    <row r="51" spans="1:12" ht="55.5" customHeight="1">
      <c r="A51" s="23"/>
      <c r="B51" s="31" t="s">
        <v>245</v>
      </c>
      <c r="C51" s="24" t="s">
        <v>183</v>
      </c>
      <c r="D51" s="32">
        <v>223.2</v>
      </c>
      <c r="E51" s="184">
        <f>D51*H51</f>
        <v>245520</v>
      </c>
      <c r="F51" s="184">
        <f>D51*I51</f>
        <v>564696</v>
      </c>
      <c r="G51" s="195">
        <f>F51+E51</f>
        <v>810216</v>
      </c>
      <c r="H51" s="191">
        <v>1100</v>
      </c>
      <c r="I51" s="189">
        <v>2530</v>
      </c>
      <c r="J51" s="184">
        <f>I51+H51</f>
        <v>3630</v>
      </c>
      <c r="K51" s="31" t="s">
        <v>246</v>
      </c>
    </row>
    <row r="52" spans="1:12" ht="27" customHeight="1">
      <c r="A52" s="12"/>
      <c r="B52" s="197" t="s">
        <v>247</v>
      </c>
      <c r="C52" s="34"/>
      <c r="D52" s="13"/>
      <c r="E52" s="22"/>
      <c r="F52" s="22"/>
      <c r="G52" s="20"/>
      <c r="H52" s="20"/>
      <c r="I52" s="14"/>
      <c r="J52" s="14"/>
      <c r="K52" s="13"/>
    </row>
    <row r="53" spans="1:12" ht="27.75" customHeight="1">
      <c r="A53" s="23"/>
      <c r="B53" s="198" t="s">
        <v>248</v>
      </c>
      <c r="C53" s="35" t="s">
        <v>205</v>
      </c>
      <c r="D53" s="32">
        <v>90</v>
      </c>
      <c r="E53" s="184">
        <f>D53*H53</f>
        <v>441000</v>
      </c>
      <c r="F53" s="184">
        <f>D53*I53</f>
        <v>603737.70491803286</v>
      </c>
      <c r="G53" s="195">
        <f>F53+E53</f>
        <v>1044737.7049180329</v>
      </c>
      <c r="H53" s="191">
        <v>4900</v>
      </c>
      <c r="I53" s="189">
        <v>6708.1967213114758</v>
      </c>
      <c r="J53" s="184">
        <f>I53+H53</f>
        <v>11608.196721311477</v>
      </c>
      <c r="K53" s="31" t="s">
        <v>249</v>
      </c>
    </row>
    <row r="54" spans="1:12" ht="27.75" customHeight="1">
      <c r="A54" s="23"/>
      <c r="B54" s="198" t="s">
        <v>250</v>
      </c>
      <c r="C54" s="35" t="s">
        <v>183</v>
      </c>
      <c r="D54" s="32">
        <v>38</v>
      </c>
      <c r="E54" s="184">
        <f>D54*H54</f>
        <v>31654</v>
      </c>
      <c r="F54" s="184">
        <f>D54*I54</f>
        <v>40024.590163934423</v>
      </c>
      <c r="G54" s="195">
        <f>F54+E54</f>
        <v>71678.590163934423</v>
      </c>
      <c r="H54" s="191">
        <v>833</v>
      </c>
      <c r="I54" s="189">
        <v>1053.2786885245901</v>
      </c>
      <c r="J54" s="184">
        <f>I54+H54</f>
        <v>1886.2786885245901</v>
      </c>
      <c r="K54" s="31" t="s">
        <v>251</v>
      </c>
    </row>
    <row r="55" spans="1:12" ht="27.75" customHeight="1">
      <c r="A55" s="23"/>
      <c r="B55" s="198" t="s">
        <v>252</v>
      </c>
      <c r="C55" s="35" t="s">
        <v>191</v>
      </c>
      <c r="D55" s="30">
        <v>38.49</v>
      </c>
      <c r="E55" s="184">
        <f>D55*H55</f>
        <v>46188</v>
      </c>
      <c r="F55" s="184">
        <f>D55*I55</f>
        <v>10265.503844262295</v>
      </c>
      <c r="G55" s="195">
        <f>F55+E55</f>
        <v>56453.503844262297</v>
      </c>
      <c r="H55" s="191">
        <v>1200</v>
      </c>
      <c r="I55" s="189">
        <v>266.70573770491802</v>
      </c>
      <c r="J55" s="184">
        <f>I55+H55</f>
        <v>1466.705737704918</v>
      </c>
      <c r="K55" s="31" t="s">
        <v>253</v>
      </c>
    </row>
    <row r="56" spans="1:12">
      <c r="A56" s="36"/>
      <c r="B56" s="173" t="s">
        <v>254</v>
      </c>
      <c r="C56" s="13"/>
      <c r="D56" s="13"/>
      <c r="E56" s="22"/>
      <c r="F56" s="22"/>
      <c r="G56" s="20"/>
      <c r="H56" s="20"/>
      <c r="I56" s="14"/>
      <c r="J56" s="14"/>
      <c r="K56" s="13"/>
    </row>
    <row r="57" spans="1:12">
      <c r="A57" s="37"/>
      <c r="B57" s="199" t="s">
        <v>199</v>
      </c>
      <c r="C57" s="38"/>
      <c r="D57" s="39"/>
      <c r="E57" s="40"/>
      <c r="F57" s="40"/>
      <c r="G57" s="28"/>
      <c r="H57" s="28"/>
      <c r="I57" s="25"/>
      <c r="J57" s="25"/>
      <c r="K57" s="38"/>
    </row>
    <row r="58" spans="1:12">
      <c r="A58" s="23"/>
      <c r="B58" s="26" t="s">
        <v>255</v>
      </c>
      <c r="C58" s="24" t="s">
        <v>183</v>
      </c>
      <c r="D58" s="41">
        <v>1728</v>
      </c>
      <c r="E58" s="184">
        <f t="shared" ref="E58:E65" si="8">D58*H58</f>
        <v>2073600</v>
      </c>
      <c r="F58" s="184">
        <f t="shared" ref="F58:F65" si="9">D58*I58</f>
        <v>0</v>
      </c>
      <c r="G58" s="195">
        <f t="shared" ref="G58:G65" si="10">F58+E58</f>
        <v>2073600</v>
      </c>
      <c r="H58" s="191">
        <v>1200</v>
      </c>
      <c r="I58" s="189">
        <v>0</v>
      </c>
      <c r="J58" s="184">
        <f>I58+H58</f>
        <v>1200</v>
      </c>
      <c r="K58" s="31"/>
    </row>
    <row r="59" spans="1:12">
      <c r="A59" s="23"/>
      <c r="B59" s="31" t="s">
        <v>256</v>
      </c>
      <c r="C59" s="24" t="s">
        <v>205</v>
      </c>
      <c r="D59" s="42">
        <v>96</v>
      </c>
      <c r="E59" s="184">
        <f t="shared" si="8"/>
        <v>2112000</v>
      </c>
      <c r="F59" s="184">
        <f t="shared" si="9"/>
        <v>0</v>
      </c>
      <c r="G59" s="195">
        <f t="shared" si="10"/>
        <v>2112000</v>
      </c>
      <c r="H59" s="191">
        <v>22000</v>
      </c>
      <c r="I59" s="189">
        <v>0</v>
      </c>
      <c r="J59" s="184">
        <f>I59+H59</f>
        <v>22000</v>
      </c>
      <c r="K59" s="31"/>
    </row>
    <row r="60" spans="1:12">
      <c r="A60" s="37"/>
      <c r="B60" s="199" t="s">
        <v>257</v>
      </c>
      <c r="C60" s="38"/>
      <c r="D60" s="39"/>
      <c r="E60" s="184">
        <f t="shared" si="8"/>
        <v>0</v>
      </c>
      <c r="F60" s="184">
        <f t="shared" si="9"/>
        <v>0</v>
      </c>
      <c r="G60" s="195">
        <f t="shared" si="10"/>
        <v>0</v>
      </c>
      <c r="H60" s="28"/>
      <c r="I60" s="25"/>
      <c r="J60" s="25"/>
      <c r="K60" s="38"/>
    </row>
    <row r="61" spans="1:12" ht="41.65" customHeight="1">
      <c r="A61" s="23"/>
      <c r="B61" s="31" t="s">
        <v>258</v>
      </c>
      <c r="C61" s="24" t="s">
        <v>205</v>
      </c>
      <c r="D61" s="42">
        <v>96</v>
      </c>
      <c r="E61" s="184">
        <f t="shared" si="8"/>
        <v>6768000</v>
      </c>
      <c r="F61" s="184">
        <f t="shared" si="9"/>
        <v>9720000</v>
      </c>
      <c r="G61" s="200">
        <f t="shared" si="10"/>
        <v>16488000</v>
      </c>
      <c r="H61" s="186">
        <v>70500</v>
      </c>
      <c r="I61" s="201">
        <v>101250</v>
      </c>
      <c r="J61" s="184">
        <f>I61+H61</f>
        <v>171750</v>
      </c>
      <c r="K61" s="31" t="s">
        <v>259</v>
      </c>
      <c r="L61" s="2"/>
    </row>
    <row r="62" spans="1:12">
      <c r="A62" s="37"/>
      <c r="B62" s="199" t="s">
        <v>260</v>
      </c>
      <c r="C62" s="38"/>
      <c r="D62" s="38"/>
      <c r="E62" s="184">
        <f t="shared" si="8"/>
        <v>0</v>
      </c>
      <c r="F62" s="184">
        <f t="shared" si="9"/>
        <v>0</v>
      </c>
      <c r="G62" s="195">
        <f t="shared" si="10"/>
        <v>0</v>
      </c>
      <c r="H62" s="28"/>
      <c r="I62" s="25"/>
      <c r="J62" s="25"/>
      <c r="K62" s="38"/>
    </row>
    <row r="63" spans="1:12">
      <c r="A63" s="23"/>
      <c r="B63" s="31" t="s">
        <v>260</v>
      </c>
      <c r="C63" s="24" t="s">
        <v>191</v>
      </c>
      <c r="D63" s="30">
        <v>652.04</v>
      </c>
      <c r="E63" s="184">
        <f t="shared" si="8"/>
        <v>423826</v>
      </c>
      <c r="F63" s="184">
        <f t="shared" si="9"/>
        <v>391224</v>
      </c>
      <c r="G63" s="195">
        <f t="shared" si="10"/>
        <v>815050</v>
      </c>
      <c r="H63" s="191">
        <v>650</v>
      </c>
      <c r="I63" s="189">
        <v>600</v>
      </c>
      <c r="J63" s="184">
        <f>I63+H63</f>
        <v>1250</v>
      </c>
      <c r="K63" s="31" t="s">
        <v>261</v>
      </c>
      <c r="L63" s="141" t="s">
        <v>262</v>
      </c>
    </row>
    <row r="64" spans="1:12">
      <c r="A64" s="37"/>
      <c r="B64" s="199" t="s">
        <v>263</v>
      </c>
      <c r="C64" s="38"/>
      <c r="D64" s="38"/>
      <c r="E64" s="184">
        <f t="shared" si="8"/>
        <v>0</v>
      </c>
      <c r="F64" s="184">
        <f t="shared" si="9"/>
        <v>0</v>
      </c>
      <c r="G64" s="195">
        <f t="shared" si="10"/>
        <v>0</v>
      </c>
      <c r="H64" s="28"/>
      <c r="I64" s="25"/>
      <c r="J64" s="25"/>
      <c r="K64" s="38"/>
    </row>
    <row r="65" spans="1:12" ht="27.75" customHeight="1">
      <c r="A65" s="23"/>
      <c r="B65" s="31" t="s">
        <v>264</v>
      </c>
      <c r="C65" s="24" t="s">
        <v>205</v>
      </c>
      <c r="D65" s="202">
        <v>96</v>
      </c>
      <c r="E65" s="184">
        <f t="shared" si="8"/>
        <v>336000</v>
      </c>
      <c r="F65" s="184">
        <f t="shared" si="9"/>
        <v>780480</v>
      </c>
      <c r="G65" s="203">
        <f t="shared" si="10"/>
        <v>1116480</v>
      </c>
      <c r="H65" s="191">
        <v>3500</v>
      </c>
      <c r="I65" s="189">
        <v>8130</v>
      </c>
      <c r="J65" s="184">
        <f>I65+H65</f>
        <v>11630</v>
      </c>
      <c r="K65" s="31" t="s">
        <v>265</v>
      </c>
      <c r="L65" s="141" t="s">
        <v>266</v>
      </c>
    </row>
    <row r="66" spans="1:12">
      <c r="A66" s="23"/>
      <c r="B66" s="204" t="s">
        <v>267</v>
      </c>
      <c r="C66" s="44"/>
      <c r="D66" s="45"/>
      <c r="E66" s="205">
        <f>SUM(E6:E65)</f>
        <v>172734475.05659014</v>
      </c>
      <c r="F66" s="205">
        <f>SUM(F6:F65)</f>
        <v>85378816.965827852</v>
      </c>
      <c r="G66" s="205">
        <f>SUM(G6:G65)</f>
        <v>258113292.02241802</v>
      </c>
      <c r="H66" s="46"/>
      <c r="I66" s="47"/>
      <c r="J66" s="47"/>
      <c r="K66" s="48"/>
    </row>
    <row r="67" spans="1:12">
      <c r="A67" s="23"/>
      <c r="B67" s="206" t="s">
        <v>268</v>
      </c>
      <c r="C67" s="40"/>
      <c r="D67" s="40"/>
      <c r="E67" s="190">
        <f>E66*0.22</f>
        <v>38001584.512449831</v>
      </c>
      <c r="F67" s="190">
        <f>F66*0.22</f>
        <v>18783339.732482128</v>
      </c>
      <c r="G67" s="190">
        <f>G66*0.22</f>
        <v>56784924.244931966</v>
      </c>
      <c r="H67" s="49"/>
      <c r="I67" s="50"/>
      <c r="J67" s="43"/>
      <c r="K67" s="40"/>
    </row>
    <row r="68" spans="1:12">
      <c r="A68" s="23"/>
      <c r="B68" s="207" t="s">
        <v>269</v>
      </c>
      <c r="C68" s="40"/>
      <c r="D68" s="40"/>
      <c r="E68" s="190">
        <f>E66+E67</f>
        <v>210736059.56903997</v>
      </c>
      <c r="F68" s="190">
        <f>F66+F67</f>
        <v>104162156.69830999</v>
      </c>
      <c r="G68" s="190">
        <f>G66+G67</f>
        <v>314898216.26734996</v>
      </c>
      <c r="H68" s="49"/>
      <c r="I68" s="51"/>
      <c r="J68" s="43"/>
      <c r="K68" s="40"/>
    </row>
    <row r="69" spans="1:12">
      <c r="A69" s="1"/>
      <c r="D69" s="3"/>
    </row>
  </sheetData>
  <mergeCells count="11">
    <mergeCell ref="B5:D5"/>
    <mergeCell ref="K3:K4"/>
    <mergeCell ref="L3:L4"/>
    <mergeCell ref="B3:B4"/>
    <mergeCell ref="A3:A4"/>
    <mergeCell ref="C3:C4"/>
    <mergeCell ref="G3:G4"/>
    <mergeCell ref="D3:D4"/>
    <mergeCell ref="J3:J4"/>
    <mergeCell ref="E3:F3"/>
    <mergeCell ref="H3:I3"/>
  </mergeCells>
  <pageMargins left="0.7" right="0.7" top="0.75" bottom="0.75" header="0.3" footer="0.3"/>
  <pageSetup paperSize="9" orientation="portrait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1C4C-D7F2-47AF-BC58-3A82CDC441BA}">
  <dimension ref="A1:I35"/>
  <sheetViews>
    <sheetView topLeftCell="A2" zoomScale="110" zoomScaleNormal="110" workbookViewId="0">
      <selection activeCell="B11" sqref="B11:B25"/>
    </sheetView>
  </sheetViews>
  <sheetFormatPr defaultRowHeight="15"/>
  <cols>
    <col min="1" max="1" width="14.42578125" customWidth="1"/>
    <col min="2" max="2" width="49.5703125" customWidth="1"/>
    <col min="3" max="7" width="24.7109375" customWidth="1"/>
    <col min="8" max="9" width="15.28515625" customWidth="1"/>
  </cols>
  <sheetData>
    <row r="1" spans="1:9" ht="18.75">
      <c r="A1" s="412" t="s">
        <v>964</v>
      </c>
      <c r="B1" s="412"/>
      <c r="C1" s="412"/>
      <c r="D1" s="412"/>
      <c r="E1" s="412"/>
      <c r="F1" s="412"/>
      <c r="G1" s="412"/>
      <c r="H1" s="412"/>
      <c r="I1" s="412"/>
    </row>
    <row r="2" spans="1:9">
      <c r="A2" s="413" t="s">
        <v>925</v>
      </c>
      <c r="B2" s="413"/>
      <c r="C2" s="413"/>
      <c r="D2" s="413"/>
      <c r="E2" s="413"/>
      <c r="F2" s="413"/>
      <c r="G2" s="413"/>
      <c r="H2" s="413"/>
      <c r="I2" s="413"/>
    </row>
    <row r="4" spans="1:9">
      <c r="A4" s="110" t="s">
        <v>39</v>
      </c>
      <c r="B4" s="110" t="s">
        <v>40</v>
      </c>
      <c r="C4" s="110" t="s">
        <v>41</v>
      </c>
    </row>
    <row r="5" spans="1:9">
      <c r="A5" t="s">
        <v>926</v>
      </c>
      <c r="B5" s="384">
        <f>'Объемы из ценовой'!D5</f>
        <v>16145</v>
      </c>
      <c r="C5" t="s">
        <v>435</v>
      </c>
    </row>
    <row r="6" spans="1:9">
      <c r="A6" t="s">
        <v>927</v>
      </c>
      <c r="B6" s="384">
        <f>'Объемы из ценовой'!D6</f>
        <v>19787.330000000002</v>
      </c>
      <c r="C6" t="s">
        <v>435</v>
      </c>
    </row>
    <row r="7" spans="1:9">
      <c r="A7" t="s">
        <v>63</v>
      </c>
      <c r="B7" s="385">
        <v>0.22</v>
      </c>
    </row>
    <row r="9" spans="1:9" ht="15.75">
      <c r="A9" s="386" t="s">
        <v>928</v>
      </c>
    </row>
    <row r="10" spans="1:9">
      <c r="A10" s="388" t="s">
        <v>613</v>
      </c>
      <c r="B10" s="387" t="s">
        <v>929</v>
      </c>
      <c r="C10" s="389" t="s">
        <v>930</v>
      </c>
      <c r="D10" s="389" t="s">
        <v>931</v>
      </c>
      <c r="E10" s="389" t="s">
        <v>932</v>
      </c>
      <c r="F10" s="389" t="s">
        <v>933</v>
      </c>
      <c r="G10" s="389" t="s">
        <v>934</v>
      </c>
      <c r="H10" s="389" t="s">
        <v>935</v>
      </c>
      <c r="I10" s="389" t="s">
        <v>936</v>
      </c>
    </row>
    <row r="11" spans="1:9">
      <c r="A11">
        <v>1</v>
      </c>
      <c r="B11" t="s">
        <v>937</v>
      </c>
      <c r="C11" s="392">
        <f>'себестоимость прямая'!E7</f>
        <v>13278688.524590164</v>
      </c>
      <c r="D11" s="392">
        <f>'себестоимость прямая'!F7</f>
        <v>0</v>
      </c>
      <c r="E11" s="392">
        <f>C11+D11</f>
        <v>13278688.524590164</v>
      </c>
      <c r="F11" s="392">
        <f>E11*$B$7</f>
        <v>2921311.475409836</v>
      </c>
      <c r="G11" s="392">
        <f>E11+F11</f>
        <v>16200000</v>
      </c>
      <c r="H11" s="393">
        <f>E11/$E$26</f>
        <v>5.1445194552153739E-2</v>
      </c>
      <c r="I11" s="393">
        <f>IFERROR(D11/E11,0)</f>
        <v>0</v>
      </c>
    </row>
    <row r="12" spans="1:9">
      <c r="A12">
        <v>2</v>
      </c>
      <c r="B12" t="s">
        <v>938</v>
      </c>
      <c r="C12" s="392">
        <f>'себестоимость прямая'!E9</f>
        <v>2681900</v>
      </c>
      <c r="D12" s="392">
        <f>'себестоимость прямая'!F9</f>
        <v>7068774</v>
      </c>
      <c r="E12" s="392">
        <f t="shared" ref="E12:E25" si="0">C12+D12</f>
        <v>9750674</v>
      </c>
      <c r="F12" s="392">
        <f t="shared" ref="F12:F25" si="1">E12*$B$7</f>
        <v>2145148.2799999998</v>
      </c>
      <c r="G12" s="392">
        <f t="shared" ref="G12:G25" si="2">E12+F12</f>
        <v>11895822.279999999</v>
      </c>
      <c r="H12" s="393">
        <f t="shared" ref="H12:H25" si="3">E12/$E$26</f>
        <v>3.7776721700768214E-2</v>
      </c>
      <c r="I12" s="393">
        <f t="shared" ref="I12:I25" si="4">IFERROR(D12/E12,0)</f>
        <v>0.72495234688391796</v>
      </c>
    </row>
    <row r="13" spans="1:9">
      <c r="A13">
        <v>3</v>
      </c>
      <c r="B13" t="s">
        <v>939</v>
      </c>
      <c r="C13" s="392">
        <f>SUM('себестоимость прямая'!E11:E12)</f>
        <v>15590700</v>
      </c>
      <c r="D13" s="392">
        <f>SUM('себестоимость прямая'!F11:F12)</f>
        <v>6762396</v>
      </c>
      <c r="E13" s="392">
        <f t="shared" si="0"/>
        <v>22353096</v>
      </c>
      <c r="F13" s="392">
        <f t="shared" si="1"/>
        <v>4917681.12</v>
      </c>
      <c r="G13" s="392">
        <f t="shared" si="2"/>
        <v>27270777.120000001</v>
      </c>
      <c r="H13" s="393">
        <f t="shared" si="3"/>
        <v>8.6601878674495231E-2</v>
      </c>
      <c r="I13" s="393">
        <f t="shared" si="4"/>
        <v>0.30252614671363642</v>
      </c>
    </row>
    <row r="14" spans="1:9">
      <c r="A14">
        <v>4</v>
      </c>
      <c r="B14" t="s">
        <v>940</v>
      </c>
      <c r="C14" s="392">
        <f>SUM('себестоимость прямая'!E14:E17)</f>
        <v>1900820</v>
      </c>
      <c r="D14" s="392">
        <f>SUM('себестоимость прямая'!F14:F17)</f>
        <v>381807</v>
      </c>
      <c r="E14" s="392">
        <f t="shared" si="0"/>
        <v>2282627</v>
      </c>
      <c r="F14" s="392">
        <f t="shared" si="1"/>
        <v>502177.94</v>
      </c>
      <c r="G14" s="392">
        <f t="shared" si="2"/>
        <v>2784804.94</v>
      </c>
      <c r="H14" s="393">
        <f t="shared" si="3"/>
        <v>8.8435081437098027E-3</v>
      </c>
      <c r="I14" s="393">
        <f t="shared" si="4"/>
        <v>0.16726648725350221</v>
      </c>
    </row>
    <row r="15" spans="1:9">
      <c r="A15">
        <v>5</v>
      </c>
      <c r="B15" t="s">
        <v>941</v>
      </c>
      <c r="C15" s="392">
        <f>SUM('себестоимость прямая'!E20:E23)</f>
        <v>15034320</v>
      </c>
      <c r="D15" s="392">
        <f>SUM('себестоимость прямая'!F20:F23)</f>
        <v>0</v>
      </c>
      <c r="E15" s="392">
        <f t="shared" si="0"/>
        <v>15034320</v>
      </c>
      <c r="F15" s="392">
        <f t="shared" si="1"/>
        <v>3307550.4</v>
      </c>
      <c r="G15" s="392">
        <f t="shared" si="2"/>
        <v>18341870.399999999</v>
      </c>
      <c r="H15" s="393">
        <f t="shared" si="3"/>
        <v>5.8246980936937642E-2</v>
      </c>
      <c r="I15" s="393">
        <f t="shared" si="4"/>
        <v>0</v>
      </c>
    </row>
    <row r="16" spans="1:9">
      <c r="A16">
        <v>6</v>
      </c>
      <c r="B16" t="s">
        <v>942</v>
      </c>
      <c r="C16" s="392">
        <f>SUM('себестоимость прямая'!E25:E32)</f>
        <v>26252560</v>
      </c>
      <c r="D16" s="392">
        <f>SUM('себестоимость прямая'!F25:F32)</f>
        <v>0</v>
      </c>
      <c r="E16" s="392">
        <f t="shared" si="0"/>
        <v>26252560</v>
      </c>
      <c r="F16" s="392">
        <f t="shared" si="1"/>
        <v>5775563.2000000002</v>
      </c>
      <c r="G16" s="392">
        <f t="shared" si="2"/>
        <v>32028123.199999999</v>
      </c>
      <c r="H16" s="393">
        <f t="shared" si="3"/>
        <v>0.10170944624471288</v>
      </c>
      <c r="I16" s="393">
        <f t="shared" si="4"/>
        <v>0</v>
      </c>
    </row>
    <row r="17" spans="1:9">
      <c r="A17">
        <v>7</v>
      </c>
      <c r="B17" t="s">
        <v>943</v>
      </c>
      <c r="C17" s="392">
        <f>'себестоимость прямая'!E34</f>
        <v>100440</v>
      </c>
      <c r="D17" s="392">
        <f>'себестоимость прямая'!F34</f>
        <v>0</v>
      </c>
      <c r="E17" s="392">
        <f t="shared" si="0"/>
        <v>100440</v>
      </c>
      <c r="F17" s="392">
        <f t="shared" si="1"/>
        <v>22096.799999999999</v>
      </c>
      <c r="G17" s="392">
        <f t="shared" si="2"/>
        <v>122536.8</v>
      </c>
      <c r="H17" s="393">
        <f t="shared" si="3"/>
        <v>3.8913145159249086E-4</v>
      </c>
      <c r="I17" s="393">
        <f t="shared" si="4"/>
        <v>0</v>
      </c>
    </row>
    <row r="18" spans="1:9">
      <c r="A18">
        <v>8</v>
      </c>
      <c r="B18" t="s">
        <v>944</v>
      </c>
      <c r="C18" s="392">
        <f>SUM('себестоимость прямая'!E36:E44)</f>
        <v>82744374.53199999</v>
      </c>
      <c r="D18" s="392">
        <f>SUM('себестоимость прямая'!F36:F44)</f>
        <v>55820170.96690163</v>
      </c>
      <c r="E18" s="392">
        <f t="shared" si="0"/>
        <v>138564545.49890161</v>
      </c>
      <c r="F18" s="392">
        <f t="shared" si="1"/>
        <v>30484200.009758353</v>
      </c>
      <c r="G18" s="392">
        <f t="shared" si="2"/>
        <v>169048745.50865996</v>
      </c>
      <c r="H18" s="393">
        <f t="shared" si="3"/>
        <v>0.53683614824015657</v>
      </c>
      <c r="I18" s="393">
        <f t="shared" si="4"/>
        <v>0.40284598607761546</v>
      </c>
    </row>
    <row r="19" spans="1:9">
      <c r="A19">
        <v>9</v>
      </c>
      <c r="B19" t="s">
        <v>945</v>
      </c>
      <c r="C19" s="392">
        <f>SUM('себестоимость прямая'!E46:E47)</f>
        <v>2205280</v>
      </c>
      <c r="D19" s="392">
        <f>SUM('себестоимость прямая'!F46:F47)</f>
        <v>2170912</v>
      </c>
      <c r="E19" s="392">
        <f t="shared" si="0"/>
        <v>4376192</v>
      </c>
      <c r="F19" s="392">
        <f t="shared" si="1"/>
        <v>962762.23999999999</v>
      </c>
      <c r="G19" s="392">
        <f t="shared" si="2"/>
        <v>5338954.24</v>
      </c>
      <c r="H19" s="393">
        <f t="shared" si="3"/>
        <v>1.695453948036087E-2</v>
      </c>
      <c r="I19" s="393">
        <f t="shared" si="4"/>
        <v>0.49607329842931935</v>
      </c>
    </row>
    <row r="20" spans="1:9">
      <c r="A20">
        <v>10</v>
      </c>
      <c r="B20" t="s">
        <v>946</v>
      </c>
      <c r="C20" s="392">
        <f>SUM('себестоимость прямая'!E49:E51)</f>
        <v>713124</v>
      </c>
      <c r="D20" s="392">
        <f>SUM('себестоимость прямая'!F49:F51)</f>
        <v>1629025.2</v>
      </c>
      <c r="E20" s="392">
        <f t="shared" si="0"/>
        <v>2342149.2000000002</v>
      </c>
      <c r="F20" s="392">
        <f t="shared" si="1"/>
        <v>515272.82400000002</v>
      </c>
      <c r="G20" s="392">
        <f t="shared" si="2"/>
        <v>2857422.0240000002</v>
      </c>
      <c r="H20" s="393">
        <f t="shared" si="3"/>
        <v>9.0741130828573408E-3</v>
      </c>
      <c r="I20" s="393">
        <f t="shared" si="4"/>
        <v>0.69552580168675837</v>
      </c>
    </row>
    <row r="21" spans="1:9">
      <c r="A21">
        <v>11</v>
      </c>
      <c r="B21" t="s">
        <v>947</v>
      </c>
      <c r="C21" s="392">
        <f>SUM('себестоимость прямая'!E53:E55)</f>
        <v>518842</v>
      </c>
      <c r="D21" s="392">
        <f>SUM('себестоимость прямая'!F53:F55)</f>
        <v>654027.79892622959</v>
      </c>
      <c r="E21" s="392">
        <f t="shared" si="0"/>
        <v>1172869.7989262296</v>
      </c>
      <c r="F21" s="392">
        <f t="shared" si="1"/>
        <v>258031.35576377052</v>
      </c>
      <c r="G21" s="392">
        <f t="shared" si="2"/>
        <v>1430901.1546900002</v>
      </c>
      <c r="H21" s="393">
        <f t="shared" si="3"/>
        <v>4.5440116227116346E-3</v>
      </c>
      <c r="I21" s="393">
        <f t="shared" si="4"/>
        <v>0.55763035208596601</v>
      </c>
    </row>
    <row r="22" spans="1:9">
      <c r="A22">
        <v>12</v>
      </c>
      <c r="B22" t="s">
        <v>948</v>
      </c>
      <c r="C22" s="392">
        <f>SUM('себестоимость прямая'!E58:E59)</f>
        <v>4185600</v>
      </c>
      <c r="D22" s="392">
        <f>SUM('себестоимость прямая'!F58:F59)</f>
        <v>0</v>
      </c>
      <c r="E22" s="392">
        <f t="shared" si="0"/>
        <v>4185600</v>
      </c>
      <c r="F22" s="392">
        <f t="shared" si="1"/>
        <v>920832</v>
      </c>
      <c r="G22" s="392">
        <f t="shared" si="2"/>
        <v>5106432</v>
      </c>
      <c r="H22" s="393">
        <f t="shared" si="3"/>
        <v>1.621613504366318E-2</v>
      </c>
      <c r="I22" s="393">
        <f t="shared" si="4"/>
        <v>0</v>
      </c>
    </row>
    <row r="23" spans="1:9">
      <c r="A23">
        <v>13</v>
      </c>
      <c r="B23" t="s">
        <v>949</v>
      </c>
      <c r="C23" s="392">
        <f>'себестоимость прямая'!E61</f>
        <v>6768000</v>
      </c>
      <c r="D23" s="392">
        <f>'себестоимость прямая'!F61</f>
        <v>9720000</v>
      </c>
      <c r="E23" s="392">
        <f t="shared" si="0"/>
        <v>16488000</v>
      </c>
      <c r="F23" s="392">
        <f t="shared" si="1"/>
        <v>3627360</v>
      </c>
      <c r="G23" s="392">
        <f t="shared" si="2"/>
        <v>20115360</v>
      </c>
      <c r="H23" s="393">
        <f t="shared" si="3"/>
        <v>6.3878926462136484E-2</v>
      </c>
      <c r="I23" s="393">
        <f t="shared" si="4"/>
        <v>0.58951965065502188</v>
      </c>
    </row>
    <row r="24" spans="1:9">
      <c r="A24">
        <v>14</v>
      </c>
      <c r="B24" t="s">
        <v>950</v>
      </c>
      <c r="C24" s="392">
        <f>'себестоимость прямая'!E63</f>
        <v>423826</v>
      </c>
      <c r="D24" s="392">
        <f>'себестоимость прямая'!F63</f>
        <v>391224</v>
      </c>
      <c r="E24" s="392">
        <f t="shared" si="0"/>
        <v>815050</v>
      </c>
      <c r="F24" s="392">
        <f t="shared" si="1"/>
        <v>179311</v>
      </c>
      <c r="G24" s="392">
        <f t="shared" si="2"/>
        <v>994361</v>
      </c>
      <c r="H24" s="393">
        <f t="shared" si="3"/>
        <v>3.1577219197576629E-3</v>
      </c>
      <c r="I24" s="393">
        <f t="shared" si="4"/>
        <v>0.48</v>
      </c>
    </row>
    <row r="25" spans="1:9">
      <c r="A25">
        <v>15</v>
      </c>
      <c r="B25" t="s">
        <v>951</v>
      </c>
      <c r="C25" s="392">
        <f>'себестоимость прямая'!E65</f>
        <v>336000</v>
      </c>
      <c r="D25" s="392">
        <f>'себестоимость прямая'!F65</f>
        <v>780480</v>
      </c>
      <c r="E25" s="392">
        <f t="shared" si="0"/>
        <v>1116480</v>
      </c>
      <c r="F25" s="392">
        <f t="shared" si="1"/>
        <v>245625.60000000001</v>
      </c>
      <c r="G25" s="392">
        <f t="shared" si="2"/>
        <v>1362105.6</v>
      </c>
      <c r="H25" s="393">
        <f t="shared" si="3"/>
        <v>4.3255424439863016E-3</v>
      </c>
      <c r="I25" s="393">
        <f t="shared" si="4"/>
        <v>0.69905417024935512</v>
      </c>
    </row>
    <row r="26" spans="1:9">
      <c r="A26" s="391"/>
      <c r="B26" s="390" t="s">
        <v>952</v>
      </c>
      <c r="C26" s="395">
        <f t="shared" ref="C26:H26" si="5">SUM(C11:C25)</f>
        <v>172734475.05659014</v>
      </c>
      <c r="D26" s="395">
        <f t="shared" si="5"/>
        <v>85378816.965827867</v>
      </c>
      <c r="E26" s="395">
        <f t="shared" si="5"/>
        <v>258113292.02241799</v>
      </c>
      <c r="F26" s="395">
        <f t="shared" si="5"/>
        <v>56784924.244931966</v>
      </c>
      <c r="G26" s="395">
        <f t="shared" si="5"/>
        <v>314898216.26735002</v>
      </c>
      <c r="H26" s="396">
        <f t="shared" si="5"/>
        <v>1</v>
      </c>
      <c r="I26" s="396">
        <f>D26/E26</f>
        <v>0.33078039606891857</v>
      </c>
    </row>
    <row r="27" spans="1:9">
      <c r="B27" s="383" t="s">
        <v>953</v>
      </c>
      <c r="C27" s="392"/>
      <c r="D27" s="392"/>
      <c r="E27" s="397">
        <f>'себестоимость прямая'!G66</f>
        <v>258113292.02241802</v>
      </c>
      <c r="F27" s="399" t="s">
        <v>954</v>
      </c>
      <c r="G27" s="398">
        <f>E26-E27</f>
        <v>0</v>
      </c>
      <c r="H27" s="393"/>
      <c r="I27" s="393"/>
    </row>
    <row r="29" spans="1:9" ht="15.75">
      <c r="A29" s="386" t="s">
        <v>955</v>
      </c>
    </row>
    <row r="30" spans="1:9">
      <c r="A30" s="110" t="s">
        <v>956</v>
      </c>
      <c r="B30" s="394" t="s">
        <v>957</v>
      </c>
      <c r="C30" s="394" t="s">
        <v>958</v>
      </c>
    </row>
    <row r="31" spans="1:9">
      <c r="A31" t="s">
        <v>959</v>
      </c>
      <c r="B31" s="392">
        <f>E26/B5</f>
        <v>15987.196780577144</v>
      </c>
      <c r="C31" s="392">
        <f>G26/B5</f>
        <v>19504.38007230412</v>
      </c>
    </row>
    <row r="32" spans="1:9">
      <c r="A32" t="s">
        <v>960</v>
      </c>
      <c r="B32" s="392">
        <f>E26/B6</f>
        <v>13044.371930038968</v>
      </c>
      <c r="C32" s="392">
        <f>G26/B6</f>
        <v>15914.133754647544</v>
      </c>
    </row>
    <row r="33" spans="1:2">
      <c r="A33" t="s">
        <v>961</v>
      </c>
      <c r="B33" s="393">
        <f>D26/E26</f>
        <v>0.33078039606891857</v>
      </c>
    </row>
    <row r="34" spans="1:2">
      <c r="A34" t="s">
        <v>962</v>
      </c>
      <c r="B34" s="393">
        <f>C26/E26</f>
        <v>0.66921960393108149</v>
      </c>
    </row>
    <row r="35" spans="1:2">
      <c r="A35" t="s">
        <v>963</v>
      </c>
      <c r="B35" s="392">
        <f>F26</f>
        <v>56784924.244931966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2"/>
  <sheetViews>
    <sheetView showGridLines="0" topLeftCell="A22" workbookViewId="0">
      <selection activeCell="H146" sqref="H146"/>
    </sheetView>
  </sheetViews>
  <sheetFormatPr defaultRowHeight="15"/>
  <cols>
    <col min="1" max="1" width="32.5703125" customWidth="1"/>
    <col min="2" max="2" width="33.7109375" bestFit="1" customWidth="1"/>
    <col min="3" max="4" width="23" style="2" customWidth="1"/>
    <col min="5" max="5" width="20.140625" bestFit="1" customWidth="1"/>
  </cols>
  <sheetData>
    <row r="1" spans="1:5">
      <c r="A1" s="208" t="s">
        <v>278</v>
      </c>
    </row>
    <row r="2" spans="1:5" ht="28.5" customHeight="1">
      <c r="A2" s="209" t="s">
        <v>279</v>
      </c>
      <c r="B2" s="210" t="s">
        <v>165</v>
      </c>
      <c r="C2" s="209" t="s">
        <v>280</v>
      </c>
      <c r="D2" s="209" t="s">
        <v>281</v>
      </c>
      <c r="E2" s="428"/>
    </row>
    <row r="3" spans="1:5" ht="30">
      <c r="A3" s="211" t="s">
        <v>282</v>
      </c>
      <c r="B3" s="141" t="s">
        <v>283</v>
      </c>
      <c r="C3" s="141" t="s">
        <v>284</v>
      </c>
      <c r="D3" s="141" t="s">
        <v>285</v>
      </c>
      <c r="E3" s="428"/>
    </row>
    <row r="4" spans="1:5" ht="28.5" customHeight="1">
      <c r="A4" s="212" t="s">
        <v>286</v>
      </c>
      <c r="B4" s="213">
        <v>1</v>
      </c>
      <c r="C4" s="214">
        <v>1100000</v>
      </c>
      <c r="D4" s="215">
        <f>B4*C4</f>
        <v>1100000</v>
      </c>
      <c r="E4" s="428"/>
    </row>
    <row r="5" spans="1:5" ht="30">
      <c r="A5" s="212" t="s">
        <v>287</v>
      </c>
      <c r="B5" s="213">
        <v>1</v>
      </c>
      <c r="C5" s="214">
        <v>150000</v>
      </c>
      <c r="D5" s="215">
        <f>B5*C5</f>
        <v>150000</v>
      </c>
      <c r="E5" s="428"/>
    </row>
    <row r="6" spans="1:5">
      <c r="A6" s="212" t="s">
        <v>288</v>
      </c>
      <c r="B6" s="213">
        <v>1</v>
      </c>
      <c r="C6" s="214">
        <v>150000</v>
      </c>
      <c r="D6" s="215">
        <f>B6*C6</f>
        <v>150000</v>
      </c>
      <c r="E6" s="428"/>
    </row>
    <row r="7" spans="1:5" ht="30">
      <c r="A7" s="216" t="s">
        <v>289</v>
      </c>
      <c r="B7" s="213">
        <v>2</v>
      </c>
      <c r="C7" s="214">
        <v>170000</v>
      </c>
      <c r="D7" s="215">
        <f>B7*C7</f>
        <v>340000</v>
      </c>
      <c r="E7" s="428"/>
    </row>
    <row r="8" spans="1:5">
      <c r="A8" s="217" t="s">
        <v>290</v>
      </c>
      <c r="B8" s="94"/>
      <c r="C8" s="139"/>
      <c r="D8" s="215">
        <f>SUM(D4:D7)</f>
        <v>1740000</v>
      </c>
      <c r="E8" s="440"/>
    </row>
    <row r="9" spans="1:5" ht="28.5" customHeight="1">
      <c r="A9" s="209" t="s">
        <v>279</v>
      </c>
      <c r="B9" s="210" t="s">
        <v>165</v>
      </c>
      <c r="C9" s="209" t="s">
        <v>280</v>
      </c>
      <c r="D9" s="209" t="s">
        <v>281</v>
      </c>
      <c r="E9" s="428"/>
    </row>
    <row r="10" spans="1:5" ht="30">
      <c r="A10" s="211" t="s">
        <v>291</v>
      </c>
      <c r="B10" s="53"/>
      <c r="C10" s="75"/>
      <c r="D10" s="74"/>
      <c r="E10" s="428"/>
    </row>
    <row r="11" spans="1:5">
      <c r="A11" s="212" t="s">
        <v>292</v>
      </c>
      <c r="B11" s="213">
        <v>1</v>
      </c>
      <c r="C11" s="214">
        <v>120000</v>
      </c>
      <c r="D11" s="215">
        <f t="shared" ref="D11:D21" si="0">B11*C11</f>
        <v>120000</v>
      </c>
      <c r="E11" s="428"/>
    </row>
    <row r="12" spans="1:5">
      <c r="A12" s="218" t="s">
        <v>293</v>
      </c>
      <c r="B12" s="219">
        <v>250</v>
      </c>
      <c r="C12" s="220">
        <v>2150</v>
      </c>
      <c r="D12" s="215">
        <f t="shared" si="0"/>
        <v>537500</v>
      </c>
      <c r="E12" s="428"/>
    </row>
    <row r="13" spans="1:5">
      <c r="A13" s="212" t="s">
        <v>294</v>
      </c>
      <c r="B13" s="213">
        <v>3</v>
      </c>
      <c r="C13" s="221">
        <v>17000</v>
      </c>
      <c r="D13" s="215">
        <f t="shared" si="0"/>
        <v>51000</v>
      </c>
      <c r="E13" s="428"/>
    </row>
    <row r="14" spans="1:5">
      <c r="A14" s="222" t="s">
        <v>295</v>
      </c>
      <c r="B14" s="223">
        <v>0</v>
      </c>
      <c r="C14" s="214">
        <v>3100</v>
      </c>
      <c r="D14" s="215">
        <f t="shared" si="0"/>
        <v>0</v>
      </c>
      <c r="E14" s="428"/>
    </row>
    <row r="15" spans="1:5">
      <c r="A15" s="224" t="s">
        <v>296</v>
      </c>
      <c r="B15" s="225">
        <v>330</v>
      </c>
      <c r="C15" s="214">
        <v>2200</v>
      </c>
      <c r="D15" s="215">
        <f t="shared" si="0"/>
        <v>726000</v>
      </c>
      <c r="E15" s="428"/>
    </row>
    <row r="16" spans="1:5" ht="60">
      <c r="A16" s="226" t="s">
        <v>297</v>
      </c>
      <c r="B16" s="213">
        <v>0</v>
      </c>
      <c r="C16" s="214">
        <v>430000</v>
      </c>
      <c r="D16" s="215">
        <f t="shared" si="0"/>
        <v>0</v>
      </c>
      <c r="E16" s="428"/>
    </row>
    <row r="17" spans="1:5">
      <c r="A17" s="212" t="s">
        <v>298</v>
      </c>
      <c r="B17" s="213">
        <v>30</v>
      </c>
      <c r="C17" s="214">
        <v>3000</v>
      </c>
      <c r="D17" s="215">
        <f t="shared" si="0"/>
        <v>90000</v>
      </c>
      <c r="E17" s="428"/>
    </row>
    <row r="18" spans="1:5">
      <c r="A18" s="212" t="s">
        <v>299</v>
      </c>
      <c r="B18" s="213">
        <v>10</v>
      </c>
      <c r="C18" s="214">
        <v>17000</v>
      </c>
      <c r="D18" s="215">
        <f t="shared" si="0"/>
        <v>170000</v>
      </c>
      <c r="E18" s="428"/>
    </row>
    <row r="19" spans="1:5">
      <c r="A19" s="212" t="s">
        <v>300</v>
      </c>
      <c r="B19" s="213">
        <v>150</v>
      </c>
      <c r="C19" s="227">
        <v>5200</v>
      </c>
      <c r="D19" s="215">
        <f t="shared" si="0"/>
        <v>780000</v>
      </c>
      <c r="E19" s="428"/>
    </row>
    <row r="20" spans="1:5">
      <c r="A20" s="212" t="s">
        <v>301</v>
      </c>
      <c r="B20" s="213">
        <v>4</v>
      </c>
      <c r="C20" s="214">
        <v>6000</v>
      </c>
      <c r="D20" s="215">
        <f t="shared" si="0"/>
        <v>24000</v>
      </c>
      <c r="E20" s="428"/>
    </row>
    <row r="21" spans="1:5">
      <c r="A21" s="212" t="s">
        <v>302</v>
      </c>
      <c r="B21" s="213">
        <v>2</v>
      </c>
      <c r="C21" s="228">
        <v>25000</v>
      </c>
      <c r="D21" s="215">
        <f t="shared" si="0"/>
        <v>50000</v>
      </c>
      <c r="E21" s="428"/>
    </row>
    <row r="22" spans="1:5">
      <c r="A22" s="217" t="s">
        <v>290</v>
      </c>
      <c r="B22" s="94"/>
      <c r="C22" s="139"/>
      <c r="D22" s="215">
        <f>SUM(D11:D21)</f>
        <v>2548500</v>
      </c>
      <c r="E22" s="428"/>
    </row>
    <row r="23" spans="1:5" ht="28.5" customHeight="1">
      <c r="A23" s="209" t="s">
        <v>279</v>
      </c>
      <c r="B23" s="210" t="s">
        <v>165</v>
      </c>
      <c r="C23" s="209" t="s">
        <v>280</v>
      </c>
      <c r="D23" s="209" t="s">
        <v>281</v>
      </c>
      <c r="E23" s="428"/>
    </row>
    <row r="24" spans="1:5" ht="30">
      <c r="A24" s="211" t="s">
        <v>303</v>
      </c>
      <c r="B24" s="53"/>
      <c r="C24" s="74"/>
      <c r="D24" s="74"/>
      <c r="E24" s="428"/>
    </row>
    <row r="25" spans="1:5" ht="45">
      <c r="A25" s="229" t="s">
        <v>304</v>
      </c>
      <c r="B25" s="225">
        <v>1</v>
      </c>
      <c r="C25" s="214">
        <v>200000</v>
      </c>
      <c r="D25" s="215">
        <f t="shared" ref="D25:D30" si="1">B25*C25</f>
        <v>200000</v>
      </c>
      <c r="E25" s="428"/>
    </row>
    <row r="26" spans="1:5">
      <c r="A26" s="222" t="s">
        <v>305</v>
      </c>
      <c r="B26" s="225">
        <v>1</v>
      </c>
      <c r="C26" s="214">
        <v>250000</v>
      </c>
      <c r="D26" s="215">
        <f t="shared" si="1"/>
        <v>250000</v>
      </c>
      <c r="E26" s="428"/>
    </row>
    <row r="27" spans="1:5" ht="30">
      <c r="A27" s="230" t="s">
        <v>306</v>
      </c>
      <c r="B27" s="231">
        <v>5</v>
      </c>
      <c r="C27" s="214">
        <v>30000</v>
      </c>
      <c r="D27" s="215">
        <f t="shared" si="1"/>
        <v>150000</v>
      </c>
      <c r="E27" s="428"/>
    </row>
    <row r="28" spans="1:5">
      <c r="A28" s="230" t="s">
        <v>307</v>
      </c>
      <c r="B28" s="231">
        <v>2</v>
      </c>
      <c r="C28" s="214">
        <v>6500</v>
      </c>
      <c r="D28" s="215">
        <f t="shared" si="1"/>
        <v>13000</v>
      </c>
      <c r="E28" s="428"/>
    </row>
    <row r="29" spans="1:5">
      <c r="A29" s="232" t="s">
        <v>308</v>
      </c>
      <c r="B29" s="225">
        <v>15</v>
      </c>
      <c r="C29" s="214">
        <v>2500</v>
      </c>
      <c r="D29" s="215">
        <f t="shared" si="1"/>
        <v>37500</v>
      </c>
      <c r="E29" s="428"/>
    </row>
    <row r="30" spans="1:5">
      <c r="A30" s="232" t="s">
        <v>309</v>
      </c>
      <c r="B30" s="225">
        <v>5</v>
      </c>
      <c r="C30" s="214">
        <v>3700</v>
      </c>
      <c r="D30" s="215">
        <f t="shared" si="1"/>
        <v>18500</v>
      </c>
      <c r="E30" s="428"/>
    </row>
    <row r="31" spans="1:5">
      <c r="A31" s="217" t="s">
        <v>290</v>
      </c>
      <c r="B31" s="94"/>
      <c r="C31" s="139"/>
      <c r="D31" s="215">
        <f>SUM(D25:D30)</f>
        <v>669000</v>
      </c>
      <c r="E31" s="428"/>
    </row>
    <row r="32" spans="1:5" ht="28.5" customHeight="1">
      <c r="A32" s="209" t="s">
        <v>279</v>
      </c>
      <c r="B32" s="210" t="s">
        <v>165</v>
      </c>
      <c r="C32" s="209" t="s">
        <v>280</v>
      </c>
      <c r="D32" s="209" t="s">
        <v>281</v>
      </c>
      <c r="E32" s="428"/>
    </row>
    <row r="33" spans="1:5">
      <c r="A33" s="211" t="s">
        <v>310</v>
      </c>
      <c r="B33" s="53"/>
      <c r="C33" s="74"/>
      <c r="D33" s="74"/>
      <c r="E33" s="428"/>
    </row>
    <row r="34" spans="1:5" ht="30">
      <c r="A34" s="233" t="s">
        <v>311</v>
      </c>
      <c r="B34" s="234">
        <v>300</v>
      </c>
      <c r="C34" s="214">
        <v>3175</v>
      </c>
      <c r="D34" s="215">
        <f>B34*C34</f>
        <v>952500</v>
      </c>
      <c r="E34" s="428"/>
    </row>
    <row r="35" spans="1:5" ht="30">
      <c r="A35" s="235" t="s">
        <v>312</v>
      </c>
      <c r="B35" s="236">
        <f>15*15</f>
        <v>225</v>
      </c>
      <c r="C35" s="214">
        <v>3175</v>
      </c>
      <c r="D35" s="215">
        <f>B35*C35</f>
        <v>714375</v>
      </c>
      <c r="E35" s="428"/>
    </row>
    <row r="36" spans="1:5">
      <c r="A36" s="217" t="s">
        <v>313</v>
      </c>
      <c r="B36" s="60"/>
      <c r="C36" s="74"/>
      <c r="D36" s="74"/>
      <c r="E36" s="428"/>
    </row>
    <row r="37" spans="1:5">
      <c r="A37" s="232" t="s">
        <v>314</v>
      </c>
      <c r="B37" s="237">
        <v>7</v>
      </c>
      <c r="C37" s="214">
        <v>28000</v>
      </c>
      <c r="D37" s="215">
        <f>B37*C37</f>
        <v>196000</v>
      </c>
      <c r="E37" s="428"/>
    </row>
    <row r="38" spans="1:5">
      <c r="A38" s="232" t="s">
        <v>315</v>
      </c>
      <c r="B38" s="234">
        <v>10</v>
      </c>
      <c r="C38" s="214">
        <v>35000</v>
      </c>
      <c r="D38" s="215">
        <f>B38*C38</f>
        <v>350000</v>
      </c>
      <c r="E38" s="428"/>
    </row>
    <row r="39" spans="1:5">
      <c r="A39" s="232" t="s">
        <v>316</v>
      </c>
      <c r="B39" s="234">
        <v>4</v>
      </c>
      <c r="C39" s="214">
        <v>32000</v>
      </c>
      <c r="D39" s="215">
        <f>B39*C39</f>
        <v>128000</v>
      </c>
      <c r="E39" s="428"/>
    </row>
    <row r="40" spans="1:5">
      <c r="A40" s="217" t="s">
        <v>290</v>
      </c>
      <c r="B40" s="94"/>
      <c r="C40" s="139"/>
      <c r="D40" s="215">
        <f>SUM(D34:D39)</f>
        <v>2340875</v>
      </c>
      <c r="E40" s="428"/>
    </row>
    <row r="41" spans="1:5">
      <c r="A41" s="238" t="s">
        <v>317</v>
      </c>
      <c r="B41" s="62"/>
      <c r="C41" s="76"/>
      <c r="D41" s="77"/>
      <c r="E41" s="428"/>
    </row>
    <row r="42" spans="1:5" ht="28.5" customHeight="1">
      <c r="A42" s="209" t="s">
        <v>279</v>
      </c>
      <c r="B42" s="210" t="s">
        <v>165</v>
      </c>
      <c r="C42" s="209" t="s">
        <v>280</v>
      </c>
      <c r="D42" s="209" t="s">
        <v>318</v>
      </c>
      <c r="E42" s="428"/>
    </row>
    <row r="43" spans="1:5">
      <c r="A43" s="58"/>
      <c r="B43" s="78"/>
      <c r="C43" s="79"/>
      <c r="E43" s="428"/>
    </row>
    <row r="44" spans="1:5" ht="30">
      <c r="A44" s="239" t="s">
        <v>319</v>
      </c>
      <c r="B44" s="78"/>
      <c r="C44" s="79"/>
      <c r="E44" s="428"/>
    </row>
    <row r="45" spans="1:5" ht="30">
      <c r="A45" s="240" t="s">
        <v>320</v>
      </c>
      <c r="B45" s="234">
        <v>14</v>
      </c>
      <c r="C45" s="214">
        <v>11200</v>
      </c>
      <c r="D45" s="241">
        <f t="shared" ref="D45:D56" si="2">C45*B45</f>
        <v>156800</v>
      </c>
      <c r="E45" s="428"/>
    </row>
    <row r="46" spans="1:5" ht="30">
      <c r="A46" s="240" t="s">
        <v>321</v>
      </c>
      <c r="B46" s="234">
        <v>1</v>
      </c>
      <c r="C46" s="214">
        <v>54000</v>
      </c>
      <c r="D46" s="241">
        <f t="shared" si="2"/>
        <v>54000</v>
      </c>
      <c r="E46" s="428"/>
    </row>
    <row r="47" spans="1:5">
      <c r="A47" s="240" t="s">
        <v>322</v>
      </c>
      <c r="B47" s="234">
        <v>1</v>
      </c>
      <c r="C47" s="214">
        <v>27000</v>
      </c>
      <c r="D47" s="241">
        <f t="shared" si="2"/>
        <v>27000</v>
      </c>
      <c r="E47" s="428"/>
    </row>
    <row r="48" spans="1:5">
      <c r="A48" s="229" t="s">
        <v>323</v>
      </c>
      <c r="B48" s="234">
        <v>2</v>
      </c>
      <c r="C48" s="214">
        <v>40000</v>
      </c>
      <c r="D48" s="241">
        <f t="shared" si="2"/>
        <v>80000</v>
      </c>
      <c r="E48" s="428"/>
    </row>
    <row r="49" spans="1:5">
      <c r="A49" s="229" t="s">
        <v>324</v>
      </c>
      <c r="B49" s="234">
        <v>2</v>
      </c>
      <c r="C49" s="214">
        <v>15000</v>
      </c>
      <c r="D49" s="241">
        <f t="shared" si="2"/>
        <v>30000</v>
      </c>
      <c r="E49" s="428"/>
    </row>
    <row r="50" spans="1:5">
      <c r="A50" s="229" t="s">
        <v>325</v>
      </c>
      <c r="B50" s="234">
        <v>12</v>
      </c>
      <c r="C50" s="214">
        <v>6000</v>
      </c>
      <c r="D50" s="241">
        <f t="shared" si="2"/>
        <v>72000</v>
      </c>
      <c r="E50" s="428"/>
    </row>
    <row r="51" spans="1:5">
      <c r="A51" s="242" t="s">
        <v>326</v>
      </c>
      <c r="B51" s="78"/>
      <c r="C51" s="74"/>
      <c r="D51" s="241">
        <f t="shared" si="2"/>
        <v>0</v>
      </c>
      <c r="E51" s="428"/>
    </row>
    <row r="52" spans="1:5">
      <c r="A52" s="229" t="s">
        <v>327</v>
      </c>
      <c r="B52" s="234">
        <v>8</v>
      </c>
      <c r="C52" s="214">
        <v>5200</v>
      </c>
      <c r="D52" s="241">
        <f t="shared" si="2"/>
        <v>41600</v>
      </c>
      <c r="E52" s="428"/>
    </row>
    <row r="53" spans="1:5">
      <c r="A53" s="229" t="s">
        <v>328</v>
      </c>
      <c r="B53" s="234">
        <v>2</v>
      </c>
      <c r="C53" s="214">
        <v>6000</v>
      </c>
      <c r="D53" s="241">
        <f t="shared" si="2"/>
        <v>12000</v>
      </c>
      <c r="E53" s="428"/>
    </row>
    <row r="54" spans="1:5">
      <c r="A54" s="229" t="s">
        <v>329</v>
      </c>
      <c r="B54" s="234">
        <v>2</v>
      </c>
      <c r="C54" s="214">
        <v>1600</v>
      </c>
      <c r="D54" s="241">
        <f t="shared" si="2"/>
        <v>3200</v>
      </c>
      <c r="E54" s="428"/>
    </row>
    <row r="55" spans="1:5">
      <c r="A55" s="229" t="s">
        <v>330</v>
      </c>
      <c r="B55" s="234">
        <v>5</v>
      </c>
      <c r="C55" s="214">
        <v>17000</v>
      </c>
      <c r="D55" s="241">
        <f t="shared" si="2"/>
        <v>85000</v>
      </c>
      <c r="E55" s="428"/>
    </row>
    <row r="56" spans="1:5">
      <c r="A56" s="229" t="s">
        <v>331</v>
      </c>
      <c r="B56" s="234">
        <v>1</v>
      </c>
      <c r="C56" s="214">
        <v>10000</v>
      </c>
      <c r="D56" s="241">
        <f t="shared" si="2"/>
        <v>10000</v>
      </c>
      <c r="E56" s="428"/>
    </row>
    <row r="57" spans="1:5">
      <c r="A57" s="243" t="s">
        <v>332</v>
      </c>
      <c r="B57" s="66"/>
      <c r="C57" s="80"/>
      <c r="D57" s="244">
        <f>SUM(D45:D56)</f>
        <v>571600</v>
      </c>
      <c r="E57" s="428"/>
    </row>
    <row r="58" spans="1:5">
      <c r="A58" s="245" t="s">
        <v>333</v>
      </c>
      <c r="B58" s="246">
        <v>14</v>
      </c>
      <c r="C58" s="77"/>
      <c r="D58" s="77"/>
      <c r="E58" s="428"/>
    </row>
    <row r="59" spans="1:5" ht="28.5" customHeight="1">
      <c r="A59" s="209" t="s">
        <v>279</v>
      </c>
      <c r="B59" s="210" t="s">
        <v>165</v>
      </c>
      <c r="C59" s="209" t="s">
        <v>334</v>
      </c>
      <c r="D59" s="209" t="s">
        <v>281</v>
      </c>
      <c r="E59" s="428"/>
    </row>
    <row r="60" spans="1:5">
      <c r="A60" s="229" t="s">
        <v>335</v>
      </c>
      <c r="B60" s="225">
        <v>2</v>
      </c>
      <c r="C60" s="214">
        <v>140000</v>
      </c>
      <c r="D60" s="215">
        <f t="shared" ref="D60:D74" si="3">B60*C60</f>
        <v>280000</v>
      </c>
      <c r="E60" s="428"/>
    </row>
    <row r="61" spans="1:5">
      <c r="A61" s="229" t="s">
        <v>336</v>
      </c>
      <c r="B61" s="225">
        <v>2</v>
      </c>
      <c r="C61" s="214">
        <v>80000</v>
      </c>
      <c r="D61" s="215">
        <f t="shared" si="3"/>
        <v>160000</v>
      </c>
      <c r="E61" s="428"/>
    </row>
    <row r="62" spans="1:5">
      <c r="A62" s="229" t="s">
        <v>337</v>
      </c>
      <c r="B62" s="225">
        <v>7</v>
      </c>
      <c r="C62" s="214">
        <v>32000</v>
      </c>
      <c r="D62" s="215">
        <f t="shared" si="3"/>
        <v>224000</v>
      </c>
      <c r="E62" s="428"/>
    </row>
    <row r="63" spans="1:5">
      <c r="A63" s="229" t="s">
        <v>338</v>
      </c>
      <c r="B63" s="225">
        <v>1</v>
      </c>
      <c r="C63" s="214">
        <v>240000</v>
      </c>
      <c r="D63" s="215">
        <f t="shared" si="3"/>
        <v>240000</v>
      </c>
      <c r="E63" s="428"/>
    </row>
    <row r="64" spans="1:5">
      <c r="A64" s="229" t="s">
        <v>339</v>
      </c>
      <c r="B64" s="225">
        <v>1</v>
      </c>
      <c r="C64" s="214">
        <v>50000</v>
      </c>
      <c r="D64" s="215">
        <f t="shared" si="3"/>
        <v>50000</v>
      </c>
      <c r="E64" s="428"/>
    </row>
    <row r="65" spans="1:5">
      <c r="A65" s="229" t="s">
        <v>340</v>
      </c>
      <c r="B65" s="225">
        <v>0</v>
      </c>
      <c r="C65" s="214">
        <v>250000</v>
      </c>
      <c r="D65" s="215">
        <f t="shared" si="3"/>
        <v>0</v>
      </c>
      <c r="E65" s="428"/>
    </row>
    <row r="66" spans="1:5" ht="30">
      <c r="A66" s="229" t="s">
        <v>341</v>
      </c>
      <c r="B66" s="225">
        <v>4</v>
      </c>
      <c r="C66" s="214">
        <v>3500</v>
      </c>
      <c r="D66" s="215">
        <f t="shared" si="3"/>
        <v>14000</v>
      </c>
      <c r="E66" s="428"/>
    </row>
    <row r="67" spans="1:5">
      <c r="A67" s="229" t="s">
        <v>342</v>
      </c>
      <c r="B67" s="225">
        <v>14</v>
      </c>
      <c r="C67" s="214">
        <v>5000</v>
      </c>
      <c r="D67" s="215">
        <f t="shared" si="3"/>
        <v>70000</v>
      </c>
      <c r="E67" s="428"/>
    </row>
    <row r="68" spans="1:5">
      <c r="A68" s="229" t="s">
        <v>343</v>
      </c>
      <c r="B68" s="225">
        <v>14</v>
      </c>
      <c r="C68" s="214">
        <v>7500</v>
      </c>
      <c r="D68" s="215">
        <f t="shared" si="3"/>
        <v>105000</v>
      </c>
      <c r="E68" s="428"/>
    </row>
    <row r="69" spans="1:5">
      <c r="A69" s="229" t="s">
        <v>344</v>
      </c>
      <c r="B69" s="225">
        <v>14</v>
      </c>
      <c r="C69" s="214">
        <v>6000</v>
      </c>
      <c r="D69" s="215">
        <f t="shared" si="3"/>
        <v>84000</v>
      </c>
      <c r="E69" s="428"/>
    </row>
    <row r="70" spans="1:5">
      <c r="A70" s="229" t="s">
        <v>345</v>
      </c>
      <c r="B70" s="225">
        <v>1</v>
      </c>
      <c r="C70" s="214">
        <v>12500</v>
      </c>
      <c r="D70" s="215">
        <f t="shared" si="3"/>
        <v>12500</v>
      </c>
      <c r="E70" s="428"/>
    </row>
    <row r="71" spans="1:5">
      <c r="A71" s="229" t="s">
        <v>329</v>
      </c>
      <c r="B71" s="225">
        <v>14</v>
      </c>
      <c r="C71" s="214">
        <v>2500</v>
      </c>
      <c r="D71" s="215">
        <f t="shared" si="3"/>
        <v>35000</v>
      </c>
      <c r="E71" s="428"/>
    </row>
    <row r="72" spans="1:5">
      <c r="A72" s="229" t="s">
        <v>346</v>
      </c>
      <c r="B72" s="225">
        <v>3</v>
      </c>
      <c r="C72" s="214">
        <v>12500</v>
      </c>
      <c r="D72" s="215">
        <f t="shared" si="3"/>
        <v>37500</v>
      </c>
      <c r="E72" s="428"/>
    </row>
    <row r="73" spans="1:5">
      <c r="A73" s="229" t="s">
        <v>347</v>
      </c>
      <c r="B73" s="225">
        <v>1</v>
      </c>
      <c r="C73" s="227">
        <v>20000</v>
      </c>
      <c r="D73" s="215">
        <f t="shared" si="3"/>
        <v>20000</v>
      </c>
      <c r="E73" s="428"/>
    </row>
    <row r="74" spans="1:5">
      <c r="A74" s="229" t="s">
        <v>348</v>
      </c>
      <c r="B74" s="225">
        <v>1</v>
      </c>
      <c r="C74" s="214">
        <v>50000</v>
      </c>
      <c r="D74" s="215">
        <f t="shared" si="3"/>
        <v>50000</v>
      </c>
      <c r="E74" s="428"/>
    </row>
    <row r="75" spans="1:5">
      <c r="A75" s="247" t="s">
        <v>349</v>
      </c>
      <c r="B75" s="54"/>
      <c r="C75" s="82"/>
      <c r="D75" s="74"/>
      <c r="E75" s="428"/>
    </row>
    <row r="76" spans="1:5">
      <c r="A76" s="248" t="s">
        <v>350</v>
      </c>
      <c r="B76" s="225">
        <v>1</v>
      </c>
      <c r="C76" s="214">
        <v>50000</v>
      </c>
      <c r="D76" s="215">
        <f t="shared" ref="D76:D97" si="4">B76*C76</f>
        <v>50000</v>
      </c>
      <c r="E76" s="428"/>
    </row>
    <row r="77" spans="1:5">
      <c r="A77" s="248" t="s">
        <v>351</v>
      </c>
      <c r="B77" s="225">
        <v>1</v>
      </c>
      <c r="C77" s="214">
        <v>23000</v>
      </c>
      <c r="D77" s="215">
        <f t="shared" si="4"/>
        <v>23000</v>
      </c>
      <c r="E77" s="428"/>
    </row>
    <row r="78" spans="1:5">
      <c r="A78" s="248" t="s">
        <v>352</v>
      </c>
      <c r="B78" s="225">
        <v>7</v>
      </c>
      <c r="C78" s="214">
        <v>2250</v>
      </c>
      <c r="D78" s="215">
        <f t="shared" si="4"/>
        <v>15750</v>
      </c>
      <c r="E78" s="428"/>
    </row>
    <row r="79" spans="1:5">
      <c r="A79" s="248" t="s">
        <v>353</v>
      </c>
      <c r="B79" s="225">
        <v>1</v>
      </c>
      <c r="C79" s="214">
        <v>7200</v>
      </c>
      <c r="D79" s="215">
        <f t="shared" si="4"/>
        <v>7200</v>
      </c>
      <c r="E79" s="428"/>
    </row>
    <row r="80" spans="1:5">
      <c r="A80" s="248" t="s">
        <v>354</v>
      </c>
      <c r="B80" s="225">
        <v>1</v>
      </c>
      <c r="C80" s="214">
        <v>15000</v>
      </c>
      <c r="D80" s="215">
        <f t="shared" si="4"/>
        <v>15000</v>
      </c>
      <c r="E80" s="428"/>
    </row>
    <row r="81" spans="1:5">
      <c r="A81" s="248" t="s">
        <v>355</v>
      </c>
      <c r="B81" s="225">
        <v>1</v>
      </c>
      <c r="C81" s="214">
        <v>3500</v>
      </c>
      <c r="D81" s="215">
        <f t="shared" si="4"/>
        <v>3500</v>
      </c>
      <c r="E81" s="428"/>
    </row>
    <row r="82" spans="1:5">
      <c r="A82" s="248" t="s">
        <v>356</v>
      </c>
      <c r="B82" s="225">
        <v>8</v>
      </c>
      <c r="C82" s="214">
        <v>1000</v>
      </c>
      <c r="D82" s="215">
        <f t="shared" si="4"/>
        <v>8000</v>
      </c>
      <c r="E82" s="428"/>
    </row>
    <row r="83" spans="1:5">
      <c r="A83" s="248" t="s">
        <v>357</v>
      </c>
      <c r="B83" s="225">
        <v>3</v>
      </c>
      <c r="C83" s="214">
        <v>1750</v>
      </c>
      <c r="D83" s="215">
        <f t="shared" si="4"/>
        <v>5250</v>
      </c>
      <c r="E83" s="428"/>
    </row>
    <row r="84" spans="1:5">
      <c r="A84" s="247" t="s">
        <v>358</v>
      </c>
      <c r="B84" s="225">
        <v>2</v>
      </c>
      <c r="C84" s="214">
        <v>40000</v>
      </c>
      <c r="D84" s="215">
        <f t="shared" si="4"/>
        <v>80000</v>
      </c>
      <c r="E84" s="428"/>
    </row>
    <row r="85" spans="1:5">
      <c r="A85" s="247" t="s">
        <v>359</v>
      </c>
      <c r="B85" s="234">
        <v>2</v>
      </c>
      <c r="C85" s="214">
        <v>6000</v>
      </c>
      <c r="D85" s="215">
        <f t="shared" si="4"/>
        <v>12000</v>
      </c>
      <c r="E85" s="428"/>
    </row>
    <row r="86" spans="1:5">
      <c r="A86" s="247" t="s">
        <v>360</v>
      </c>
      <c r="B86" s="234">
        <v>1</v>
      </c>
      <c r="C86" s="214">
        <v>40000</v>
      </c>
      <c r="D86" s="215">
        <f t="shared" si="4"/>
        <v>40000</v>
      </c>
      <c r="E86" s="428"/>
    </row>
    <row r="87" spans="1:5">
      <c r="A87" s="247" t="s">
        <v>361</v>
      </c>
      <c r="B87" s="234">
        <v>1</v>
      </c>
      <c r="C87" s="214">
        <v>20000</v>
      </c>
      <c r="D87" s="215">
        <f t="shared" si="4"/>
        <v>20000</v>
      </c>
      <c r="E87" s="428"/>
    </row>
    <row r="88" spans="1:5">
      <c r="A88" s="249" t="s">
        <v>362</v>
      </c>
      <c r="B88" s="234">
        <v>5</v>
      </c>
      <c r="C88" s="214">
        <v>35000</v>
      </c>
      <c r="D88" s="215">
        <f t="shared" si="4"/>
        <v>175000</v>
      </c>
      <c r="E88" s="428"/>
    </row>
    <row r="89" spans="1:5">
      <c r="A89" s="247" t="s">
        <v>363</v>
      </c>
      <c r="B89" s="234">
        <v>2</v>
      </c>
      <c r="C89" s="227">
        <v>7000</v>
      </c>
      <c r="D89" s="215">
        <f t="shared" si="4"/>
        <v>14000</v>
      </c>
      <c r="E89" s="428"/>
    </row>
    <row r="90" spans="1:5">
      <c r="A90" s="247" t="s">
        <v>364</v>
      </c>
      <c r="B90" s="234">
        <v>8</v>
      </c>
      <c r="C90" s="214">
        <v>6500</v>
      </c>
      <c r="D90" s="215">
        <f t="shared" si="4"/>
        <v>52000</v>
      </c>
      <c r="E90" s="428"/>
    </row>
    <row r="91" spans="1:5">
      <c r="A91" s="247" t="s">
        <v>365</v>
      </c>
      <c r="B91" s="234">
        <v>2</v>
      </c>
      <c r="C91" s="214">
        <v>6500</v>
      </c>
      <c r="D91" s="215">
        <f t="shared" si="4"/>
        <v>13000</v>
      </c>
      <c r="E91" s="428"/>
    </row>
    <row r="92" spans="1:5">
      <c r="A92" s="247" t="s">
        <v>366</v>
      </c>
      <c r="B92" s="225">
        <v>2</v>
      </c>
      <c r="C92" s="214">
        <v>12000</v>
      </c>
      <c r="D92" s="215">
        <f t="shared" si="4"/>
        <v>24000</v>
      </c>
      <c r="E92" s="428"/>
    </row>
    <row r="93" spans="1:5">
      <c r="A93" s="247" t="s">
        <v>367</v>
      </c>
      <c r="B93" s="225">
        <v>4</v>
      </c>
      <c r="C93" s="214">
        <v>3000</v>
      </c>
      <c r="D93" s="215">
        <f t="shared" si="4"/>
        <v>12000</v>
      </c>
      <c r="E93" s="428"/>
    </row>
    <row r="94" spans="1:5">
      <c r="A94" s="247" t="s">
        <v>368</v>
      </c>
      <c r="B94" s="225">
        <v>1</v>
      </c>
      <c r="C94" s="214">
        <v>70000</v>
      </c>
      <c r="D94" s="215">
        <f t="shared" si="4"/>
        <v>70000</v>
      </c>
      <c r="E94" s="428"/>
    </row>
    <row r="95" spans="1:5">
      <c r="A95" s="247" t="s">
        <v>369</v>
      </c>
      <c r="B95" s="225">
        <v>1</v>
      </c>
      <c r="C95" s="214">
        <v>58000</v>
      </c>
      <c r="D95" s="215">
        <f t="shared" si="4"/>
        <v>58000</v>
      </c>
      <c r="E95" s="428"/>
    </row>
    <row r="96" spans="1:5">
      <c r="A96" s="229" t="s">
        <v>331</v>
      </c>
      <c r="B96" s="225">
        <v>1</v>
      </c>
      <c r="C96" s="214">
        <v>100000</v>
      </c>
      <c r="D96" s="215">
        <f t="shared" si="4"/>
        <v>100000</v>
      </c>
      <c r="E96" s="428"/>
    </row>
    <row r="97" spans="1:5">
      <c r="A97" s="229" t="s">
        <v>370</v>
      </c>
      <c r="B97" s="225">
        <v>1</v>
      </c>
      <c r="C97" s="214">
        <v>80000</v>
      </c>
      <c r="D97" s="215">
        <f t="shared" si="4"/>
        <v>80000</v>
      </c>
      <c r="E97" s="428"/>
    </row>
    <row r="98" spans="1:5">
      <c r="A98" s="250" t="s">
        <v>371</v>
      </c>
      <c r="B98" s="67"/>
      <c r="C98" s="83"/>
      <c r="D98" s="251">
        <f>SUM(D60:D97)</f>
        <v>2259700</v>
      </c>
      <c r="E98" s="428"/>
    </row>
    <row r="99" spans="1:5">
      <c r="A99" s="245" t="s">
        <v>372</v>
      </c>
      <c r="B99" s="63"/>
      <c r="C99" s="77"/>
      <c r="D99" s="77"/>
      <c r="E99" s="428"/>
    </row>
    <row r="100" spans="1:5" ht="28.5" customHeight="1">
      <c r="A100" s="209" t="s">
        <v>279</v>
      </c>
      <c r="B100" s="210" t="s">
        <v>165</v>
      </c>
      <c r="C100" s="209" t="s">
        <v>280</v>
      </c>
      <c r="D100" s="209" t="s">
        <v>281</v>
      </c>
      <c r="E100" s="428"/>
    </row>
    <row r="101" spans="1:5">
      <c r="A101" s="71"/>
      <c r="B101" s="252">
        <v>6</v>
      </c>
      <c r="C101" s="84"/>
      <c r="D101" s="84"/>
      <c r="E101" s="428"/>
    </row>
    <row r="102" spans="1:5">
      <c r="A102" s="71"/>
      <c r="B102" s="72"/>
      <c r="C102" s="84"/>
      <c r="D102" s="84"/>
      <c r="E102" s="428"/>
    </row>
    <row r="103" spans="1:5">
      <c r="A103" s="248" t="s">
        <v>373</v>
      </c>
      <c r="B103" s="253">
        <v>6</v>
      </c>
      <c r="C103" s="254">
        <v>9000</v>
      </c>
      <c r="D103" s="255">
        <f t="shared" ref="D103:D114" si="5">B103*C103</f>
        <v>54000</v>
      </c>
      <c r="E103" s="428"/>
    </row>
    <row r="104" spans="1:5">
      <c r="A104" s="256" t="s">
        <v>374</v>
      </c>
      <c r="B104" s="253">
        <v>6</v>
      </c>
      <c r="C104" s="254">
        <v>12000</v>
      </c>
      <c r="D104" s="255">
        <f t="shared" si="5"/>
        <v>72000</v>
      </c>
      <c r="E104" s="428"/>
    </row>
    <row r="105" spans="1:5">
      <c r="A105" s="257" t="s">
        <v>375</v>
      </c>
      <c r="B105" s="258">
        <v>6</v>
      </c>
      <c r="C105" s="259">
        <v>14500</v>
      </c>
      <c r="D105" s="255">
        <f t="shared" si="5"/>
        <v>87000</v>
      </c>
      <c r="E105" s="428"/>
    </row>
    <row r="106" spans="1:5">
      <c r="A106" s="257" t="s">
        <v>376</v>
      </c>
      <c r="B106" s="258">
        <v>10</v>
      </c>
      <c r="C106" s="259">
        <v>2665</v>
      </c>
      <c r="D106" s="255">
        <f t="shared" si="5"/>
        <v>26650</v>
      </c>
      <c r="E106" s="428"/>
    </row>
    <row r="107" spans="1:5">
      <c r="A107" s="229" t="s">
        <v>377</v>
      </c>
      <c r="B107" s="258">
        <v>20</v>
      </c>
      <c r="C107" s="260">
        <v>2100</v>
      </c>
      <c r="D107" s="255">
        <f t="shared" si="5"/>
        <v>42000</v>
      </c>
      <c r="E107" s="428"/>
    </row>
    <row r="108" spans="1:5">
      <c r="A108" s="257" t="s">
        <v>378</v>
      </c>
      <c r="B108" s="258">
        <v>6</v>
      </c>
      <c r="C108" s="259">
        <v>4500</v>
      </c>
      <c r="D108" s="255">
        <f t="shared" si="5"/>
        <v>27000</v>
      </c>
      <c r="E108" s="428"/>
    </row>
    <row r="109" spans="1:5">
      <c r="A109" s="257" t="s">
        <v>379</v>
      </c>
      <c r="B109" s="258">
        <v>6</v>
      </c>
      <c r="C109" s="259">
        <v>9500</v>
      </c>
      <c r="D109" s="255">
        <f t="shared" si="5"/>
        <v>57000</v>
      </c>
      <c r="E109" s="428"/>
    </row>
    <row r="110" spans="1:5">
      <c r="A110" s="257" t="s">
        <v>380</v>
      </c>
      <c r="B110" s="258">
        <v>10</v>
      </c>
      <c r="C110" s="259">
        <v>4000</v>
      </c>
      <c r="D110" s="255">
        <f t="shared" si="5"/>
        <v>40000</v>
      </c>
      <c r="E110" s="428"/>
    </row>
    <row r="111" spans="1:5">
      <c r="A111" s="257" t="s">
        <v>381</v>
      </c>
      <c r="B111" s="261">
        <f>B106</f>
        <v>10</v>
      </c>
      <c r="C111" s="259">
        <v>500</v>
      </c>
      <c r="D111" s="255">
        <f t="shared" si="5"/>
        <v>5000</v>
      </c>
      <c r="E111" s="428"/>
    </row>
    <row r="112" spans="1:5" ht="30">
      <c r="A112" s="262" t="s">
        <v>382</v>
      </c>
      <c r="B112" s="263">
        <v>200</v>
      </c>
      <c r="C112" s="264">
        <v>1000</v>
      </c>
      <c r="D112" s="255">
        <f t="shared" si="5"/>
        <v>200000</v>
      </c>
      <c r="E112" s="428"/>
    </row>
    <row r="113" spans="1:5">
      <c r="A113" s="262" t="s">
        <v>383</v>
      </c>
      <c r="B113" s="263">
        <v>0</v>
      </c>
      <c r="C113" s="264">
        <v>800</v>
      </c>
      <c r="D113" s="255">
        <f t="shared" si="5"/>
        <v>0</v>
      </c>
      <c r="E113" s="428"/>
    </row>
    <row r="114" spans="1:5">
      <c r="A114" s="257" t="s">
        <v>384</v>
      </c>
      <c r="B114" s="258">
        <v>0</v>
      </c>
      <c r="C114" s="259">
        <v>75</v>
      </c>
      <c r="D114" s="255">
        <f t="shared" si="5"/>
        <v>0</v>
      </c>
      <c r="E114" s="428"/>
    </row>
    <row r="115" spans="1:5">
      <c r="A115" s="250" t="s">
        <v>371</v>
      </c>
      <c r="B115" s="67"/>
      <c r="C115" s="81"/>
      <c r="D115" s="244">
        <f>SUM(D103:D114)</f>
        <v>610650</v>
      </c>
      <c r="E115" s="428"/>
    </row>
    <row r="116" spans="1:5">
      <c r="A116" s="238" t="s">
        <v>385</v>
      </c>
      <c r="B116" s="62"/>
      <c r="C116" s="63"/>
      <c r="D116" s="62"/>
      <c r="E116" s="441"/>
    </row>
    <row r="117" spans="1:5">
      <c r="A117" s="209" t="s">
        <v>279</v>
      </c>
      <c r="B117" s="210" t="s">
        <v>165</v>
      </c>
      <c r="C117" s="210" t="s">
        <v>386</v>
      </c>
      <c r="D117" s="209" t="s">
        <v>281</v>
      </c>
      <c r="E117" s="428"/>
    </row>
    <row r="118" spans="1:5">
      <c r="A118" s="265" t="s">
        <v>387</v>
      </c>
      <c r="B118" s="54"/>
      <c r="C118" s="85"/>
      <c r="D118" s="64"/>
      <c r="E118" s="428"/>
    </row>
    <row r="119" spans="1:5" ht="30">
      <c r="A119" s="257" t="s">
        <v>388</v>
      </c>
      <c r="B119" s="266">
        <f>12*3*2</f>
        <v>72</v>
      </c>
      <c r="C119" s="267">
        <v>1020</v>
      </c>
      <c r="D119" s="255">
        <f>B119*C119</f>
        <v>73440</v>
      </c>
      <c r="E119" s="428"/>
    </row>
    <row r="120" spans="1:5">
      <c r="A120" s="257" t="s">
        <v>389</v>
      </c>
      <c r="B120" s="266">
        <f>126*3/3*2</f>
        <v>252</v>
      </c>
      <c r="C120" s="267">
        <v>1020</v>
      </c>
      <c r="D120" s="255">
        <f>B120*C120</f>
        <v>257040</v>
      </c>
      <c r="E120" s="428"/>
    </row>
    <row r="121" spans="1:5">
      <c r="A121" s="257" t="s">
        <v>390</v>
      </c>
      <c r="B121" s="266">
        <f>324*3*2</f>
        <v>1944</v>
      </c>
      <c r="C121" s="267">
        <v>110</v>
      </c>
      <c r="D121" s="255">
        <f>B121*C121</f>
        <v>213840</v>
      </c>
      <c r="E121" s="428"/>
    </row>
    <row r="122" spans="1:5">
      <c r="A122" s="257" t="s">
        <v>391</v>
      </c>
      <c r="B122" s="266">
        <f>180*3/6*2</f>
        <v>180</v>
      </c>
      <c r="C122" s="267">
        <v>765</v>
      </c>
      <c r="D122" s="255">
        <f>B122*C122</f>
        <v>137700</v>
      </c>
      <c r="E122" s="428"/>
    </row>
    <row r="123" spans="1:5">
      <c r="A123" s="257" t="s">
        <v>392</v>
      </c>
      <c r="B123" s="87"/>
      <c r="C123" s="86"/>
      <c r="D123" s="268">
        <v>200000</v>
      </c>
      <c r="E123" s="428"/>
    </row>
    <row r="124" spans="1:5">
      <c r="A124" s="238" t="s">
        <v>393</v>
      </c>
      <c r="B124" s="63"/>
      <c r="C124" s="62"/>
      <c r="D124" s="62"/>
      <c r="E124" s="428"/>
    </row>
    <row r="125" spans="1:5">
      <c r="A125" s="209" t="s">
        <v>279</v>
      </c>
      <c r="B125" s="210" t="s">
        <v>165</v>
      </c>
      <c r="C125" s="210" t="s">
        <v>386</v>
      </c>
      <c r="D125" s="209" t="s">
        <v>281</v>
      </c>
      <c r="E125" s="428"/>
    </row>
    <row r="126" spans="1:5">
      <c r="A126" s="265" t="s">
        <v>394</v>
      </c>
      <c r="B126" s="54"/>
      <c r="C126" s="85"/>
      <c r="D126" s="64"/>
      <c r="E126" s="428"/>
    </row>
    <row r="127" spans="1:5">
      <c r="A127" s="257" t="s">
        <v>395</v>
      </c>
      <c r="B127" s="269">
        <v>2</v>
      </c>
      <c r="C127" s="267">
        <v>1500</v>
      </c>
      <c r="D127" s="255">
        <f t="shared" ref="D127:D138" si="6">B127*C127</f>
        <v>3000</v>
      </c>
      <c r="E127" s="428"/>
    </row>
    <row r="128" spans="1:5">
      <c r="A128" s="257" t="s">
        <v>396</v>
      </c>
      <c r="B128" s="258">
        <v>2</v>
      </c>
      <c r="C128" s="267">
        <v>1900</v>
      </c>
      <c r="D128" s="255">
        <f t="shared" si="6"/>
        <v>3800</v>
      </c>
      <c r="E128" s="428"/>
    </row>
    <row r="129" spans="1:5">
      <c r="A129" s="257" t="s">
        <v>397</v>
      </c>
      <c r="B129" s="258">
        <v>2</v>
      </c>
      <c r="C129" s="267">
        <v>1000</v>
      </c>
      <c r="D129" s="255">
        <f t="shared" si="6"/>
        <v>2000</v>
      </c>
      <c r="E129" s="428"/>
    </row>
    <row r="130" spans="1:5">
      <c r="A130" s="257" t="s">
        <v>398</v>
      </c>
      <c r="B130" s="258">
        <v>2</v>
      </c>
      <c r="C130" s="267">
        <v>800</v>
      </c>
      <c r="D130" s="255">
        <f t="shared" si="6"/>
        <v>1600</v>
      </c>
      <c r="E130" s="428"/>
    </row>
    <row r="131" spans="1:5">
      <c r="A131" s="257" t="s">
        <v>399</v>
      </c>
      <c r="B131" s="258">
        <v>2</v>
      </c>
      <c r="C131" s="267">
        <v>3500</v>
      </c>
      <c r="D131" s="255">
        <f t="shared" si="6"/>
        <v>7000</v>
      </c>
      <c r="E131" s="428"/>
    </row>
    <row r="132" spans="1:5">
      <c r="A132" s="257" t="s">
        <v>400</v>
      </c>
      <c r="B132" s="258">
        <v>2</v>
      </c>
      <c r="C132" s="267">
        <v>9000</v>
      </c>
      <c r="D132" s="255">
        <f t="shared" si="6"/>
        <v>18000</v>
      </c>
      <c r="E132" s="428"/>
    </row>
    <row r="133" spans="1:5">
      <c r="A133" s="257" t="s">
        <v>401</v>
      </c>
      <c r="B133" s="258">
        <v>1</v>
      </c>
      <c r="C133" s="267">
        <v>55000</v>
      </c>
      <c r="D133" s="255">
        <f t="shared" si="6"/>
        <v>55000</v>
      </c>
      <c r="E133" s="428"/>
    </row>
    <row r="134" spans="1:5">
      <c r="A134" s="257" t="s">
        <v>402</v>
      </c>
      <c r="B134" s="258">
        <v>2</v>
      </c>
      <c r="C134" s="267">
        <v>10000</v>
      </c>
      <c r="D134" s="255">
        <f t="shared" si="6"/>
        <v>20000</v>
      </c>
      <c r="E134" s="428"/>
    </row>
    <row r="135" spans="1:5">
      <c r="A135" s="257" t="s">
        <v>403</v>
      </c>
      <c r="B135" s="258">
        <v>1</v>
      </c>
      <c r="C135" s="267">
        <v>2500</v>
      </c>
      <c r="D135" s="255">
        <f t="shared" si="6"/>
        <v>2500</v>
      </c>
      <c r="E135" s="428"/>
    </row>
    <row r="136" spans="1:5">
      <c r="A136" s="257" t="s">
        <v>404</v>
      </c>
      <c r="B136" s="73"/>
      <c r="C136" s="267">
        <v>530</v>
      </c>
      <c r="D136" s="255">
        <f t="shared" si="6"/>
        <v>0</v>
      </c>
      <c r="E136" s="428"/>
    </row>
    <row r="137" spans="1:5">
      <c r="A137" s="257" t="s">
        <v>405</v>
      </c>
      <c r="B137" s="258">
        <v>1</v>
      </c>
      <c r="C137" s="267">
        <v>43500</v>
      </c>
      <c r="D137" s="255">
        <f t="shared" si="6"/>
        <v>43500</v>
      </c>
      <c r="E137" s="428"/>
    </row>
    <row r="138" spans="1:5">
      <c r="A138" s="257" t="s">
        <v>406</v>
      </c>
      <c r="B138" s="258">
        <v>2</v>
      </c>
      <c r="C138" s="267">
        <v>12000</v>
      </c>
      <c r="D138" s="255">
        <f t="shared" si="6"/>
        <v>24000</v>
      </c>
      <c r="E138" s="428"/>
    </row>
    <row r="139" spans="1:5">
      <c r="A139" s="270" t="s">
        <v>407</v>
      </c>
      <c r="B139" s="88"/>
      <c r="C139" s="89"/>
      <c r="D139" s="271">
        <f>SUM(D127:D138)</f>
        <v>180400</v>
      </c>
      <c r="E139" s="428"/>
    </row>
    <row r="140" spans="1:5">
      <c r="A140" s="265" t="s">
        <v>408</v>
      </c>
      <c r="B140" s="54"/>
      <c r="C140" s="91"/>
      <c r="D140" s="64"/>
      <c r="E140" s="428"/>
    </row>
    <row r="141" spans="1:5">
      <c r="A141" s="257" t="s">
        <v>409</v>
      </c>
      <c r="B141" s="258">
        <v>1</v>
      </c>
      <c r="C141" s="267">
        <v>65000</v>
      </c>
      <c r="D141" s="255">
        <f>B141*C141</f>
        <v>65000</v>
      </c>
      <c r="E141" s="428"/>
    </row>
    <row r="142" spans="1:5">
      <c r="A142" s="257" t="s">
        <v>410</v>
      </c>
      <c r="B142" s="258">
        <v>1</v>
      </c>
      <c r="C142" s="267">
        <v>70000</v>
      </c>
      <c r="D142" s="255">
        <f>B142*C142</f>
        <v>70000</v>
      </c>
      <c r="E142" s="428"/>
    </row>
    <row r="143" spans="1:5">
      <c r="A143" s="257" t="s">
        <v>411</v>
      </c>
      <c r="B143" s="258">
        <v>1</v>
      </c>
      <c r="C143" s="267">
        <v>60000</v>
      </c>
      <c r="D143" s="255">
        <f>B143*C143</f>
        <v>60000</v>
      </c>
      <c r="E143" s="428"/>
    </row>
    <row r="144" spans="1:5">
      <c r="A144" s="257" t="s">
        <v>412</v>
      </c>
      <c r="B144" s="258">
        <v>1</v>
      </c>
      <c r="C144" s="267">
        <v>400000</v>
      </c>
      <c r="D144" s="255">
        <f>B144*C144</f>
        <v>400000</v>
      </c>
      <c r="E144" s="428"/>
    </row>
    <row r="145" spans="1:6" ht="30">
      <c r="A145" s="270" t="s">
        <v>413</v>
      </c>
      <c r="B145" s="88"/>
      <c r="C145" s="90"/>
      <c r="D145" s="271">
        <f>SUM(D141:D144)</f>
        <v>595000</v>
      </c>
      <c r="E145" s="428"/>
    </row>
    <row r="146" spans="1:6">
      <c r="A146" s="66"/>
      <c r="B146" s="67"/>
      <c r="C146" s="68"/>
      <c r="D146" s="68"/>
    </row>
    <row r="147" spans="1:6">
      <c r="A147" s="238" t="s">
        <v>414</v>
      </c>
      <c r="B147" s="62"/>
      <c r="C147" s="63"/>
      <c r="D147" s="62"/>
      <c r="E147" s="62"/>
      <c r="F147" s="428"/>
    </row>
    <row r="148" spans="1:6" ht="28.5" customHeight="1">
      <c r="A148" s="210" t="s">
        <v>415</v>
      </c>
      <c r="B148" s="209" t="s">
        <v>279</v>
      </c>
      <c r="C148" s="210" t="s">
        <v>165</v>
      </c>
      <c r="D148" s="209" t="s">
        <v>416</v>
      </c>
      <c r="E148" s="209" t="s">
        <v>1004</v>
      </c>
      <c r="F148" s="428"/>
    </row>
    <row r="149" spans="1:6">
      <c r="A149" s="272">
        <v>1</v>
      </c>
      <c r="B149" s="229" t="s">
        <v>417</v>
      </c>
      <c r="C149" s="225">
        <v>1</v>
      </c>
      <c r="D149" s="229">
        <v>220000</v>
      </c>
      <c r="E149" s="255">
        <f>C149*D149</f>
        <v>220000</v>
      </c>
      <c r="F149" s="428"/>
    </row>
    <row r="150" spans="1:6">
      <c r="B150" s="141" t="s">
        <v>418</v>
      </c>
      <c r="C150" s="141">
        <v>1</v>
      </c>
      <c r="D150" s="229">
        <v>220000</v>
      </c>
      <c r="E150" s="255">
        <f>C150*D150</f>
        <v>220000</v>
      </c>
      <c r="F150" s="428"/>
    </row>
    <row r="151" spans="1:6">
      <c r="B151" s="141" t="s">
        <v>419</v>
      </c>
      <c r="C151" s="141">
        <v>1</v>
      </c>
      <c r="D151" s="229">
        <v>220000</v>
      </c>
      <c r="E151" s="255">
        <f>C151*D151</f>
        <v>220000</v>
      </c>
      <c r="F151" s="428"/>
    </row>
    <row r="152" spans="1:6">
      <c r="F152" s="428"/>
    </row>
    <row r="153" spans="1:6">
      <c r="A153" s="238" t="s">
        <v>420</v>
      </c>
      <c r="B153" s="62"/>
      <c r="C153" s="63"/>
      <c r="D153" s="62"/>
      <c r="E153" s="62"/>
      <c r="F153" s="428"/>
    </row>
    <row r="154" spans="1:6" ht="28.5" customHeight="1">
      <c r="A154" s="210" t="s">
        <v>415</v>
      </c>
      <c r="B154" s="209" t="s">
        <v>279</v>
      </c>
      <c r="C154" s="210" t="s">
        <v>165</v>
      </c>
      <c r="D154" s="209" t="s">
        <v>334</v>
      </c>
      <c r="E154" s="209" t="s">
        <v>281</v>
      </c>
      <c r="F154" s="428"/>
    </row>
    <row r="155" spans="1:6" ht="30">
      <c r="A155" s="217">
        <v>2</v>
      </c>
      <c r="B155" s="217" t="s">
        <v>421</v>
      </c>
      <c r="C155" s="92"/>
      <c r="D155" s="61"/>
      <c r="E155" s="95"/>
      <c r="F155" s="428"/>
    </row>
    <row r="156" spans="1:6">
      <c r="A156" s="93"/>
      <c r="B156" s="58"/>
      <c r="C156" s="96"/>
      <c r="D156" s="58"/>
      <c r="E156" s="64"/>
      <c r="F156" s="428"/>
    </row>
    <row r="157" spans="1:6">
      <c r="A157" s="273" t="s">
        <v>422</v>
      </c>
      <c r="B157" s="232" t="s">
        <v>423</v>
      </c>
      <c r="C157" s="272">
        <v>50</v>
      </c>
      <c r="D157" s="232">
        <v>100</v>
      </c>
      <c r="E157" s="255">
        <f>C157*D157</f>
        <v>5000</v>
      </c>
      <c r="F157" s="428"/>
    </row>
    <row r="158" spans="1:6">
      <c r="A158" s="273" t="s">
        <v>422</v>
      </c>
      <c r="B158" s="233" t="s">
        <v>424</v>
      </c>
      <c r="C158" s="272">
        <v>2</v>
      </c>
      <c r="D158" s="232">
        <v>12000</v>
      </c>
      <c r="E158" s="255">
        <f>D158*C158</f>
        <v>24000</v>
      </c>
      <c r="F158" s="428"/>
    </row>
    <row r="159" spans="1:6">
      <c r="A159" s="93"/>
      <c r="B159" s="59"/>
      <c r="C159" s="96"/>
      <c r="D159" s="58"/>
      <c r="E159" s="64"/>
      <c r="F159" s="428"/>
    </row>
    <row r="160" spans="1:6">
      <c r="A160" s="274" t="s">
        <v>425</v>
      </c>
      <c r="B160" s="122"/>
      <c r="C160" s="123"/>
      <c r="D160" s="122"/>
      <c r="E160" s="122"/>
      <c r="F160" s="427"/>
    </row>
    <row r="161" spans="1:6" ht="28.5" customHeight="1">
      <c r="A161" s="210" t="s">
        <v>415</v>
      </c>
      <c r="B161" s="209" t="s">
        <v>279</v>
      </c>
      <c r="C161" s="56"/>
      <c r="D161" s="55"/>
      <c r="E161" s="209" t="s">
        <v>277</v>
      </c>
      <c r="F161" s="427"/>
    </row>
    <row r="162" spans="1:6">
      <c r="A162" s="126"/>
      <c r="B162" s="232" t="s">
        <v>425</v>
      </c>
      <c r="C162" s="234">
        <v>7</v>
      </c>
      <c r="D162" s="268">
        <v>160000</v>
      </c>
      <c r="E162" s="255">
        <f>C162*D162</f>
        <v>1120000</v>
      </c>
      <c r="F162" s="454"/>
    </row>
  </sheetData>
  <pageMargins left="0.7" right="0.7" top="0.75" bottom="0.75" header="0.3" footer="0.3"/>
  <pageSetup orientation="portrait" horizontalDpi="1200" verticalDpi="1200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showGridLines="0" workbookViewId="0">
      <selection activeCell="H146" sqref="H146"/>
    </sheetView>
  </sheetViews>
  <sheetFormatPr defaultColWidth="9" defaultRowHeight="14.25"/>
  <cols>
    <col min="1" max="1" width="21.28515625" style="135" customWidth="1"/>
    <col min="2" max="2" width="59.7109375" style="135" customWidth="1"/>
    <col min="3" max="3" width="10.7109375" style="135" customWidth="1"/>
    <col min="4" max="4" width="15" style="135" customWidth="1"/>
    <col min="5" max="5" width="57.5703125" style="135" customWidth="1"/>
    <col min="6" max="6" width="9" style="135" customWidth="1"/>
    <col min="7" max="16384" width="9" style="135"/>
  </cols>
  <sheetData>
    <row r="1" spans="1:5" ht="13.9" customHeight="1">
      <c r="A1" s="137" t="s">
        <v>427</v>
      </c>
      <c r="B1" s="137" t="s">
        <v>428</v>
      </c>
      <c r="C1" s="137" t="s">
        <v>41</v>
      </c>
      <c r="D1" s="137" t="s">
        <v>165</v>
      </c>
      <c r="E1" s="137" t="s">
        <v>429</v>
      </c>
    </row>
    <row r="2" spans="1:5" ht="14.25" customHeight="1">
      <c r="A2" s="136" t="s">
        <v>430</v>
      </c>
      <c r="B2" s="136" t="s">
        <v>175</v>
      </c>
      <c r="C2" s="136" t="s">
        <v>431</v>
      </c>
      <c r="D2" s="136">
        <v>1</v>
      </c>
      <c r="E2" s="136" t="s">
        <v>432</v>
      </c>
    </row>
    <row r="3" spans="1:5" ht="14.25" customHeight="1">
      <c r="A3" s="136" t="s">
        <v>433</v>
      </c>
      <c r="B3" s="136" t="s">
        <v>434</v>
      </c>
      <c r="C3" s="136" t="s">
        <v>435</v>
      </c>
      <c r="D3" s="136">
        <v>8073</v>
      </c>
      <c r="E3" s="136" t="s">
        <v>436</v>
      </c>
    </row>
    <row r="4" spans="1:5" ht="14.25" customHeight="1">
      <c r="A4" s="136" t="s">
        <v>433</v>
      </c>
      <c r="B4" s="136" t="s">
        <v>437</v>
      </c>
      <c r="C4" s="136" t="s">
        <v>435</v>
      </c>
      <c r="D4" s="136">
        <v>8072</v>
      </c>
      <c r="E4" s="136" t="s">
        <v>438</v>
      </c>
    </row>
    <row r="5" spans="1:5" ht="14.25" customHeight="1">
      <c r="A5" s="136" t="s">
        <v>433</v>
      </c>
      <c r="B5" s="136" t="s">
        <v>439</v>
      </c>
      <c r="C5" s="136" t="s">
        <v>435</v>
      </c>
      <c r="D5" s="136">
        <v>16145</v>
      </c>
      <c r="E5" s="136" t="s">
        <v>440</v>
      </c>
    </row>
    <row r="6" spans="1:5" ht="14.25" customHeight="1">
      <c r="A6" s="136" t="s">
        <v>433</v>
      </c>
      <c r="B6" s="136" t="s">
        <v>441</v>
      </c>
      <c r="C6" s="136" t="s">
        <v>435</v>
      </c>
      <c r="D6" s="136">
        <v>19787.330000000002</v>
      </c>
      <c r="E6" s="136" t="s">
        <v>442</v>
      </c>
    </row>
    <row r="7" spans="1:5" ht="14.25" customHeight="1">
      <c r="A7" s="136" t="s">
        <v>433</v>
      </c>
      <c r="B7" s="136" t="s">
        <v>443</v>
      </c>
      <c r="C7" s="136" t="s">
        <v>435</v>
      </c>
      <c r="D7" s="136">
        <v>19093.97</v>
      </c>
      <c r="E7" s="136" t="s">
        <v>442</v>
      </c>
    </row>
    <row r="8" spans="1:5" ht="14.25" customHeight="1">
      <c r="A8" s="136" t="s">
        <v>444</v>
      </c>
      <c r="B8" s="136" t="s">
        <v>445</v>
      </c>
      <c r="C8" s="136" t="s">
        <v>435</v>
      </c>
      <c r="D8" s="136">
        <v>2864</v>
      </c>
      <c r="E8" s="136" t="s">
        <v>446</v>
      </c>
    </row>
    <row r="9" spans="1:5" ht="14.25" customHeight="1">
      <c r="A9" s="136" t="s">
        <v>447</v>
      </c>
      <c r="B9" s="136" t="s">
        <v>448</v>
      </c>
      <c r="C9" s="136" t="s">
        <v>435</v>
      </c>
      <c r="D9" s="136">
        <v>223.2</v>
      </c>
      <c r="E9" s="136" t="s">
        <v>449</v>
      </c>
    </row>
    <row r="10" spans="1:5" ht="14.25" customHeight="1">
      <c r="A10" s="136" t="s">
        <v>450</v>
      </c>
      <c r="B10" s="136" t="s">
        <v>451</v>
      </c>
      <c r="C10" s="136" t="s">
        <v>205</v>
      </c>
      <c r="D10" s="136">
        <v>90</v>
      </c>
      <c r="E10" s="136" t="s">
        <v>452</v>
      </c>
    </row>
    <row r="11" spans="1:5" ht="14.25" customHeight="1">
      <c r="A11" s="136" t="s">
        <v>453</v>
      </c>
      <c r="B11" s="136" t="s">
        <v>255</v>
      </c>
      <c r="C11" s="136" t="s">
        <v>435</v>
      </c>
      <c r="D11" s="136">
        <v>1728</v>
      </c>
      <c r="E11" s="136" t="s">
        <v>454</v>
      </c>
    </row>
    <row r="12" spans="1:5" ht="14.25" customHeight="1">
      <c r="A12" s="136" t="s">
        <v>453</v>
      </c>
      <c r="B12" s="136" t="s">
        <v>256</v>
      </c>
      <c r="C12" s="136" t="s">
        <v>205</v>
      </c>
      <c r="D12" s="136">
        <v>96</v>
      </c>
      <c r="E12" s="136" t="s">
        <v>455</v>
      </c>
    </row>
    <row r="13" spans="1:5" ht="14.25" customHeight="1">
      <c r="A13" s="136" t="s">
        <v>453</v>
      </c>
      <c r="B13" s="136" t="s">
        <v>258</v>
      </c>
      <c r="C13" s="136" t="s">
        <v>205</v>
      </c>
      <c r="D13" s="136">
        <v>96</v>
      </c>
      <c r="E13" s="136" t="s">
        <v>455</v>
      </c>
    </row>
    <row r="14" spans="1:5" ht="14.25" customHeight="1">
      <c r="A14" s="136" t="s">
        <v>453</v>
      </c>
      <c r="B14" s="136" t="s">
        <v>456</v>
      </c>
      <c r="C14" s="136" t="s">
        <v>191</v>
      </c>
      <c r="D14" s="136">
        <v>652.04</v>
      </c>
      <c r="E14" s="136" t="s">
        <v>457</v>
      </c>
    </row>
    <row r="15" spans="1:5" ht="14.25" customHeight="1">
      <c r="A15" s="136" t="s">
        <v>453</v>
      </c>
      <c r="B15" s="136" t="s">
        <v>264</v>
      </c>
      <c r="C15" s="136" t="s">
        <v>205</v>
      </c>
      <c r="D15" s="136">
        <v>96</v>
      </c>
      <c r="E15" s="136" t="s">
        <v>458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B250-5811-4A3D-80AA-7C42A33CDB6B}">
  <sheetPr>
    <tabColor rgb="FF00B050"/>
  </sheetPr>
  <dimension ref="A1:D5"/>
  <sheetViews>
    <sheetView workbookViewId="0">
      <selection activeCell="C5" sqref="C5"/>
    </sheetView>
  </sheetViews>
  <sheetFormatPr defaultRowHeight="15"/>
  <cols>
    <col min="1" max="1" width="6.7109375" customWidth="1"/>
    <col min="2" max="2" width="72.42578125" customWidth="1"/>
    <col min="3" max="4" width="38.140625" customWidth="1"/>
  </cols>
  <sheetData>
    <row r="1" spans="1:4" s="429" customFormat="1" ht="18.75">
      <c r="B1" s="443" t="str">
        <f>HYPERLINK("#'FIN_PnL_Финальный'!A39","Финансовые расходы (проценты, БГ)")</f>
        <v>Финансовые расходы (проценты, БГ)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30">
        <v>1</v>
      </c>
      <c r="B4" t="s">
        <v>1066</v>
      </c>
      <c r="C4" s="431">
        <f>FIN_PnL_Финальный!$B$5*(1+FIN_0_Параметры!$B$10)*0.3*0.05*9/12</f>
        <v>5624135.9896499999</v>
      </c>
      <c r="D4" s="444">
        <f>C4</f>
        <v>5624135.9896499999</v>
      </c>
    </row>
    <row r="5" spans="1:4">
      <c r="A5" s="432"/>
      <c r="B5" s="402" t="s">
        <v>1067</v>
      </c>
      <c r="C5" s="408">
        <f>SUM(C4:C4)</f>
        <v>5624135.9896499999</v>
      </c>
      <c r="D5" s="408">
        <f>SUM(D4:D4)</f>
        <v>5624135.9896499999</v>
      </c>
    </row>
  </sheetData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38B9-3A3B-4BDB-9B5D-B7780AF31A60}">
  <sheetPr>
    <tabColor rgb="FFFFC000"/>
  </sheetPr>
  <dimension ref="B1:L52"/>
  <sheetViews>
    <sheetView workbookViewId="0">
      <pane ySplit="3" topLeftCell="A28" activePane="bottomLeft" state="frozen"/>
      <selection pane="bottomLeft" activeCell="C43" sqref="C43"/>
    </sheetView>
  </sheetViews>
  <sheetFormatPr defaultRowHeight="15"/>
  <cols>
    <col min="1" max="1" width="6.7109375" customWidth="1"/>
    <col min="2" max="2" width="53.28515625" customWidth="1"/>
    <col min="3" max="3" width="15.85546875" style="471" customWidth="1"/>
    <col min="4" max="12" width="22.85546875" customWidth="1"/>
  </cols>
  <sheetData>
    <row r="1" spans="2:12" s="429" customFormat="1" ht="18.75">
      <c r="B1" s="411" t="s">
        <v>1070</v>
      </c>
      <c r="C1" s="469"/>
    </row>
    <row r="3" spans="2:12">
      <c r="B3" s="387" t="s">
        <v>857</v>
      </c>
      <c r="C3" s="470" t="s">
        <v>967</v>
      </c>
      <c r="D3" s="464">
        <f>FIN_2_Календарь!B3</f>
        <v>46204</v>
      </c>
      <c r="E3" s="464">
        <f>FIN_2_Календарь!C3</f>
        <v>46235</v>
      </c>
      <c r="F3" s="464">
        <f>FIN_2_Календарь!D3</f>
        <v>46266</v>
      </c>
      <c r="G3" s="464">
        <f>FIN_2_Календарь!E3</f>
        <v>46296</v>
      </c>
      <c r="H3" s="464">
        <f>FIN_2_Календарь!F3</f>
        <v>46327</v>
      </c>
      <c r="I3" s="464">
        <f>FIN_2_Календарь!G3</f>
        <v>46357</v>
      </c>
      <c r="J3" s="464">
        <f>FIN_2_Календарь!H3</f>
        <v>46388</v>
      </c>
      <c r="K3" s="464">
        <f>FIN_2_Календарь!I3</f>
        <v>46419</v>
      </c>
      <c r="L3" s="464">
        <f>FIN_2_Календарь!J3</f>
        <v>46447</v>
      </c>
    </row>
    <row r="5" spans="2:12" ht="15.75">
      <c r="B5" s="465" t="s">
        <v>964</v>
      </c>
    </row>
    <row r="6" spans="2:12">
      <c r="B6" s="110" t="s">
        <v>1071</v>
      </c>
      <c r="C6" s="472">
        <f>FIN_PnL_Финальный!B5</f>
        <v>409773114</v>
      </c>
      <c r="D6" s="450">
        <f>$C6/9</f>
        <v>45530346</v>
      </c>
      <c r="E6" s="450">
        <f t="shared" ref="E6:L7" si="0">$C6/9</f>
        <v>45530346</v>
      </c>
      <c r="F6" s="450">
        <f t="shared" si="0"/>
        <v>45530346</v>
      </c>
      <c r="G6" s="450">
        <f t="shared" si="0"/>
        <v>45530346</v>
      </c>
      <c r="H6" s="450">
        <f t="shared" si="0"/>
        <v>45530346</v>
      </c>
      <c r="I6" s="450">
        <f t="shared" si="0"/>
        <v>45530346</v>
      </c>
      <c r="J6" s="450">
        <f t="shared" si="0"/>
        <v>45530346</v>
      </c>
      <c r="K6" s="450">
        <f t="shared" si="0"/>
        <v>45530346</v>
      </c>
      <c r="L6" s="450">
        <f t="shared" si="0"/>
        <v>45530346</v>
      </c>
    </row>
    <row r="7" spans="2:12">
      <c r="B7" t="s">
        <v>968</v>
      </c>
      <c r="C7" s="473">
        <f>FIN_PnL_Финальный!B6</f>
        <v>0</v>
      </c>
      <c r="D7" s="392">
        <f>$C7/9</f>
        <v>0</v>
      </c>
      <c r="E7" s="392">
        <f t="shared" si="0"/>
        <v>0</v>
      </c>
      <c r="F7" s="392">
        <f t="shared" si="0"/>
        <v>0</v>
      </c>
      <c r="G7" s="392">
        <f t="shared" si="0"/>
        <v>0</v>
      </c>
      <c r="H7" s="392">
        <f t="shared" si="0"/>
        <v>0</v>
      </c>
      <c r="I7" s="392">
        <f t="shared" si="0"/>
        <v>0</v>
      </c>
      <c r="J7" s="392">
        <f t="shared" si="0"/>
        <v>0</v>
      </c>
      <c r="K7" s="392">
        <f t="shared" si="0"/>
        <v>0</v>
      </c>
      <c r="L7" s="392">
        <f t="shared" si="0"/>
        <v>0</v>
      </c>
    </row>
    <row r="8" spans="2:12">
      <c r="B8" s="402" t="s">
        <v>969</v>
      </c>
      <c r="C8" s="474">
        <f>SUM(C6:C7)</f>
        <v>409773114</v>
      </c>
      <c r="D8" s="408">
        <f>SUM(D6:D7)</f>
        <v>45530346</v>
      </c>
      <c r="E8" s="408">
        <f t="shared" ref="E8:L8" si="1">SUM(E6:E7)</f>
        <v>45530346</v>
      </c>
      <c r="F8" s="408">
        <f t="shared" si="1"/>
        <v>45530346</v>
      </c>
      <c r="G8" s="408">
        <f t="shared" si="1"/>
        <v>45530346</v>
      </c>
      <c r="H8" s="408">
        <f t="shared" si="1"/>
        <v>45530346</v>
      </c>
      <c r="I8" s="408">
        <f t="shared" si="1"/>
        <v>45530346</v>
      </c>
      <c r="J8" s="408">
        <f t="shared" si="1"/>
        <v>45530346</v>
      </c>
      <c r="K8" s="408">
        <f t="shared" si="1"/>
        <v>45530346</v>
      </c>
      <c r="L8" s="408">
        <f t="shared" si="1"/>
        <v>45530346</v>
      </c>
    </row>
    <row r="9" spans="2:12">
      <c r="B9" t="s">
        <v>971</v>
      </c>
      <c r="C9" s="473">
        <f>FIN_PnL_Финальный!B9</f>
        <v>172734475.05659014</v>
      </c>
      <c r="D9" s="392">
        <f>$C9/9</f>
        <v>19192719.450732239</v>
      </c>
      <c r="E9" s="392">
        <f t="shared" ref="E9:L14" si="2">$C9/9</f>
        <v>19192719.450732239</v>
      </c>
      <c r="F9" s="392">
        <f t="shared" si="2"/>
        <v>19192719.450732239</v>
      </c>
      <c r="G9" s="392">
        <f t="shared" si="2"/>
        <v>19192719.450732239</v>
      </c>
      <c r="H9" s="392">
        <f t="shared" si="2"/>
        <v>19192719.450732239</v>
      </c>
      <c r="I9" s="392">
        <f t="shared" si="2"/>
        <v>19192719.450732239</v>
      </c>
      <c r="J9" s="392">
        <f t="shared" si="2"/>
        <v>19192719.450732239</v>
      </c>
      <c r="K9" s="392">
        <f t="shared" si="2"/>
        <v>19192719.450732239</v>
      </c>
      <c r="L9" s="392">
        <f t="shared" si="2"/>
        <v>19192719.450732239</v>
      </c>
    </row>
    <row r="10" spans="2:12">
      <c r="B10" t="s">
        <v>973</v>
      </c>
      <c r="C10" s="473">
        <f>FIN_PnL_Финальный!B11</f>
        <v>85378816.965827867</v>
      </c>
      <c r="D10" s="392">
        <f>$C10/9</f>
        <v>9486535.2184253186</v>
      </c>
      <c r="E10" s="392">
        <f t="shared" si="2"/>
        <v>9486535.2184253186</v>
      </c>
      <c r="F10" s="392">
        <f t="shared" si="2"/>
        <v>9486535.2184253186</v>
      </c>
      <c r="G10" s="392">
        <f t="shared" si="2"/>
        <v>9486535.2184253186</v>
      </c>
      <c r="H10" s="392">
        <f t="shared" si="2"/>
        <v>9486535.2184253186</v>
      </c>
      <c r="I10" s="392">
        <f t="shared" si="2"/>
        <v>9486535.2184253186</v>
      </c>
      <c r="J10" s="392">
        <f t="shared" si="2"/>
        <v>9486535.2184253186</v>
      </c>
      <c r="K10" s="392">
        <f t="shared" si="2"/>
        <v>9486535.2184253186</v>
      </c>
      <c r="L10" s="392">
        <f t="shared" si="2"/>
        <v>9486535.2184253186</v>
      </c>
    </row>
    <row r="11" spans="2:12">
      <c r="B11" t="s">
        <v>975</v>
      </c>
      <c r="C11" s="473">
        <f>FIN_PnL_Финальный!B13</f>
        <v>635573.7704918033</v>
      </c>
      <c r="D11" s="392">
        <f>$C11/9</f>
        <v>70619.307832422593</v>
      </c>
      <c r="E11" s="392">
        <f t="shared" si="2"/>
        <v>70619.307832422593</v>
      </c>
      <c r="F11" s="392">
        <f t="shared" si="2"/>
        <v>70619.307832422593</v>
      </c>
      <c r="G11" s="392">
        <f t="shared" si="2"/>
        <v>70619.307832422593</v>
      </c>
      <c r="H11" s="392">
        <f t="shared" si="2"/>
        <v>70619.307832422593</v>
      </c>
      <c r="I11" s="392">
        <f t="shared" si="2"/>
        <v>70619.307832422593</v>
      </c>
      <c r="J11" s="392">
        <f t="shared" si="2"/>
        <v>70619.307832422593</v>
      </c>
      <c r="K11" s="392">
        <f t="shared" si="2"/>
        <v>70619.307832422593</v>
      </c>
      <c r="L11" s="392">
        <f t="shared" si="2"/>
        <v>70619.307832422593</v>
      </c>
    </row>
    <row r="12" spans="2:12">
      <c r="B12" t="s">
        <v>1072</v>
      </c>
      <c r="C12" s="473">
        <f>FIN_PnL_Финальный!B14</f>
        <v>6750000</v>
      </c>
      <c r="D12" s="392">
        <f>$C12/9</f>
        <v>750000</v>
      </c>
      <c r="E12" s="392">
        <f t="shared" si="2"/>
        <v>750000</v>
      </c>
      <c r="F12" s="392">
        <f t="shared" si="2"/>
        <v>750000</v>
      </c>
      <c r="G12" s="392">
        <f t="shared" si="2"/>
        <v>750000</v>
      </c>
      <c r="H12" s="392">
        <f t="shared" si="2"/>
        <v>750000</v>
      </c>
      <c r="I12" s="392">
        <f t="shared" si="2"/>
        <v>750000</v>
      </c>
      <c r="J12" s="392">
        <f t="shared" si="2"/>
        <v>750000</v>
      </c>
      <c r="K12" s="392">
        <f t="shared" si="2"/>
        <v>750000</v>
      </c>
      <c r="L12" s="392">
        <f t="shared" si="2"/>
        <v>750000</v>
      </c>
    </row>
    <row r="13" spans="2:12">
      <c r="B13" t="s">
        <v>977</v>
      </c>
      <c r="C13" s="473">
        <f>FIN_PnL_Финальный!B15</f>
        <v>8889517.2413793094</v>
      </c>
      <c r="D13" s="392">
        <f>$C13/9</f>
        <v>987724.13793103443</v>
      </c>
      <c r="E13" s="392">
        <f t="shared" si="2"/>
        <v>987724.13793103443</v>
      </c>
      <c r="F13" s="392">
        <f t="shared" si="2"/>
        <v>987724.13793103443</v>
      </c>
      <c r="G13" s="392">
        <f t="shared" si="2"/>
        <v>987724.13793103443</v>
      </c>
      <c r="H13" s="392">
        <f t="shared" si="2"/>
        <v>987724.13793103443</v>
      </c>
      <c r="I13" s="392">
        <f t="shared" si="2"/>
        <v>987724.13793103443</v>
      </c>
      <c r="J13" s="392">
        <f t="shared" si="2"/>
        <v>987724.13793103443</v>
      </c>
      <c r="K13" s="392">
        <f t="shared" si="2"/>
        <v>987724.13793103443</v>
      </c>
      <c r="L13" s="392">
        <f t="shared" si="2"/>
        <v>987724.13793103443</v>
      </c>
    </row>
    <row r="14" spans="2:12">
      <c r="B14" t="s">
        <v>1073</v>
      </c>
      <c r="C14" s="473">
        <f>FIN_PnL_Финальный!B16</f>
        <v>10508196.721311476</v>
      </c>
      <c r="D14" s="392">
        <f>$C14/9</f>
        <v>1167577.4134790529</v>
      </c>
      <c r="E14" s="392">
        <f t="shared" si="2"/>
        <v>1167577.4134790529</v>
      </c>
      <c r="F14" s="392">
        <f t="shared" si="2"/>
        <v>1167577.4134790529</v>
      </c>
      <c r="G14" s="392">
        <f t="shared" si="2"/>
        <v>1167577.4134790529</v>
      </c>
      <c r="H14" s="392">
        <f t="shared" si="2"/>
        <v>1167577.4134790529</v>
      </c>
      <c r="I14" s="392">
        <f t="shared" si="2"/>
        <v>1167577.4134790529</v>
      </c>
      <c r="J14" s="392">
        <f t="shared" si="2"/>
        <v>1167577.4134790529</v>
      </c>
      <c r="K14" s="392">
        <f t="shared" si="2"/>
        <v>1167577.4134790529</v>
      </c>
      <c r="L14" s="392">
        <f t="shared" si="2"/>
        <v>1167577.4134790529</v>
      </c>
    </row>
    <row r="15" spans="2:12">
      <c r="B15" t="s">
        <v>1003</v>
      </c>
      <c r="C15" s="473">
        <f>FIN_PnL_Финальный!B17</f>
        <v>11009299.18032787</v>
      </c>
      <c r="D15" s="392">
        <f>IF(D$3=$D$3,$C15,0)</f>
        <v>11009299.18032787</v>
      </c>
      <c r="E15" s="392">
        <f t="shared" ref="E15:L15" si="3">IF(E$3=$D$3,$C15,0)</f>
        <v>0</v>
      </c>
      <c r="F15" s="392">
        <f t="shared" si="3"/>
        <v>0</v>
      </c>
      <c r="G15" s="392">
        <f t="shared" si="3"/>
        <v>0</v>
      </c>
      <c r="H15" s="392">
        <f t="shared" si="3"/>
        <v>0</v>
      </c>
      <c r="I15" s="392">
        <f t="shared" si="3"/>
        <v>0</v>
      </c>
      <c r="J15" s="392">
        <f t="shared" si="3"/>
        <v>0</v>
      </c>
      <c r="K15" s="392">
        <f t="shared" si="3"/>
        <v>0</v>
      </c>
      <c r="L15" s="392">
        <f t="shared" si="3"/>
        <v>0</v>
      </c>
    </row>
    <row r="16" spans="2:12">
      <c r="B16" s="402" t="s">
        <v>1074</v>
      </c>
      <c r="C16" s="474">
        <f>SUM(C9:C15)</f>
        <v>295905878.93592846</v>
      </c>
      <c r="D16" s="408">
        <f>SUM(D9:D15)</f>
        <v>42664474.708727941</v>
      </c>
      <c r="E16" s="408">
        <f t="shared" ref="E16:L16" si="4">SUM(E9:E15)</f>
        <v>31655175.528400067</v>
      </c>
      <c r="F16" s="408">
        <f t="shared" si="4"/>
        <v>31655175.528400067</v>
      </c>
      <c r="G16" s="408">
        <f t="shared" si="4"/>
        <v>31655175.528400067</v>
      </c>
      <c r="H16" s="408">
        <f t="shared" si="4"/>
        <v>31655175.528400067</v>
      </c>
      <c r="I16" s="408">
        <f t="shared" si="4"/>
        <v>31655175.528400067</v>
      </c>
      <c r="J16" s="408">
        <f t="shared" si="4"/>
        <v>31655175.528400067</v>
      </c>
      <c r="K16" s="408">
        <f t="shared" si="4"/>
        <v>31655175.528400067</v>
      </c>
      <c r="L16" s="408">
        <f t="shared" si="4"/>
        <v>31655175.528400067</v>
      </c>
    </row>
    <row r="17" spans="2:12">
      <c r="B17" s="402" t="s">
        <v>979</v>
      </c>
      <c r="C17" s="474">
        <f>C8-C16</f>
        <v>113867235.06407154</v>
      </c>
      <c r="D17" s="408">
        <f>D8-D16</f>
        <v>2865871.2912720591</v>
      </c>
      <c r="E17" s="408">
        <f t="shared" ref="E17:L17" si="5">E8-E16</f>
        <v>13875170.471599933</v>
      </c>
      <c r="F17" s="408">
        <f t="shared" si="5"/>
        <v>13875170.471599933</v>
      </c>
      <c r="G17" s="408">
        <f t="shared" si="5"/>
        <v>13875170.471599933</v>
      </c>
      <c r="H17" s="408">
        <f t="shared" si="5"/>
        <v>13875170.471599933</v>
      </c>
      <c r="I17" s="408">
        <f t="shared" si="5"/>
        <v>13875170.471599933</v>
      </c>
      <c r="J17" s="408">
        <f t="shared" si="5"/>
        <v>13875170.471599933</v>
      </c>
      <c r="K17" s="408">
        <f t="shared" si="5"/>
        <v>13875170.471599933</v>
      </c>
      <c r="L17" s="408">
        <f t="shared" si="5"/>
        <v>13875170.471599933</v>
      </c>
    </row>
    <row r="19" spans="2:12">
      <c r="B19" t="s">
        <v>982</v>
      </c>
      <c r="C19" s="473">
        <f>FIN_PnL_Финальный!B22</f>
        <v>23476406.896551728</v>
      </c>
      <c r="D19" s="392">
        <f>$C19/9</f>
        <v>2608489.6551724141</v>
      </c>
      <c r="E19" s="392">
        <f t="shared" ref="E19:L23" si="6">$C19/9</f>
        <v>2608489.6551724141</v>
      </c>
      <c r="F19" s="392">
        <f t="shared" si="6"/>
        <v>2608489.6551724141</v>
      </c>
      <c r="G19" s="392">
        <f t="shared" si="6"/>
        <v>2608489.6551724141</v>
      </c>
      <c r="H19" s="392">
        <f t="shared" si="6"/>
        <v>2608489.6551724141</v>
      </c>
      <c r="I19" s="392">
        <f t="shared" si="6"/>
        <v>2608489.6551724141</v>
      </c>
      <c r="J19" s="392">
        <f t="shared" si="6"/>
        <v>2608489.6551724141</v>
      </c>
      <c r="K19" s="392">
        <f t="shared" si="6"/>
        <v>2608489.6551724141</v>
      </c>
      <c r="L19" s="392">
        <f t="shared" si="6"/>
        <v>2608489.6551724141</v>
      </c>
    </row>
    <row r="20" spans="2:12">
      <c r="B20" t="s">
        <v>1075</v>
      </c>
      <c r="C20" s="473">
        <f>FIN_PnL_Финальный!B23</f>
        <v>0</v>
      </c>
      <c r="D20" s="392">
        <f>$C20/9</f>
        <v>0</v>
      </c>
      <c r="E20" s="392">
        <f t="shared" si="6"/>
        <v>0</v>
      </c>
      <c r="F20" s="392">
        <f t="shared" si="6"/>
        <v>0</v>
      </c>
      <c r="G20" s="392">
        <f t="shared" si="6"/>
        <v>0</v>
      </c>
      <c r="H20" s="392">
        <f t="shared" si="6"/>
        <v>0</v>
      </c>
      <c r="I20" s="392">
        <f t="shared" si="6"/>
        <v>0</v>
      </c>
      <c r="J20" s="392">
        <f t="shared" si="6"/>
        <v>0</v>
      </c>
      <c r="K20" s="392">
        <f t="shared" si="6"/>
        <v>0</v>
      </c>
      <c r="L20" s="392">
        <f t="shared" si="6"/>
        <v>0</v>
      </c>
    </row>
    <row r="21" spans="2:12">
      <c r="B21" t="s">
        <v>1076</v>
      </c>
      <c r="C21" s="473">
        <f>FIN_PnL_Финальный!B24</f>
        <v>922131.14754098363</v>
      </c>
      <c r="D21" s="392">
        <f>$C21/9</f>
        <v>102459.01639344262</v>
      </c>
      <c r="E21" s="392">
        <f t="shared" si="6"/>
        <v>102459.01639344262</v>
      </c>
      <c r="F21" s="392">
        <f t="shared" si="6"/>
        <v>102459.01639344262</v>
      </c>
      <c r="G21" s="392">
        <f t="shared" si="6"/>
        <v>102459.01639344262</v>
      </c>
      <c r="H21" s="392">
        <f t="shared" si="6"/>
        <v>102459.01639344262</v>
      </c>
      <c r="I21" s="392">
        <f t="shared" si="6"/>
        <v>102459.01639344262</v>
      </c>
      <c r="J21" s="392">
        <f t="shared" si="6"/>
        <v>102459.01639344262</v>
      </c>
      <c r="K21" s="392">
        <f t="shared" si="6"/>
        <v>102459.01639344262</v>
      </c>
      <c r="L21" s="392">
        <f t="shared" si="6"/>
        <v>102459.01639344262</v>
      </c>
    </row>
    <row r="22" spans="2:12">
      <c r="B22" t="s">
        <v>501</v>
      </c>
      <c r="C22" s="473">
        <f>FIN_PnL_Финальный!B25</f>
        <v>2409344.2622950817</v>
      </c>
      <c r="D22" s="392">
        <f>$C22/9</f>
        <v>267704.91803278687</v>
      </c>
      <c r="E22" s="392">
        <f t="shared" si="6"/>
        <v>267704.91803278687</v>
      </c>
      <c r="F22" s="392">
        <f t="shared" si="6"/>
        <v>267704.91803278687</v>
      </c>
      <c r="G22" s="392">
        <f t="shared" si="6"/>
        <v>267704.91803278687</v>
      </c>
      <c r="H22" s="392">
        <f t="shared" si="6"/>
        <v>267704.91803278687</v>
      </c>
      <c r="I22" s="392">
        <f t="shared" si="6"/>
        <v>267704.91803278687</v>
      </c>
      <c r="J22" s="392">
        <f t="shared" si="6"/>
        <v>267704.91803278687</v>
      </c>
      <c r="K22" s="392">
        <f t="shared" si="6"/>
        <v>267704.91803278687</v>
      </c>
      <c r="L22" s="392">
        <f t="shared" si="6"/>
        <v>267704.91803278687</v>
      </c>
    </row>
    <row r="23" spans="2:12">
      <c r="B23" t="s">
        <v>1077</v>
      </c>
      <c r="C23" s="473">
        <f>FIN_PnL_Финальный!B26</f>
        <v>10679918.032786885</v>
      </c>
      <c r="D23" s="392">
        <f>$C23/9</f>
        <v>1186657.5591985427</v>
      </c>
      <c r="E23" s="392">
        <f t="shared" si="6"/>
        <v>1186657.5591985427</v>
      </c>
      <c r="F23" s="392">
        <f t="shared" si="6"/>
        <v>1186657.5591985427</v>
      </c>
      <c r="G23" s="392">
        <f t="shared" si="6"/>
        <v>1186657.5591985427</v>
      </c>
      <c r="H23" s="392">
        <f t="shared" si="6"/>
        <v>1186657.5591985427</v>
      </c>
      <c r="I23" s="392">
        <f t="shared" si="6"/>
        <v>1186657.5591985427</v>
      </c>
      <c r="J23" s="392">
        <f t="shared" si="6"/>
        <v>1186657.5591985427</v>
      </c>
      <c r="K23" s="392">
        <f t="shared" si="6"/>
        <v>1186657.5591985427</v>
      </c>
      <c r="L23" s="392">
        <f t="shared" si="6"/>
        <v>1186657.5591985427</v>
      </c>
    </row>
    <row r="24" spans="2:12">
      <c r="B24" s="402" t="s">
        <v>1078</v>
      </c>
      <c r="C24" s="474">
        <f>SUM(C19:C23)</f>
        <v>37487800.33917468</v>
      </c>
      <c r="D24" s="408">
        <f>SUM(D19:D23)</f>
        <v>4165311.1487971861</v>
      </c>
      <c r="E24" s="408">
        <f t="shared" ref="E24:L24" si="7">SUM(E19:E23)</f>
        <v>4165311.1487971861</v>
      </c>
      <c r="F24" s="408">
        <f t="shared" si="7"/>
        <v>4165311.1487971861</v>
      </c>
      <c r="G24" s="408">
        <f t="shared" si="7"/>
        <v>4165311.1487971861</v>
      </c>
      <c r="H24" s="408">
        <f t="shared" si="7"/>
        <v>4165311.1487971861</v>
      </c>
      <c r="I24" s="408">
        <f t="shared" si="7"/>
        <v>4165311.1487971861</v>
      </c>
      <c r="J24" s="408">
        <f t="shared" si="7"/>
        <v>4165311.1487971861</v>
      </c>
      <c r="K24" s="408">
        <f t="shared" si="7"/>
        <v>4165311.1487971861</v>
      </c>
      <c r="L24" s="408">
        <f t="shared" si="7"/>
        <v>4165311.1487971861</v>
      </c>
    </row>
    <row r="25" spans="2:12">
      <c r="B25" t="s">
        <v>1079</v>
      </c>
      <c r="C25" s="473">
        <f>FIN_PnL_Финальный!B29+FIN_PnL_Финальный!B30</f>
        <v>12356362.012436405</v>
      </c>
      <c r="D25" s="392">
        <f>$C25/9</f>
        <v>1372929.1124929339</v>
      </c>
      <c r="E25" s="392">
        <f t="shared" ref="E25:L25" si="8">$C25/9</f>
        <v>1372929.1124929339</v>
      </c>
      <c r="F25" s="392">
        <f t="shared" si="8"/>
        <v>1372929.1124929339</v>
      </c>
      <c r="G25" s="392">
        <f t="shared" si="8"/>
        <v>1372929.1124929339</v>
      </c>
      <c r="H25" s="392">
        <f t="shared" si="8"/>
        <v>1372929.1124929339</v>
      </c>
      <c r="I25" s="392">
        <f t="shared" si="8"/>
        <v>1372929.1124929339</v>
      </c>
      <c r="J25" s="392">
        <f t="shared" si="8"/>
        <v>1372929.1124929339</v>
      </c>
      <c r="K25" s="392">
        <f t="shared" si="8"/>
        <v>1372929.1124929339</v>
      </c>
      <c r="L25" s="392">
        <f t="shared" si="8"/>
        <v>1372929.1124929339</v>
      </c>
    </row>
    <row r="26" spans="2:12">
      <c r="B26" s="402" t="s">
        <v>1080</v>
      </c>
      <c r="C26" s="474">
        <f>C25</f>
        <v>12356362.012436405</v>
      </c>
      <c r="D26" s="408">
        <f>D25</f>
        <v>1372929.1124929339</v>
      </c>
      <c r="E26" s="408">
        <f t="shared" ref="E26:L26" si="9">E25</f>
        <v>1372929.1124929339</v>
      </c>
      <c r="F26" s="408">
        <f t="shared" si="9"/>
        <v>1372929.1124929339</v>
      </c>
      <c r="G26" s="408">
        <f t="shared" si="9"/>
        <v>1372929.1124929339</v>
      </c>
      <c r="H26" s="408">
        <f t="shared" si="9"/>
        <v>1372929.1124929339</v>
      </c>
      <c r="I26" s="408">
        <f t="shared" si="9"/>
        <v>1372929.1124929339</v>
      </c>
      <c r="J26" s="408">
        <f t="shared" si="9"/>
        <v>1372929.1124929339</v>
      </c>
      <c r="K26" s="408">
        <f t="shared" si="9"/>
        <v>1372929.1124929339</v>
      </c>
      <c r="L26" s="408">
        <f t="shared" si="9"/>
        <v>1372929.1124929339</v>
      </c>
    </row>
    <row r="27" spans="2:12">
      <c r="B27" s="387" t="s">
        <v>993</v>
      </c>
      <c r="C27" s="475">
        <f>C17-C24-C26</f>
        <v>64023072.712460443</v>
      </c>
      <c r="D27" s="466">
        <f>D17-D24-D26</f>
        <v>-2672368.9700180609</v>
      </c>
      <c r="E27" s="466">
        <f t="shared" ref="E27:L27" si="10">E17-E24-E26</f>
        <v>8336930.2103098128</v>
      </c>
      <c r="F27" s="466">
        <f t="shared" si="10"/>
        <v>8336930.2103098128</v>
      </c>
      <c r="G27" s="466">
        <f t="shared" si="10"/>
        <v>8336930.2103098128</v>
      </c>
      <c r="H27" s="466">
        <f t="shared" si="10"/>
        <v>8336930.2103098128</v>
      </c>
      <c r="I27" s="466">
        <f t="shared" si="10"/>
        <v>8336930.2103098128</v>
      </c>
      <c r="J27" s="466">
        <f t="shared" si="10"/>
        <v>8336930.2103098128</v>
      </c>
      <c r="K27" s="466">
        <f t="shared" si="10"/>
        <v>8336930.2103098128</v>
      </c>
      <c r="L27" s="466">
        <f t="shared" si="10"/>
        <v>8336930.2103098128</v>
      </c>
    </row>
    <row r="29" spans="2:12">
      <c r="B29" t="s">
        <v>1081</v>
      </c>
      <c r="C29" s="473">
        <f>FIN_PnL_Финальный!B38</f>
        <v>0</v>
      </c>
      <c r="D29" s="392">
        <f>$C29/9</f>
        <v>0</v>
      </c>
      <c r="E29" s="392">
        <f t="shared" ref="E29:L30" si="11">$C29/9</f>
        <v>0</v>
      </c>
      <c r="F29" s="392">
        <f t="shared" si="11"/>
        <v>0</v>
      </c>
      <c r="G29" s="392">
        <f t="shared" si="11"/>
        <v>0</v>
      </c>
      <c r="H29" s="392">
        <f t="shared" si="11"/>
        <v>0</v>
      </c>
      <c r="I29" s="392">
        <f t="shared" si="11"/>
        <v>0</v>
      </c>
      <c r="J29" s="392">
        <f t="shared" si="11"/>
        <v>0</v>
      </c>
      <c r="K29" s="392">
        <f t="shared" si="11"/>
        <v>0</v>
      </c>
      <c r="L29" s="392">
        <f t="shared" si="11"/>
        <v>0</v>
      </c>
    </row>
    <row r="30" spans="2:12">
      <c r="B30" t="s">
        <v>1082</v>
      </c>
      <c r="C30" s="473">
        <f>FIN_PnL_Финальный!B39</f>
        <v>5624135.9896499999</v>
      </c>
      <c r="D30" s="392">
        <f>$C30/9</f>
        <v>624903.99884999997</v>
      </c>
      <c r="E30" s="392">
        <f t="shared" si="11"/>
        <v>624903.99884999997</v>
      </c>
      <c r="F30" s="392">
        <f t="shared" si="11"/>
        <v>624903.99884999997</v>
      </c>
      <c r="G30" s="392">
        <f t="shared" si="11"/>
        <v>624903.99884999997</v>
      </c>
      <c r="H30" s="392">
        <f t="shared" si="11"/>
        <v>624903.99884999997</v>
      </c>
      <c r="I30" s="392">
        <f t="shared" si="11"/>
        <v>624903.99884999997</v>
      </c>
      <c r="J30" s="392">
        <f t="shared" si="11"/>
        <v>624903.99884999997</v>
      </c>
      <c r="K30" s="392">
        <f t="shared" si="11"/>
        <v>624903.99884999997</v>
      </c>
      <c r="L30" s="392">
        <f t="shared" si="11"/>
        <v>624903.99884999997</v>
      </c>
    </row>
    <row r="31" spans="2:12">
      <c r="B31" s="402" t="s">
        <v>999</v>
      </c>
      <c r="C31" s="474">
        <f>C27+C29-C30</f>
        <v>58398936.722810447</v>
      </c>
      <c r="D31" s="408">
        <f>D27+D29-D30</f>
        <v>-3297272.968868061</v>
      </c>
      <c r="E31" s="408">
        <f t="shared" ref="E31:L31" si="12">E27+E29-E30</f>
        <v>7712026.2114598127</v>
      </c>
      <c r="F31" s="408">
        <f t="shared" si="12"/>
        <v>7712026.2114598127</v>
      </c>
      <c r="G31" s="408">
        <f t="shared" si="12"/>
        <v>7712026.2114598127</v>
      </c>
      <c r="H31" s="408">
        <f t="shared" si="12"/>
        <v>7712026.2114598127</v>
      </c>
      <c r="I31" s="408">
        <f t="shared" si="12"/>
        <v>7712026.2114598127</v>
      </c>
      <c r="J31" s="408">
        <f t="shared" si="12"/>
        <v>7712026.2114598127</v>
      </c>
      <c r="K31" s="408">
        <f t="shared" si="12"/>
        <v>7712026.2114598127</v>
      </c>
      <c r="L31" s="408">
        <f t="shared" si="12"/>
        <v>7712026.2114598127</v>
      </c>
    </row>
    <row r="32" spans="2:12">
      <c r="B32" t="s">
        <v>1000</v>
      </c>
      <c r="C32" s="476">
        <f>MAX(C31,0)*0.25</f>
        <v>14599734.180702612</v>
      </c>
      <c r="D32" s="392">
        <f>IF(D$3=$L$3,$C32,0)</f>
        <v>0</v>
      </c>
      <c r="E32" s="392">
        <f t="shared" ref="E32:L32" si="13">IF(E$3=$L$3,$C32,0)</f>
        <v>0</v>
      </c>
      <c r="F32" s="392">
        <f t="shared" si="13"/>
        <v>0</v>
      </c>
      <c r="G32" s="392">
        <f t="shared" si="13"/>
        <v>0</v>
      </c>
      <c r="H32" s="392">
        <f t="shared" si="13"/>
        <v>0</v>
      </c>
      <c r="I32" s="392">
        <f t="shared" si="13"/>
        <v>0</v>
      </c>
      <c r="J32" s="392">
        <f t="shared" si="13"/>
        <v>0</v>
      </c>
      <c r="K32" s="392">
        <f t="shared" si="13"/>
        <v>0</v>
      </c>
      <c r="L32" s="392">
        <f t="shared" si="13"/>
        <v>14599734.180702612</v>
      </c>
    </row>
    <row r="33" spans="2:12">
      <c r="B33" s="467" t="s">
        <v>1001</v>
      </c>
      <c r="C33" s="475">
        <f>C31-C32</f>
        <v>43799202.542107835</v>
      </c>
      <c r="D33" s="468">
        <f>D31-D32</f>
        <v>-3297272.968868061</v>
      </c>
      <c r="E33" s="468">
        <f t="shared" ref="E33:L33" si="14">E31-E32</f>
        <v>7712026.2114598127</v>
      </c>
      <c r="F33" s="468">
        <f t="shared" si="14"/>
        <v>7712026.2114598127</v>
      </c>
      <c r="G33" s="468">
        <f t="shared" si="14"/>
        <v>7712026.2114598127</v>
      </c>
      <c r="H33" s="468">
        <f t="shared" si="14"/>
        <v>7712026.2114598127</v>
      </c>
      <c r="I33" s="468">
        <f t="shared" si="14"/>
        <v>7712026.2114598127</v>
      </c>
      <c r="J33" s="468">
        <f t="shared" si="14"/>
        <v>7712026.2114598127</v>
      </c>
      <c r="K33" s="468">
        <f t="shared" si="14"/>
        <v>7712026.2114598127</v>
      </c>
      <c r="L33" s="468">
        <f t="shared" si="14"/>
        <v>-6887707.9692427991</v>
      </c>
    </row>
    <row r="35" spans="2:12" ht="15.75">
      <c r="B35" s="465" t="s">
        <v>1083</v>
      </c>
    </row>
    <row r="37" spans="2:12">
      <c r="B37" s="110" t="s">
        <v>1084</v>
      </c>
    </row>
    <row r="38" spans="2:12">
      <c r="B38" t="s">
        <v>1085</v>
      </c>
      <c r="C38" s="477">
        <f>FIN_PnL_Финальный!$B$5*(1+FIN_0_Параметры!$B$10)*0.3</f>
        <v>149976959.72399998</v>
      </c>
      <c r="D38" s="392">
        <f>IF(D$3=$D$3,$C38,0)</f>
        <v>149976959.72399998</v>
      </c>
      <c r="E38" s="392">
        <f t="shared" ref="E38:L38" si="15">IF(E$3=$D$3,$C38,0)</f>
        <v>0</v>
      </c>
      <c r="F38" s="392">
        <f t="shared" si="15"/>
        <v>0</v>
      </c>
      <c r="G38" s="392">
        <f t="shared" si="15"/>
        <v>0</v>
      </c>
      <c r="H38" s="392">
        <f t="shared" si="15"/>
        <v>0</v>
      </c>
      <c r="I38" s="392">
        <f t="shared" si="15"/>
        <v>0</v>
      </c>
      <c r="J38" s="392">
        <f t="shared" si="15"/>
        <v>0</v>
      </c>
      <c r="K38" s="392">
        <f t="shared" si="15"/>
        <v>0</v>
      </c>
      <c r="L38" s="392">
        <f t="shared" si="15"/>
        <v>0</v>
      </c>
    </row>
    <row r="39" spans="2:12">
      <c r="B39" t="s">
        <v>1086</v>
      </c>
      <c r="C39" s="477">
        <f>FIN_PnL_Финальный!$B$5*(1+FIN_0_Параметры!$B$10)*0.7</f>
        <v>349946239.35599995</v>
      </c>
      <c r="D39" s="392">
        <f>$C39/9</f>
        <v>38882915.483999997</v>
      </c>
      <c r="E39" s="392">
        <f t="shared" ref="E39:L39" si="16">$C39/9</f>
        <v>38882915.483999997</v>
      </c>
      <c r="F39" s="392">
        <f t="shared" si="16"/>
        <v>38882915.483999997</v>
      </c>
      <c r="G39" s="392">
        <f t="shared" si="16"/>
        <v>38882915.483999997</v>
      </c>
      <c r="H39" s="392">
        <f t="shared" si="16"/>
        <v>38882915.483999997</v>
      </c>
      <c r="I39" s="392">
        <f t="shared" si="16"/>
        <v>38882915.483999997</v>
      </c>
      <c r="J39" s="392">
        <f t="shared" si="16"/>
        <v>38882915.483999997</v>
      </c>
      <c r="K39" s="392">
        <f t="shared" si="16"/>
        <v>38882915.483999997</v>
      </c>
      <c r="L39" s="392">
        <f t="shared" si="16"/>
        <v>38882915.483999997</v>
      </c>
    </row>
    <row r="40" spans="2:12">
      <c r="B40" s="402" t="s">
        <v>878</v>
      </c>
      <c r="C40" s="474">
        <f>C38+C39</f>
        <v>499923199.07999992</v>
      </c>
      <c r="D40" s="408">
        <f>D38+D39</f>
        <v>188859875.20799997</v>
      </c>
      <c r="E40" s="408">
        <f t="shared" ref="E40:L40" si="17">E38+E39</f>
        <v>38882915.483999997</v>
      </c>
      <c r="F40" s="408">
        <f t="shared" si="17"/>
        <v>38882915.483999997</v>
      </c>
      <c r="G40" s="408">
        <f t="shared" si="17"/>
        <v>38882915.483999997</v>
      </c>
      <c r="H40" s="408">
        <f t="shared" si="17"/>
        <v>38882915.483999997</v>
      </c>
      <c r="I40" s="408">
        <f t="shared" si="17"/>
        <v>38882915.483999997</v>
      </c>
      <c r="J40" s="408">
        <f t="shared" si="17"/>
        <v>38882915.483999997</v>
      </c>
      <c r="K40" s="408">
        <f t="shared" si="17"/>
        <v>38882915.483999997</v>
      </c>
      <c r="L40" s="408">
        <f t="shared" si="17"/>
        <v>38882915.483999997</v>
      </c>
    </row>
    <row r="42" spans="2:12">
      <c r="B42" s="110" t="s">
        <v>1087</v>
      </c>
    </row>
    <row r="43" spans="2:12">
      <c r="B43" t="s">
        <v>1088</v>
      </c>
      <c r="C43" s="476">
        <f>C16*(1+FIN_0_Параметры!$B$10)</f>
        <v>361005172.30183274</v>
      </c>
      <c r="D43" s="392">
        <f>D16*(1+FIN_0_Параметры!$B$10)</f>
        <v>52050659.14464809</v>
      </c>
      <c r="E43" s="392">
        <f>E16*(1+FIN_0_Параметры!$B$10)</f>
        <v>38619314.144648083</v>
      </c>
      <c r="F43" s="392">
        <f>F16*(1+FIN_0_Параметры!$B$10)</f>
        <v>38619314.144648083</v>
      </c>
      <c r="G43" s="392">
        <f>G16*(1+FIN_0_Параметры!$B$10)</f>
        <v>38619314.144648083</v>
      </c>
      <c r="H43" s="392">
        <f>H16*(1+FIN_0_Параметры!$B$10)</f>
        <v>38619314.144648083</v>
      </c>
      <c r="I43" s="392">
        <f>I16*(1+FIN_0_Параметры!$B$10)</f>
        <v>38619314.144648083</v>
      </c>
      <c r="J43" s="392">
        <f>J16*(1+FIN_0_Параметры!$B$10)</f>
        <v>38619314.144648083</v>
      </c>
      <c r="K43" s="392">
        <f>K16*(1+FIN_0_Параметры!$B$10)</f>
        <v>38619314.144648083</v>
      </c>
      <c r="L43" s="392">
        <f>L16*(1+FIN_0_Параметры!$B$10)</f>
        <v>38619314.144648083</v>
      </c>
    </row>
    <row r="44" spans="2:12">
      <c r="B44" t="s">
        <v>1089</v>
      </c>
      <c r="C44" s="476">
        <f>C24*(1+FIN_0_Параметры!$B$10)</f>
        <v>45735116.413793109</v>
      </c>
      <c r="D44" s="392">
        <f>D24*(1+FIN_0_Параметры!$B$10)</f>
        <v>5081679.6015325673</v>
      </c>
      <c r="E44" s="392">
        <f>E24*(1+FIN_0_Параметры!$B$10)</f>
        <v>5081679.6015325673</v>
      </c>
      <c r="F44" s="392">
        <f>F24*(1+FIN_0_Параметры!$B$10)</f>
        <v>5081679.6015325673</v>
      </c>
      <c r="G44" s="392">
        <f>G24*(1+FIN_0_Параметры!$B$10)</f>
        <v>5081679.6015325673</v>
      </c>
      <c r="H44" s="392">
        <f>H24*(1+FIN_0_Параметры!$B$10)</f>
        <v>5081679.6015325673</v>
      </c>
      <c r="I44" s="392">
        <f>I24*(1+FIN_0_Параметры!$B$10)</f>
        <v>5081679.6015325673</v>
      </c>
      <c r="J44" s="392">
        <f>J24*(1+FIN_0_Параметры!$B$10)</f>
        <v>5081679.6015325673</v>
      </c>
      <c r="K44" s="392">
        <f>K24*(1+FIN_0_Параметры!$B$10)</f>
        <v>5081679.6015325673</v>
      </c>
      <c r="L44" s="392">
        <f>L24*(1+FIN_0_Параметры!$B$10)</f>
        <v>5081679.6015325673</v>
      </c>
    </row>
    <row r="45" spans="2:12">
      <c r="B45" t="s">
        <v>1090</v>
      </c>
      <c r="C45" s="476">
        <f>C26*(1+FIN_0_Параметры!$B$10)</f>
        <v>15074761.655172413</v>
      </c>
      <c r="D45" s="392">
        <f>D26*(1+FIN_0_Параметры!$B$10)</f>
        <v>1674973.5172413792</v>
      </c>
      <c r="E45" s="392">
        <f>E26*(1+FIN_0_Параметры!$B$10)</f>
        <v>1674973.5172413792</v>
      </c>
      <c r="F45" s="392">
        <f>F26*(1+FIN_0_Параметры!$B$10)</f>
        <v>1674973.5172413792</v>
      </c>
      <c r="G45" s="392">
        <f>G26*(1+FIN_0_Параметры!$B$10)</f>
        <v>1674973.5172413792</v>
      </c>
      <c r="H45" s="392">
        <f>H26*(1+FIN_0_Параметры!$B$10)</f>
        <v>1674973.5172413792</v>
      </c>
      <c r="I45" s="392">
        <f>I26*(1+FIN_0_Параметры!$B$10)</f>
        <v>1674973.5172413792</v>
      </c>
      <c r="J45" s="392">
        <f>J26*(1+FIN_0_Параметры!$B$10)</f>
        <v>1674973.5172413792</v>
      </c>
      <c r="K45" s="392">
        <f>K26*(1+FIN_0_Параметры!$B$10)</f>
        <v>1674973.5172413792</v>
      </c>
      <c r="L45" s="392">
        <f>L26*(1+FIN_0_Параметры!$B$10)</f>
        <v>1674973.5172413792</v>
      </c>
    </row>
    <row r="46" spans="2:12">
      <c r="B46" t="s">
        <v>1091</v>
      </c>
      <c r="C46" s="476">
        <f>C30</f>
        <v>5624135.9896499999</v>
      </c>
      <c r="D46" s="392">
        <f>D30</f>
        <v>624903.99884999997</v>
      </c>
      <c r="E46" s="392">
        <f t="shared" ref="E46:L46" si="18">E30</f>
        <v>624903.99884999997</v>
      </c>
      <c r="F46" s="392">
        <f t="shared" si="18"/>
        <v>624903.99884999997</v>
      </c>
      <c r="G46" s="392">
        <f t="shared" si="18"/>
        <v>624903.99884999997</v>
      </c>
      <c r="H46" s="392">
        <f t="shared" si="18"/>
        <v>624903.99884999997</v>
      </c>
      <c r="I46" s="392">
        <f t="shared" si="18"/>
        <v>624903.99884999997</v>
      </c>
      <c r="J46" s="392">
        <f t="shared" si="18"/>
        <v>624903.99884999997</v>
      </c>
      <c r="K46" s="392">
        <f t="shared" si="18"/>
        <v>624903.99884999997</v>
      </c>
      <c r="L46" s="392">
        <f t="shared" si="18"/>
        <v>624903.99884999997</v>
      </c>
    </row>
    <row r="47" spans="2:12">
      <c r="B47" t="s">
        <v>66</v>
      </c>
      <c r="C47" s="476">
        <f>C32</f>
        <v>14599734.180702612</v>
      </c>
      <c r="D47" s="392">
        <f>D32</f>
        <v>0</v>
      </c>
      <c r="E47" s="392">
        <f t="shared" ref="E47:L47" si="19">E32</f>
        <v>0</v>
      </c>
      <c r="F47" s="392">
        <f t="shared" si="19"/>
        <v>0</v>
      </c>
      <c r="G47" s="392">
        <f t="shared" si="19"/>
        <v>0</v>
      </c>
      <c r="H47" s="392">
        <f t="shared" si="19"/>
        <v>0</v>
      </c>
      <c r="I47" s="392">
        <f t="shared" si="19"/>
        <v>0</v>
      </c>
      <c r="J47" s="392">
        <f t="shared" si="19"/>
        <v>0</v>
      </c>
      <c r="K47" s="392">
        <f t="shared" si="19"/>
        <v>0</v>
      </c>
      <c r="L47" s="392">
        <f t="shared" si="19"/>
        <v>14599734.180702612</v>
      </c>
    </row>
    <row r="48" spans="2:12">
      <c r="B48" s="402" t="s">
        <v>883</v>
      </c>
      <c r="C48" s="474">
        <f>SUM(C43:C47)</f>
        <v>442038920.54115087</v>
      </c>
      <c r="D48" s="408">
        <f>SUM(D43:D47)</f>
        <v>59432216.262272038</v>
      </c>
      <c r="E48" s="408">
        <f t="shared" ref="E48:L48" si="20">SUM(E43:E47)</f>
        <v>46000871.262272038</v>
      </c>
      <c r="F48" s="408">
        <f t="shared" si="20"/>
        <v>46000871.262272038</v>
      </c>
      <c r="G48" s="408">
        <f t="shared" si="20"/>
        <v>46000871.262272038</v>
      </c>
      <c r="H48" s="408">
        <f t="shared" si="20"/>
        <v>46000871.262272038</v>
      </c>
      <c r="I48" s="408">
        <f t="shared" si="20"/>
        <v>46000871.262272038</v>
      </c>
      <c r="J48" s="408">
        <f t="shared" si="20"/>
        <v>46000871.262272038</v>
      </c>
      <c r="K48" s="408">
        <f t="shared" si="20"/>
        <v>46000871.262272038</v>
      </c>
      <c r="L48" s="408">
        <f t="shared" si="20"/>
        <v>60600605.442974649</v>
      </c>
    </row>
    <row r="50" spans="2:12">
      <c r="B50" s="387" t="s">
        <v>1092</v>
      </c>
      <c r="C50" s="475">
        <f>C40-C48</f>
        <v>57884278.538849056</v>
      </c>
      <c r="D50" s="466">
        <f>D40-D48</f>
        <v>129427658.94572794</v>
      </c>
      <c r="E50" s="466">
        <f t="shared" ref="E50:L50" si="21">E40-E48</f>
        <v>-7117955.7782720402</v>
      </c>
      <c r="F50" s="466">
        <f t="shared" si="21"/>
        <v>-7117955.7782720402</v>
      </c>
      <c r="G50" s="466">
        <f t="shared" si="21"/>
        <v>-7117955.7782720402</v>
      </c>
      <c r="H50" s="466">
        <f t="shared" si="21"/>
        <v>-7117955.7782720402</v>
      </c>
      <c r="I50" s="466">
        <f t="shared" si="21"/>
        <v>-7117955.7782720402</v>
      </c>
      <c r="J50" s="466">
        <f t="shared" si="21"/>
        <v>-7117955.7782720402</v>
      </c>
      <c r="K50" s="466">
        <f t="shared" si="21"/>
        <v>-7117955.7782720402</v>
      </c>
      <c r="L50" s="466">
        <f t="shared" si="21"/>
        <v>-21717689.958974652</v>
      </c>
    </row>
    <row r="51" spans="2:12">
      <c r="B51" t="s">
        <v>1093</v>
      </c>
      <c r="C51" s="478">
        <v>0</v>
      </c>
      <c r="D51" s="392">
        <f>$C$51</f>
        <v>0</v>
      </c>
      <c r="E51" s="392">
        <f>D52</f>
        <v>129427658.94572794</v>
      </c>
      <c r="F51" s="392">
        <f t="shared" ref="F51:L51" si="22">E52</f>
        <v>122309703.16745591</v>
      </c>
      <c r="G51" s="392">
        <f t="shared" si="22"/>
        <v>115191747.38918388</v>
      </c>
      <c r="H51" s="392">
        <f t="shared" si="22"/>
        <v>108073791.61091185</v>
      </c>
      <c r="I51" s="392">
        <f t="shared" si="22"/>
        <v>100955835.83263981</v>
      </c>
      <c r="J51" s="392">
        <f t="shared" si="22"/>
        <v>93837880.054367781</v>
      </c>
      <c r="K51" s="392">
        <f t="shared" si="22"/>
        <v>86719924.276095748</v>
      </c>
      <c r="L51" s="392">
        <f t="shared" si="22"/>
        <v>79601968.497823715</v>
      </c>
    </row>
    <row r="52" spans="2:12">
      <c r="B52" s="467" t="s">
        <v>1094</v>
      </c>
      <c r="C52" s="475">
        <f>C51+C50</f>
        <v>57884278.538849056</v>
      </c>
      <c r="D52" s="468">
        <f>D51+D50</f>
        <v>129427658.94572794</v>
      </c>
      <c r="E52" s="468">
        <f t="shared" ref="E52:L52" si="23">E51+E50</f>
        <v>122309703.16745591</v>
      </c>
      <c r="F52" s="468">
        <f t="shared" si="23"/>
        <v>115191747.38918388</v>
      </c>
      <c r="G52" s="468">
        <f t="shared" si="23"/>
        <v>108073791.61091185</v>
      </c>
      <c r="H52" s="468">
        <f t="shared" si="23"/>
        <v>100955835.83263981</v>
      </c>
      <c r="I52" s="468">
        <f t="shared" si="23"/>
        <v>93837880.054367781</v>
      </c>
      <c r="J52" s="468">
        <f t="shared" si="23"/>
        <v>86719924.276095748</v>
      </c>
      <c r="K52" s="468">
        <f t="shared" si="23"/>
        <v>79601968.497823715</v>
      </c>
      <c r="L52" s="468">
        <f t="shared" si="23"/>
        <v>57884278.538849063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A763-F0E5-4D6B-9AC6-F5EB28F9AE73}">
  <sheetPr>
    <tabColor rgb="FF00B050"/>
  </sheetPr>
  <dimension ref="A1:D19"/>
  <sheetViews>
    <sheetView workbookViewId="0">
      <selection activeCell="F11" sqref="F11"/>
    </sheetView>
  </sheetViews>
  <sheetFormatPr defaultRowHeight="15"/>
  <cols>
    <col min="1" max="1" width="6.7109375" customWidth="1"/>
    <col min="2" max="2" width="72.42578125" customWidth="1"/>
    <col min="3" max="3" width="23.140625" bestFit="1" customWidth="1"/>
    <col min="4" max="4" width="25.5703125" bestFit="1" customWidth="1"/>
  </cols>
  <sheetData>
    <row r="1" spans="1:4" s="429" customFormat="1">
      <c r="B1" s="453" t="s">
        <v>973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30">
        <v>1</v>
      </c>
      <c r="B4" s="2" t="s">
        <v>937</v>
      </c>
      <c r="C4" s="392">
        <f>D4*(1+FIN_0_Параметры!$B$10)</f>
        <v>0</v>
      </c>
      <c r="D4" s="431">
        <f>'себестоимость прямая'!F7</f>
        <v>0</v>
      </c>
    </row>
    <row r="5" spans="1:4">
      <c r="A5" s="430">
        <v>2</v>
      </c>
      <c r="B5" s="2" t="s">
        <v>938</v>
      </c>
      <c r="C5" s="392">
        <f>D5*(1+FIN_0_Параметры!$B$10)</f>
        <v>8623904.2799999993</v>
      </c>
      <c r="D5" s="431">
        <f>'себестоимость прямая'!F9</f>
        <v>7068774</v>
      </c>
    </row>
    <row r="6" spans="1:4">
      <c r="A6" s="430">
        <v>3</v>
      </c>
      <c r="B6" s="2" t="s">
        <v>939</v>
      </c>
      <c r="C6" s="392">
        <f>D6*(1+FIN_0_Параметры!$B$10)</f>
        <v>8250123.1200000001</v>
      </c>
      <c r="D6" s="431">
        <f>SUM('себестоимость прямая'!F11:F12)</f>
        <v>6762396</v>
      </c>
    </row>
    <row r="7" spans="1:4">
      <c r="A7" s="430">
        <v>4</v>
      </c>
      <c r="B7" s="2" t="s">
        <v>940</v>
      </c>
      <c r="C7" s="392">
        <f>D7*(1+FIN_0_Параметры!$B$10)</f>
        <v>465804.54</v>
      </c>
      <c r="D7" s="431">
        <f>SUM('себестоимость прямая'!F14:F17)</f>
        <v>381807</v>
      </c>
    </row>
    <row r="8" spans="1:4">
      <c r="A8" s="430">
        <v>5</v>
      </c>
      <c r="B8" s="2" t="s">
        <v>941</v>
      </c>
      <c r="C8" s="392">
        <f>D8*(1+FIN_0_Параметры!$B$10)</f>
        <v>0</v>
      </c>
      <c r="D8" s="431">
        <f>SUM('себестоимость прямая'!F20:F23)</f>
        <v>0</v>
      </c>
    </row>
    <row r="9" spans="1:4">
      <c r="A9" s="430">
        <v>6</v>
      </c>
      <c r="B9" s="2" t="s">
        <v>942</v>
      </c>
      <c r="C9" s="392">
        <f>D9*(1+FIN_0_Параметры!$B$10)</f>
        <v>0</v>
      </c>
      <c r="D9" s="431">
        <f>SUM('себестоимость прямая'!F25:F32)</f>
        <v>0</v>
      </c>
    </row>
    <row r="10" spans="1:4">
      <c r="A10" s="430">
        <v>7</v>
      </c>
      <c r="B10" s="2" t="s">
        <v>943</v>
      </c>
      <c r="C10" s="392">
        <f>D10*(1+FIN_0_Параметры!$B$10)</f>
        <v>0</v>
      </c>
      <c r="D10" s="431">
        <f>'себестоимость прямая'!F34</f>
        <v>0</v>
      </c>
    </row>
    <row r="11" spans="1:4">
      <c r="A11" s="430">
        <v>8</v>
      </c>
      <c r="B11" s="2" t="s">
        <v>944</v>
      </c>
      <c r="C11" s="392">
        <f>D11*(1+FIN_0_Параметры!$B$10)</f>
        <v>68100608.579619989</v>
      </c>
      <c r="D11" s="431">
        <f>SUM('себестоимость прямая'!F36:F44)</f>
        <v>55820170.96690163</v>
      </c>
    </row>
    <row r="12" spans="1:4">
      <c r="A12" s="430">
        <v>9</v>
      </c>
      <c r="B12" s="2" t="s">
        <v>945</v>
      </c>
      <c r="C12" s="392">
        <f>D12*(1+FIN_0_Параметры!$B$10)</f>
        <v>2648512.64</v>
      </c>
      <c r="D12" s="431">
        <f>SUM('себестоимость прямая'!F46:F47)</f>
        <v>2170912</v>
      </c>
    </row>
    <row r="13" spans="1:4">
      <c r="A13" s="430">
        <v>10</v>
      </c>
      <c r="B13" s="2" t="s">
        <v>946</v>
      </c>
      <c r="C13" s="392">
        <f>D13*(1+FIN_0_Параметры!$B$10)</f>
        <v>1987410.7439999999</v>
      </c>
      <c r="D13" s="431">
        <f>SUM('себестоимость прямая'!F49:F51)</f>
        <v>1629025.2</v>
      </c>
    </row>
    <row r="14" spans="1:4">
      <c r="A14" s="430">
        <v>11</v>
      </c>
      <c r="B14" s="2" t="s">
        <v>947</v>
      </c>
      <c r="C14" s="392">
        <f>D14*(1+FIN_0_Параметры!$B$10)</f>
        <v>797913.91469000012</v>
      </c>
      <c r="D14" s="431">
        <f>SUM('себестоимость прямая'!F53:F55)</f>
        <v>654027.79892622959</v>
      </c>
    </row>
    <row r="15" spans="1:4">
      <c r="A15" s="430">
        <v>12</v>
      </c>
      <c r="B15" s="2" t="s">
        <v>948</v>
      </c>
      <c r="C15" s="392">
        <f>D15*(1+FIN_0_Параметры!$B$10)</f>
        <v>0</v>
      </c>
      <c r="D15" s="431">
        <f>SUM('себестоимость прямая'!F58:F59)</f>
        <v>0</v>
      </c>
    </row>
    <row r="16" spans="1:4">
      <c r="A16" s="430">
        <v>13</v>
      </c>
      <c r="B16" s="2" t="s">
        <v>949</v>
      </c>
      <c r="C16" s="392">
        <f>D16*(1+FIN_0_Параметры!$B$10)</f>
        <v>11858400</v>
      </c>
      <c r="D16" s="431">
        <f>'себестоимость прямая'!F61</f>
        <v>9720000</v>
      </c>
    </row>
    <row r="17" spans="1:4">
      <c r="A17" s="430">
        <v>14</v>
      </c>
      <c r="B17" s="2" t="s">
        <v>950</v>
      </c>
      <c r="C17" s="392">
        <f>D17*(1+FIN_0_Параметры!$B$10)</f>
        <v>477293.27999999997</v>
      </c>
      <c r="D17" s="431">
        <f>'себестоимость прямая'!F63</f>
        <v>391224</v>
      </c>
    </row>
    <row r="18" spans="1:4">
      <c r="A18" s="430">
        <v>15</v>
      </c>
      <c r="B18" s="2" t="s">
        <v>951</v>
      </c>
      <c r="C18" s="392">
        <f>D18*(1+FIN_0_Параметры!$B$10)</f>
        <v>952185.6</v>
      </c>
      <c r="D18" s="431">
        <f>'себестоимость прямая'!F65</f>
        <v>780480</v>
      </c>
    </row>
    <row r="19" spans="1:4">
      <c r="A19" s="432"/>
      <c r="B19" s="402" t="s">
        <v>1022</v>
      </c>
      <c r="C19" s="408">
        <f>SUM(C4:C18)</f>
        <v>104162156.69830999</v>
      </c>
      <c r="D19" s="408">
        <f>SUM(D4:D18)</f>
        <v>85378816.965827867</v>
      </c>
    </row>
  </sheetData>
  <hyperlinks>
    <hyperlink ref="B1" location="FIN_PnL_Финальный!A11" tooltip="Перейти к статье «Основные материалы» в P&amp;L" display="Основные материалы" xr:uid="{7CF1719A-085C-4E27-8A9A-E8D92454DA1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1C2E-4266-42D8-9785-CAC9AA79240A}">
  <sheetPr>
    <tabColor rgb="FF00B050"/>
  </sheetPr>
  <dimension ref="A1:D6"/>
  <sheetViews>
    <sheetView workbookViewId="0">
      <selection activeCell="B1" sqref="B1"/>
    </sheetView>
  </sheetViews>
  <sheetFormatPr defaultRowHeight="15"/>
  <cols>
    <col min="1" max="1" width="6.7109375" customWidth="1"/>
    <col min="2" max="2" width="91.42578125" customWidth="1"/>
    <col min="3" max="4" width="34.28515625" customWidth="1"/>
  </cols>
  <sheetData>
    <row r="1" spans="1:4" s="429" customFormat="1">
      <c r="B1" s="453" t="s">
        <v>975</v>
      </c>
    </row>
    <row r="3" spans="1:4">
      <c r="A3" s="388" t="s">
        <v>613</v>
      </c>
      <c r="B3" s="387" t="s">
        <v>279</v>
      </c>
      <c r="C3" s="388" t="s">
        <v>1023</v>
      </c>
      <c r="D3" s="388" t="s">
        <v>1024</v>
      </c>
    </row>
    <row r="4" spans="1:4" ht="30">
      <c r="A4" s="430">
        <v>1</v>
      </c>
      <c r="B4" s="2" t="s">
        <v>1034</v>
      </c>
      <c r="C4" s="431">
        <f>'разовые расходы'!D139</f>
        <v>180400</v>
      </c>
      <c r="D4" s="392">
        <f>C4/(1+FIN_0_Параметры!$B$10)</f>
        <v>147868.8524590164</v>
      </c>
    </row>
    <row r="5" spans="1:4">
      <c r="A5" s="430">
        <v>2</v>
      </c>
      <c r="B5" s="2" t="s">
        <v>1035</v>
      </c>
      <c r="C5" s="431">
        <f>'разовые расходы'!D145</f>
        <v>595000</v>
      </c>
      <c r="D5" s="392">
        <f>C5/(1+FIN_0_Параметры!$B$10)</f>
        <v>487704.91803278687</v>
      </c>
    </row>
    <row r="6" spans="1:4">
      <c r="A6" s="432"/>
      <c r="B6" s="402" t="s">
        <v>1036</v>
      </c>
      <c r="C6" s="408">
        <f>SUM(C4:C5)</f>
        <v>775400</v>
      </c>
      <c r="D6" s="408">
        <f>SUM(D4:D5)</f>
        <v>635573.7704918033</v>
      </c>
    </row>
  </sheetData>
  <hyperlinks>
    <hyperlink ref="B1" location="FIN_PnL_Финальный!A13" tooltip="Перейти к статье «Инструмент» в P&amp;L" display="Инструмент" xr:uid="{71252ECA-22A8-42E0-8A79-7978FCD501A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4FEA-95D5-4985-96E4-C087AB872949}">
  <sheetPr>
    <tabColor rgb="FF00B050"/>
  </sheetPr>
  <dimension ref="A1:D6"/>
  <sheetViews>
    <sheetView workbookViewId="0">
      <selection activeCell="B1" sqref="B1"/>
    </sheetView>
  </sheetViews>
  <sheetFormatPr defaultRowHeight="15"/>
  <cols>
    <col min="1" max="1" width="6.7109375" customWidth="1"/>
    <col min="2" max="2" width="48" bestFit="1" customWidth="1"/>
    <col min="3" max="3" width="23.140625" bestFit="1" customWidth="1"/>
    <col min="4" max="4" width="25.5703125" bestFit="1" customWidth="1"/>
  </cols>
  <sheetData>
    <row r="1" spans="1:4" s="429" customFormat="1">
      <c r="B1" s="453" t="s">
        <v>976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30">
        <v>1</v>
      </c>
      <c r="B4" s="2" t="s">
        <v>516</v>
      </c>
      <c r="C4" s="431">
        <v>4725000</v>
      </c>
      <c r="D4" s="431">
        <f>C4/(1+FIN_0_Параметры!$B$10)</f>
        <v>3872950.8196721314</v>
      </c>
    </row>
    <row r="5" spans="1:4">
      <c r="A5" s="430">
        <v>2</v>
      </c>
      <c r="B5" s="2" t="s">
        <v>1019</v>
      </c>
      <c r="C5" s="431">
        <v>3510000</v>
      </c>
      <c r="D5" s="431">
        <f>C5/(1+FIN_0_Параметры!$B$10)</f>
        <v>2877049.180327869</v>
      </c>
    </row>
    <row r="6" spans="1:4">
      <c r="A6" s="432"/>
      <c r="B6" s="402" t="s">
        <v>1020</v>
      </c>
      <c r="C6" s="408">
        <f>SUM(C4:C5)</f>
        <v>8235000</v>
      </c>
      <c r="D6" s="408">
        <f>SUM(D4:D5)</f>
        <v>6750000</v>
      </c>
    </row>
  </sheetData>
  <hyperlinks>
    <hyperlink ref="B1" location="FIN_PnL_Финальный!A14" tooltip="Перейти к статье «Аренда машин и оборудования» в P&amp;L" display="Аренда машин и оборудования" xr:uid="{88E4A4EB-C535-41A7-95C2-5F11006CC3E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265B-D17B-4D0E-8547-14C86A58DB28}">
  <sheetPr>
    <tabColor rgb="FF00B050"/>
  </sheetPr>
  <dimension ref="A1:E6"/>
  <sheetViews>
    <sheetView workbookViewId="0">
      <selection activeCell="B1" sqref="B1"/>
    </sheetView>
  </sheetViews>
  <sheetFormatPr defaultRowHeight="15"/>
  <cols>
    <col min="1" max="1" width="6.7109375" customWidth="1"/>
    <col min="2" max="2" width="72.42578125" customWidth="1"/>
    <col min="3" max="3" width="20.7109375" bestFit="1" customWidth="1"/>
    <col min="4" max="4" width="22.140625" bestFit="1" customWidth="1"/>
    <col min="5" max="5" width="17.140625" customWidth="1"/>
  </cols>
  <sheetData>
    <row r="1" spans="1:5" s="429" customFormat="1" ht="18.75">
      <c r="B1" s="443" t="str">
        <f>HYPERLINK("#'FIN_PnL_Финальный'!A15","ФОТ производственный")</f>
        <v>ФОТ производственный</v>
      </c>
    </row>
    <row r="3" spans="1:5">
      <c r="A3" s="388" t="s">
        <v>613</v>
      </c>
      <c r="B3" s="387" t="s">
        <v>279</v>
      </c>
      <c r="C3" s="388" t="s">
        <v>1041</v>
      </c>
      <c r="D3" s="388" t="s">
        <v>1042</v>
      </c>
      <c r="E3" s="388" t="s">
        <v>795</v>
      </c>
    </row>
    <row r="4" spans="1:5">
      <c r="A4" s="430">
        <v>1</v>
      </c>
      <c r="B4" t="s">
        <v>1039</v>
      </c>
      <c r="C4" s="397">
        <f>180000*9</f>
        <v>1620000</v>
      </c>
      <c r="D4" s="439">
        <f>C4/0.87*1.302-C4</f>
        <v>804413.79310344812</v>
      </c>
      <c r="E4" s="450">
        <f>C4+D4</f>
        <v>2424413.7931034481</v>
      </c>
    </row>
    <row r="5" spans="1:5" s="449" customFormat="1">
      <c r="A5" s="447">
        <v>2</v>
      </c>
      <c r="B5" s="448" t="s">
        <v>1040</v>
      </c>
      <c r="C5" s="451">
        <f>160000*3*9</f>
        <v>4320000</v>
      </c>
      <c r="D5" s="452">
        <f>C5/0.87*1.302-C5</f>
        <v>2145103.4482758623</v>
      </c>
      <c r="E5" s="452">
        <f>C5+D5</f>
        <v>6465103.4482758623</v>
      </c>
    </row>
    <row r="6" spans="1:5">
      <c r="A6" s="432"/>
      <c r="B6" s="402" t="s">
        <v>1038</v>
      </c>
      <c r="C6" s="408">
        <f>SUM(C4:C5)</f>
        <v>5940000</v>
      </c>
      <c r="D6" s="408">
        <f>SUM(D4:D5)</f>
        <v>2949517.2413793104</v>
      </c>
      <c r="E6" s="408">
        <f>SUM(E4:E5)</f>
        <v>8889517.2413793094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2477-D9DE-4043-BD6A-854DE7D012CD}">
  <sheetPr>
    <tabColor rgb="FF00B050"/>
  </sheetPr>
  <dimension ref="A1:D15"/>
  <sheetViews>
    <sheetView workbookViewId="0"/>
  </sheetViews>
  <sheetFormatPr defaultRowHeight="15"/>
  <cols>
    <col min="1" max="1" width="6.7109375" customWidth="1"/>
    <col min="2" max="2" width="69.5703125" bestFit="1" customWidth="1"/>
    <col min="3" max="3" width="15.140625" bestFit="1" customWidth="1"/>
    <col min="4" max="4" width="17.5703125" bestFit="1" customWidth="1"/>
  </cols>
  <sheetData>
    <row r="1" spans="1:4" s="429" customFormat="1">
      <c r="B1" s="453" t="s">
        <v>1003</v>
      </c>
    </row>
    <row r="3" spans="1:4">
      <c r="A3" s="388" t="s">
        <v>613</v>
      </c>
      <c r="B3" s="387" t="s">
        <v>279</v>
      </c>
      <c r="C3" s="388" t="s">
        <v>1023</v>
      </c>
      <c r="D3" s="388" t="s">
        <v>1024</v>
      </c>
    </row>
    <row r="4" spans="1:4">
      <c r="A4" s="430">
        <v>1</v>
      </c>
      <c r="B4" s="2" t="s">
        <v>1025</v>
      </c>
      <c r="C4" s="431">
        <f>'разовые расходы'!D8</f>
        <v>1740000</v>
      </c>
      <c r="D4" s="392">
        <f>C4/(1+FIN_0_Параметры!$B$10)</f>
        <v>1426229.5081967213</v>
      </c>
    </row>
    <row r="5" spans="1:4">
      <c r="A5" s="430">
        <v>2</v>
      </c>
      <c r="B5" s="2" t="s">
        <v>774</v>
      </c>
      <c r="C5" s="431">
        <f>'разовые расходы'!D22</f>
        <v>2548500</v>
      </c>
      <c r="D5" s="392">
        <f>C5/(1+FIN_0_Параметры!$B$10)</f>
        <v>2088934.4262295081</v>
      </c>
    </row>
    <row r="6" spans="1:4">
      <c r="A6" s="430">
        <v>3</v>
      </c>
      <c r="B6" s="2" t="s">
        <v>1026</v>
      </c>
      <c r="C6" s="431">
        <f>'разовые расходы'!D31</f>
        <v>669000</v>
      </c>
      <c r="D6" s="392">
        <f>C6/(1+FIN_0_Параметры!$B$10)</f>
        <v>548360.65573770495</v>
      </c>
    </row>
    <row r="7" spans="1:4">
      <c r="A7" s="430">
        <v>4</v>
      </c>
      <c r="B7" s="2" t="s">
        <v>1027</v>
      </c>
      <c r="C7" s="431">
        <f>'разовые расходы'!D40</f>
        <v>2340875</v>
      </c>
      <c r="D7" s="392">
        <f>C7/(1+FIN_0_Параметры!$B$10)</f>
        <v>1918750</v>
      </c>
    </row>
    <row r="8" spans="1:4">
      <c r="A8" s="430">
        <v>5</v>
      </c>
      <c r="B8" s="2" t="s">
        <v>780</v>
      </c>
      <c r="C8" s="431">
        <f>'разовые расходы'!D57</f>
        <v>571600</v>
      </c>
      <c r="D8" s="392">
        <f>C8/(1+FIN_0_Параметры!$B$10)</f>
        <v>468524.59016393445</v>
      </c>
    </row>
    <row r="9" spans="1:4">
      <c r="A9" s="430">
        <v>6</v>
      </c>
      <c r="B9" s="2" t="s">
        <v>1028</v>
      </c>
      <c r="C9" s="431">
        <f>'разовые расходы'!D98</f>
        <v>2259700</v>
      </c>
      <c r="D9" s="392">
        <f>C9/(1+FIN_0_Параметры!$B$10)</f>
        <v>1852213.1147540985</v>
      </c>
    </row>
    <row r="10" spans="1:4">
      <c r="A10" s="430">
        <v>7</v>
      </c>
      <c r="B10" s="2" t="s">
        <v>1029</v>
      </c>
      <c r="C10" s="431">
        <f>'разовые расходы'!D115</f>
        <v>610650</v>
      </c>
      <c r="D10" s="392">
        <f>C10/(1+FIN_0_Параметры!$B$10)</f>
        <v>500532.78688524594</v>
      </c>
    </row>
    <row r="11" spans="1:4">
      <c r="A11" s="430">
        <v>8</v>
      </c>
      <c r="B11" s="2" t="s">
        <v>1030</v>
      </c>
      <c r="C11" s="431">
        <f>SUM('разовые расходы'!D119:D123)</f>
        <v>882020</v>
      </c>
      <c r="D11" s="392">
        <f>C11/(1+FIN_0_Параметры!$B$10)</f>
        <v>722967.21311475406</v>
      </c>
    </row>
    <row r="12" spans="1:4">
      <c r="A12" s="430">
        <v>9</v>
      </c>
      <c r="B12" s="2" t="s">
        <v>1031</v>
      </c>
      <c r="C12" s="431">
        <f>SUM('разовые расходы'!E149:E151)</f>
        <v>660000</v>
      </c>
      <c r="D12" s="392">
        <f>C12/(1+FIN_0_Параметры!$B$10)</f>
        <v>540983.60655737703</v>
      </c>
    </row>
    <row r="13" spans="1:4">
      <c r="A13" s="430">
        <v>10</v>
      </c>
      <c r="B13" s="2" t="s">
        <v>1032</v>
      </c>
      <c r="C13" s="431">
        <f>SUM('разовые расходы'!E157:E158)</f>
        <v>29000</v>
      </c>
      <c r="D13" s="392">
        <f>C13/(1+FIN_0_Параметры!$B$10)</f>
        <v>23770.491803278688</v>
      </c>
    </row>
    <row r="14" spans="1:4">
      <c r="A14" s="430">
        <v>11</v>
      </c>
      <c r="B14" s="2" t="s">
        <v>425</v>
      </c>
      <c r="C14" s="431">
        <f>'разовые расходы'!E162</f>
        <v>1120000</v>
      </c>
      <c r="D14" s="392">
        <f>C14/(1+FIN_0_Параметры!$B$10)</f>
        <v>918032.78688524594</v>
      </c>
    </row>
    <row r="15" spans="1:4">
      <c r="A15" s="432"/>
      <c r="B15" s="402" t="s">
        <v>1033</v>
      </c>
      <c r="C15" s="408">
        <f>SUM(C4:C14)</f>
        <v>13431345</v>
      </c>
      <c r="D15" s="408">
        <f>SUM(D4:D14)</f>
        <v>11009299.18032787</v>
      </c>
    </row>
  </sheetData>
  <hyperlinks>
    <hyperlink ref="B1" location="FIN_PnL_Финальный!A17" tooltip="Перейти к статье «Разовые расходы» в P&amp;L" display="Разовые расходы" xr:uid="{17B74309-021B-4764-8805-1306435A7EB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30E0-F70A-4798-ADF2-1FA2DDA02CE9}">
  <sheetPr>
    <tabColor rgb="FF00B050"/>
  </sheetPr>
  <dimension ref="A1:D5"/>
  <sheetViews>
    <sheetView workbookViewId="0">
      <selection activeCell="B1" sqref="B1"/>
    </sheetView>
  </sheetViews>
  <sheetFormatPr defaultRowHeight="15"/>
  <cols>
    <col min="1" max="1" width="6.7109375" customWidth="1"/>
    <col min="2" max="2" width="72.42578125" customWidth="1"/>
    <col min="3" max="4" width="38.140625" customWidth="1"/>
  </cols>
  <sheetData>
    <row r="1" spans="1:4" s="429" customFormat="1" ht="18.75">
      <c r="B1" s="443" t="str">
        <f>HYPERLINK("#'FIN_PnL_Финальный'!A16","Прочие расходы (Direct Cost)")</f>
        <v>Прочие расходы (Direct Cost)</v>
      </c>
    </row>
    <row r="3" spans="1:4">
      <c r="A3" s="388" t="s">
        <v>613</v>
      </c>
      <c r="B3" s="387" t="s">
        <v>279</v>
      </c>
      <c r="C3" s="388" t="s">
        <v>1016</v>
      </c>
      <c r="D3" s="388" t="s">
        <v>1010</v>
      </c>
    </row>
    <row r="4" spans="1:4">
      <c r="A4" s="430">
        <v>1</v>
      </c>
      <c r="B4" t="s">
        <v>1064</v>
      </c>
      <c r="C4" s="406">
        <v>12820000</v>
      </c>
      <c r="D4" s="439">
        <f>C4/(1+FIN_0_Параметры!$B$10)</f>
        <v>10508196.721311476</v>
      </c>
    </row>
    <row r="5" spans="1:4">
      <c r="A5" s="432"/>
      <c r="B5" s="402" t="s">
        <v>1065</v>
      </c>
      <c r="C5" s="408">
        <f>SUM(C4:C4)</f>
        <v>12820000</v>
      </c>
      <c r="D5" s="408">
        <f>SUM(D4:D4)</f>
        <v>10508196.721311476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Промпт</vt:lpstr>
      <vt:lpstr>FIN_PnL_Финальный</vt:lpstr>
      <vt:lpstr>Субподряд</vt:lpstr>
      <vt:lpstr>Материалы</vt:lpstr>
      <vt:lpstr>Инструмент</vt:lpstr>
      <vt:lpstr>Аренда_машин</vt:lpstr>
      <vt:lpstr>ФОТ_производственный</vt:lpstr>
      <vt:lpstr>Разовые_расходы</vt:lpstr>
      <vt:lpstr>Прочие_расходы_DC</vt:lpstr>
      <vt:lpstr>Аренда_транспорта</vt:lpstr>
      <vt:lpstr>ФОТ_управленческий</vt:lpstr>
      <vt:lpstr>Аутсорсинг</vt:lpstr>
      <vt:lpstr>Прочие_OPEX</vt:lpstr>
      <vt:lpstr>ФОТ_управленческий_ГО</vt:lpstr>
      <vt:lpstr>Содержание_офиса</vt:lpstr>
      <vt:lpstr>FIN_0_Параметры</vt:lpstr>
      <vt:lpstr>ежемесячные расходы</vt:lpstr>
      <vt:lpstr>Сводка</vt:lpstr>
      <vt:lpstr>График</vt:lpstr>
      <vt:lpstr>Гантт</vt:lpstr>
      <vt:lpstr>Логика построения</vt:lpstr>
      <vt:lpstr>Риски и меры</vt:lpstr>
      <vt:lpstr>FIN_1_Затраты</vt:lpstr>
      <vt:lpstr>FIN_3_PnL</vt:lpstr>
      <vt:lpstr>FIN_4_CashFlow</vt:lpstr>
      <vt:lpstr>FIN_2_Календарь</vt:lpstr>
      <vt:lpstr>FIN_6_Проверка</vt:lpstr>
      <vt:lpstr>общие параметры</vt:lpstr>
      <vt:lpstr>FIN_5_Dashboard</vt:lpstr>
      <vt:lpstr>себестоимость прямая</vt:lpstr>
      <vt:lpstr>P&amp;L_Прямая_себестоимость</vt:lpstr>
      <vt:lpstr>разовые расходы</vt:lpstr>
      <vt:lpstr>Объемы из ценовой</vt:lpstr>
      <vt:lpstr>Финансовые_расходы</vt:lpstr>
      <vt:lpstr>CashFlow_PnL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Владелец</cp:lastModifiedBy>
  <dcterms:created xsi:type="dcterms:W3CDTF">2026-05-27T16:24:54Z</dcterms:created>
  <dcterms:modified xsi:type="dcterms:W3CDTF">2026-05-28T18:52:58Z</dcterms:modified>
</cp:coreProperties>
</file>